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21"/>
  <workbookPr showObjects="placeholders" showInkAnnotation="0" codeName="ThisWorkbook" autoCompressPictures="0"/>
  <bookViews>
    <workbookView xWindow="10460" yWindow="2900" windowWidth="36960" windowHeight="23120" tabRatio="718" activeTab="3"/>
  </bookViews>
  <sheets>
    <sheet name="Overview" sheetId="1" r:id="rId1"/>
    <sheet name="Level" sheetId="5" r:id="rId2"/>
    <sheet name="Plants" sheetId="2" r:id="rId3"/>
    <sheet name="Decoration" sheetId="3" r:id="rId4"/>
    <sheet name="Decoration Background" sheetId="19" r:id="rId5"/>
    <sheet name="Goals" sheetId="6" r:id="rId6"/>
    <sheet name="Tasks" sheetId="11" r:id="rId7"/>
    <sheet name="Goal-Flowchart" sheetId="9" r:id="rId8"/>
    <sheet name="Garden" sheetId="7" r:id="rId9"/>
    <sheet name="Plots" sheetId="17" r:id="rId10"/>
    <sheet name="Babygame" sheetId="14" r:id="rId11"/>
    <sheet name="BG_Rewards" sheetId="15" r:id="rId12"/>
    <sheet name="Constants" sheetId="18" r:id="rId13"/>
    <sheet name="Others" sheetId="8" r:id="rId14"/>
    <sheet name="Payment" sheetId="16" r:id="rId15"/>
    <sheet name="Playground_x000a_" sheetId="10" r:id="rId16"/>
    <sheet name="Background" sheetId="13" r:id="rId1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9" i="3" l="1"/>
  <c r="R17" i="3"/>
  <c r="G17" i="3"/>
  <c r="M4" i="5"/>
  <c r="C4" i="1"/>
  <c r="D4" i="1"/>
  <c r="Y32" i="11"/>
  <c r="Y33" i="11"/>
  <c r="X17" i="6"/>
  <c r="Y29" i="11"/>
  <c r="Y26" i="11"/>
  <c r="Y27" i="11"/>
  <c r="Y28" i="11"/>
  <c r="X15" i="6"/>
  <c r="Y23" i="11"/>
  <c r="Y24" i="11"/>
  <c r="Y25" i="11"/>
  <c r="X14" i="6"/>
  <c r="Y20" i="11"/>
  <c r="Y18" i="11"/>
  <c r="Y19" i="11"/>
  <c r="X12" i="6"/>
  <c r="Y15" i="11"/>
  <c r="Y17" i="11"/>
  <c r="Y16" i="11"/>
  <c r="X11" i="6"/>
  <c r="Y13" i="11"/>
  <c r="Y14" i="11"/>
  <c r="X10" i="6"/>
  <c r="Y11" i="11"/>
  <c r="Y10" i="11"/>
  <c r="X8" i="6"/>
  <c r="Y8" i="11"/>
  <c r="Y9" i="11"/>
  <c r="X7" i="6"/>
  <c r="Y6" i="11"/>
  <c r="Y5" i="11"/>
  <c r="X5" i="6"/>
  <c r="Y4" i="11"/>
  <c r="X4" i="6"/>
  <c r="AC4" i="6"/>
  <c r="AD4" i="6"/>
  <c r="AE4" i="6"/>
  <c r="AM4" i="6"/>
  <c r="AC5" i="6"/>
  <c r="AD5" i="6"/>
  <c r="AE5" i="6"/>
  <c r="AM5" i="6"/>
  <c r="M8" i="5"/>
  <c r="C8" i="1"/>
  <c r="S9" i="5"/>
  <c r="B9" i="5"/>
  <c r="M9" i="5"/>
  <c r="C9" i="1"/>
  <c r="S10" i="5"/>
  <c r="B10" i="5"/>
  <c r="M10" i="5"/>
  <c r="C10" i="1"/>
  <c r="S11" i="5"/>
  <c r="B11" i="5"/>
  <c r="M11" i="5"/>
  <c r="C11" i="1"/>
  <c r="S12" i="5"/>
  <c r="B12" i="5"/>
  <c r="M12" i="5"/>
  <c r="C12" i="1"/>
  <c r="S13" i="5"/>
  <c r="B13" i="5"/>
  <c r="M13" i="5"/>
  <c r="C13" i="1"/>
  <c r="S14" i="5"/>
  <c r="B14" i="5"/>
  <c r="M14" i="5"/>
  <c r="C14" i="1"/>
  <c r="S15" i="5"/>
  <c r="B15" i="5"/>
  <c r="M15" i="5"/>
  <c r="C15" i="1"/>
  <c r="S16" i="5"/>
  <c r="B16" i="5"/>
  <c r="M16" i="5"/>
  <c r="C16" i="1"/>
  <c r="S17" i="5"/>
  <c r="B17" i="5"/>
  <c r="M17" i="5"/>
  <c r="C17" i="1"/>
  <c r="S18" i="5"/>
  <c r="B18" i="5"/>
  <c r="M18" i="5"/>
  <c r="C18" i="1"/>
  <c r="S19" i="5"/>
  <c r="B19" i="5"/>
  <c r="M19" i="5"/>
  <c r="C19" i="1"/>
  <c r="S20" i="5"/>
  <c r="B20" i="5"/>
  <c r="M20" i="5"/>
  <c r="C20" i="1"/>
  <c r="S21" i="5"/>
  <c r="B21" i="5"/>
  <c r="M21" i="5"/>
  <c r="C21" i="1"/>
  <c r="S22" i="5"/>
  <c r="B22" i="5"/>
  <c r="M22" i="5"/>
  <c r="C22" i="1"/>
  <c r="S23" i="5"/>
  <c r="B23" i="5"/>
  <c r="M23" i="5"/>
  <c r="C23" i="1"/>
  <c r="S24" i="5"/>
  <c r="B24" i="5"/>
  <c r="M24" i="5"/>
  <c r="C24" i="1"/>
  <c r="S25" i="5"/>
  <c r="B25" i="5"/>
  <c r="M25" i="5"/>
  <c r="C25" i="1"/>
  <c r="S26" i="5"/>
  <c r="B26" i="5"/>
  <c r="M26" i="5"/>
  <c r="C26" i="1"/>
  <c r="S27" i="5"/>
  <c r="B27" i="5"/>
  <c r="M27" i="5"/>
  <c r="C27" i="1"/>
  <c r="S28" i="5"/>
  <c r="B28" i="5"/>
  <c r="M28" i="5"/>
  <c r="C28" i="1"/>
  <c r="S29" i="5"/>
  <c r="B29" i="5"/>
  <c r="M29" i="5"/>
  <c r="C29" i="1"/>
  <c r="S30" i="5"/>
  <c r="B30" i="5"/>
  <c r="M30" i="5"/>
  <c r="C30" i="1"/>
  <c r="S31" i="5"/>
  <c r="B31" i="5"/>
  <c r="M31" i="5"/>
  <c r="C31" i="1"/>
  <c r="S32" i="5"/>
  <c r="B32" i="5"/>
  <c r="M32" i="5"/>
  <c r="C32" i="1"/>
  <c r="S33" i="5"/>
  <c r="B33" i="5"/>
  <c r="M33" i="5"/>
  <c r="C33" i="1"/>
  <c r="S34" i="5"/>
  <c r="B34" i="5"/>
  <c r="M34" i="5"/>
  <c r="C34" i="1"/>
  <c r="S35" i="5"/>
  <c r="B35" i="5"/>
  <c r="M35" i="5"/>
  <c r="C35" i="1"/>
  <c r="S36" i="5"/>
  <c r="B36" i="5"/>
  <c r="M36" i="5"/>
  <c r="C36" i="1"/>
  <c r="S37" i="5"/>
  <c r="B37" i="5"/>
  <c r="M37" i="5"/>
  <c r="C37" i="1"/>
  <c r="S38" i="5"/>
  <c r="B38" i="5"/>
  <c r="M38" i="5"/>
  <c r="C38" i="1"/>
  <c r="S39" i="5"/>
  <c r="B39" i="5"/>
  <c r="M39" i="5"/>
  <c r="C39" i="1"/>
  <c r="S40" i="5"/>
  <c r="B40" i="5"/>
  <c r="M40" i="5"/>
  <c r="C40" i="1"/>
  <c r="S41" i="5"/>
  <c r="B41" i="5"/>
  <c r="M41" i="5"/>
  <c r="C41" i="1"/>
  <c r="S42" i="5"/>
  <c r="B42" i="5"/>
  <c r="M42" i="5"/>
  <c r="C42" i="1"/>
  <c r="S43" i="5"/>
  <c r="B43" i="5"/>
  <c r="M43" i="5"/>
  <c r="C43" i="1"/>
  <c r="S44" i="5"/>
  <c r="B44" i="5"/>
  <c r="M44" i="5"/>
  <c r="C44" i="1"/>
  <c r="S45" i="5"/>
  <c r="B45" i="5"/>
  <c r="M45" i="5"/>
  <c r="C45" i="1"/>
  <c r="S46" i="5"/>
  <c r="B46" i="5"/>
  <c r="M46" i="5"/>
  <c r="C46" i="1"/>
  <c r="S47" i="5"/>
  <c r="B47" i="5"/>
  <c r="M47" i="5"/>
  <c r="C47" i="1"/>
  <c r="S48" i="5"/>
  <c r="B48" i="5"/>
  <c r="M48" i="5"/>
  <c r="C48" i="1"/>
  <c r="S49" i="5"/>
  <c r="B49" i="5"/>
  <c r="M49" i="5"/>
  <c r="C49" i="1"/>
  <c r="S50" i="5"/>
  <c r="B50" i="5"/>
  <c r="M50" i="5"/>
  <c r="C50" i="1"/>
  <c r="S51" i="5"/>
  <c r="B51" i="5"/>
  <c r="M51" i="5"/>
  <c r="C51" i="1"/>
  <c r="S52" i="5"/>
  <c r="B52" i="5"/>
  <c r="M52" i="5"/>
  <c r="C52" i="1"/>
  <c r="S53" i="5"/>
  <c r="B53" i="5"/>
  <c r="M53" i="5"/>
  <c r="C53" i="1"/>
  <c r="S54" i="5"/>
  <c r="B54" i="5"/>
  <c r="M54" i="5"/>
  <c r="C54" i="1"/>
  <c r="S55" i="5"/>
  <c r="B55" i="5"/>
  <c r="M55" i="5"/>
  <c r="C55" i="1"/>
  <c r="S56" i="5"/>
  <c r="B56" i="5"/>
  <c r="M56" i="5"/>
  <c r="C56" i="1"/>
  <c r="S57" i="5"/>
  <c r="B57" i="5"/>
  <c r="M57" i="5"/>
  <c r="C57" i="1"/>
  <c r="S58" i="5"/>
  <c r="B58" i="5"/>
  <c r="M58" i="5"/>
  <c r="C58" i="1"/>
  <c r="S59" i="5"/>
  <c r="B59" i="5"/>
  <c r="M59" i="5"/>
  <c r="C59" i="1"/>
  <c r="S60" i="5"/>
  <c r="B60" i="5"/>
  <c r="M60" i="5"/>
  <c r="C60" i="1"/>
  <c r="S61" i="5"/>
  <c r="B61" i="5"/>
  <c r="M61" i="5"/>
  <c r="C61" i="1"/>
  <c r="S62" i="5"/>
  <c r="B62" i="5"/>
  <c r="M62" i="5"/>
  <c r="C62" i="1"/>
  <c r="S63" i="5"/>
  <c r="B63" i="5"/>
  <c r="M63" i="5"/>
  <c r="C63" i="1"/>
  <c r="S64" i="5"/>
  <c r="B64" i="5"/>
  <c r="M64" i="5"/>
  <c r="C64" i="1"/>
  <c r="S65" i="5"/>
  <c r="B65" i="5"/>
  <c r="M65" i="5"/>
  <c r="C65" i="1"/>
  <c r="S66" i="5"/>
  <c r="B66" i="5"/>
  <c r="M66" i="5"/>
  <c r="C66" i="1"/>
  <c r="S67" i="5"/>
  <c r="B67" i="5"/>
  <c r="M67" i="5"/>
  <c r="C67" i="1"/>
  <c r="S68" i="5"/>
  <c r="B68" i="5"/>
  <c r="M68" i="5"/>
  <c r="C68" i="1"/>
  <c r="S69" i="5"/>
  <c r="B69" i="5"/>
  <c r="M69" i="5"/>
  <c r="C69" i="1"/>
  <c r="S70" i="5"/>
  <c r="B70" i="5"/>
  <c r="M70" i="5"/>
  <c r="C70" i="1"/>
  <c r="S71" i="5"/>
  <c r="B71" i="5"/>
  <c r="M71" i="5"/>
  <c r="C71" i="1"/>
  <c r="S72" i="5"/>
  <c r="B72" i="5"/>
  <c r="M72" i="5"/>
  <c r="C72" i="1"/>
  <c r="S73" i="5"/>
  <c r="B73" i="5"/>
  <c r="M73" i="5"/>
  <c r="C73" i="1"/>
  <c r="S74" i="5"/>
  <c r="B74" i="5"/>
  <c r="M74" i="5"/>
  <c r="C74" i="1"/>
  <c r="S75" i="5"/>
  <c r="B75" i="5"/>
  <c r="M75" i="5"/>
  <c r="C75" i="1"/>
  <c r="S76" i="5"/>
  <c r="B76" i="5"/>
  <c r="M76" i="5"/>
  <c r="C76" i="1"/>
  <c r="S77" i="5"/>
  <c r="B77" i="5"/>
  <c r="M77" i="5"/>
  <c r="C77" i="1"/>
  <c r="S78" i="5"/>
  <c r="B78" i="5"/>
  <c r="M78" i="5"/>
  <c r="C78" i="1"/>
  <c r="S79" i="5"/>
  <c r="B79" i="5"/>
  <c r="M79" i="5"/>
  <c r="C79" i="1"/>
  <c r="S80" i="5"/>
  <c r="B80" i="5"/>
  <c r="M80" i="5"/>
  <c r="C80" i="1"/>
  <c r="S81" i="5"/>
  <c r="B81" i="5"/>
  <c r="M81" i="5"/>
  <c r="C81" i="1"/>
  <c r="S82" i="5"/>
  <c r="B82" i="5"/>
  <c r="M82" i="5"/>
  <c r="C82" i="1"/>
  <c r="S83" i="5"/>
  <c r="B83" i="5"/>
  <c r="M83" i="5"/>
  <c r="C83" i="1"/>
  <c r="S84" i="5"/>
  <c r="B84" i="5"/>
  <c r="M84" i="5"/>
  <c r="C84" i="1"/>
  <c r="S85" i="5"/>
  <c r="B85" i="5"/>
  <c r="M85" i="5"/>
  <c r="C85" i="1"/>
  <c r="S86" i="5"/>
  <c r="B86" i="5"/>
  <c r="M86" i="5"/>
  <c r="C86" i="1"/>
  <c r="S87" i="5"/>
  <c r="B87" i="5"/>
  <c r="M87" i="5"/>
  <c r="C87" i="1"/>
  <c r="S88" i="5"/>
  <c r="B88" i="5"/>
  <c r="M88" i="5"/>
  <c r="C88" i="1"/>
  <c r="S89" i="5"/>
  <c r="B89" i="5"/>
  <c r="M89" i="5"/>
  <c r="C89" i="1"/>
  <c r="S90" i="5"/>
  <c r="B90" i="5"/>
  <c r="M90" i="5"/>
  <c r="C90" i="1"/>
  <c r="S91" i="5"/>
  <c r="B91" i="5"/>
  <c r="M91" i="5"/>
  <c r="C91" i="1"/>
  <c r="S92" i="5"/>
  <c r="B92" i="5"/>
  <c r="M92" i="5"/>
  <c r="C92" i="1"/>
  <c r="S93" i="5"/>
  <c r="B93" i="5"/>
  <c r="M93" i="5"/>
  <c r="C93" i="1"/>
  <c r="S94" i="5"/>
  <c r="B94" i="5"/>
  <c r="M94" i="5"/>
  <c r="C94" i="1"/>
  <c r="S95" i="5"/>
  <c r="B95" i="5"/>
  <c r="M95" i="5"/>
  <c r="C95" i="1"/>
  <c r="S96" i="5"/>
  <c r="B96" i="5"/>
  <c r="M96" i="5"/>
  <c r="C96" i="1"/>
  <c r="S97" i="5"/>
  <c r="B97" i="5"/>
  <c r="M97" i="5"/>
  <c r="C97" i="1"/>
  <c r="S98" i="5"/>
  <c r="B98" i="5"/>
  <c r="M98" i="5"/>
  <c r="C98" i="1"/>
  <c r="S99" i="5"/>
  <c r="B99" i="5"/>
  <c r="M99" i="5"/>
  <c r="C99" i="1"/>
  <c r="S100" i="5"/>
  <c r="B100" i="5"/>
  <c r="M100" i="5"/>
  <c r="C100" i="1"/>
  <c r="S101" i="5"/>
  <c r="B101" i="5"/>
  <c r="M101" i="5"/>
  <c r="C101" i="1"/>
  <c r="S102" i="5"/>
  <c r="B102" i="5"/>
  <c r="M102" i="5"/>
  <c r="C102" i="1"/>
  <c r="S103" i="5"/>
  <c r="B103" i="5"/>
  <c r="A102" i="13"/>
  <c r="A52" i="13"/>
  <c r="A27" i="13"/>
  <c r="A8" i="13"/>
  <c r="A9" i="13"/>
  <c r="A10" i="13"/>
  <c r="A11" i="13"/>
  <c r="A12" i="13"/>
  <c r="A13" i="13"/>
  <c r="A14" i="13"/>
  <c r="A15" i="13"/>
  <c r="A16" i="13"/>
  <c r="A17" i="13"/>
  <c r="A18" i="13"/>
  <c r="A19" i="13"/>
  <c r="A20" i="13"/>
  <c r="A21" i="13"/>
  <c r="A22" i="13"/>
  <c r="A23" i="13"/>
  <c r="A24" i="13"/>
  <c r="A25" i="13"/>
  <c r="A26" i="13"/>
  <c r="A28" i="13"/>
  <c r="A29" i="13"/>
  <c r="A30" i="13"/>
  <c r="A31" i="13"/>
  <c r="A32" i="13"/>
  <c r="A33" i="13"/>
  <c r="A34" i="13"/>
  <c r="A35" i="13"/>
  <c r="A36" i="13"/>
  <c r="A37" i="13"/>
  <c r="A38" i="13"/>
  <c r="A39" i="13"/>
  <c r="A40" i="13"/>
  <c r="A41" i="13"/>
  <c r="A42" i="13"/>
  <c r="A43" i="13"/>
  <c r="A44" i="13"/>
  <c r="A45" i="13"/>
  <c r="A46" i="13"/>
  <c r="A47" i="13"/>
  <c r="A48" i="13"/>
  <c r="A49" i="13"/>
  <c r="A50" i="13"/>
  <c r="A51"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M103" i="5"/>
  <c r="C103" i="1"/>
  <c r="S104" i="5"/>
  <c r="B104" i="5"/>
  <c r="A103" i="13"/>
  <c r="M104" i="5"/>
  <c r="C104" i="1"/>
  <c r="S105" i="5"/>
  <c r="B105" i="5"/>
  <c r="A104" i="13"/>
  <c r="M105" i="5"/>
  <c r="C105" i="1"/>
  <c r="S106" i="5"/>
  <c r="B106" i="5"/>
  <c r="A105" i="13"/>
  <c r="M106" i="5"/>
  <c r="C106" i="1"/>
  <c r="S107" i="5"/>
  <c r="B107" i="5"/>
  <c r="A106" i="13"/>
  <c r="M107" i="5"/>
  <c r="C107" i="1"/>
  <c r="S108" i="5"/>
  <c r="B108" i="5"/>
  <c r="A107" i="13"/>
  <c r="M108" i="5"/>
  <c r="C108" i="1"/>
  <c r="S109" i="5"/>
  <c r="B109" i="5"/>
  <c r="A108" i="13"/>
  <c r="M109" i="5"/>
  <c r="C109" i="1"/>
  <c r="S110" i="5"/>
  <c r="B110" i="5"/>
  <c r="A109" i="13"/>
  <c r="M110" i="5"/>
  <c r="C110" i="1"/>
  <c r="S111" i="5"/>
  <c r="B111" i="5"/>
  <c r="A110" i="13"/>
  <c r="M111" i="5"/>
  <c r="C111" i="1"/>
  <c r="S112" i="5"/>
  <c r="B112" i="5"/>
  <c r="A111" i="13"/>
  <c r="M112" i="5"/>
  <c r="C112" i="1"/>
  <c r="S113" i="5"/>
  <c r="B113" i="5"/>
  <c r="A112" i="13"/>
  <c r="M113" i="5"/>
  <c r="C113" i="1"/>
  <c r="S114" i="5"/>
  <c r="B114" i="5"/>
  <c r="A113" i="13"/>
  <c r="M114" i="5"/>
  <c r="C114" i="1"/>
  <c r="S115" i="5"/>
  <c r="B115" i="5"/>
  <c r="A114" i="13"/>
  <c r="M115" i="5"/>
  <c r="C115" i="1"/>
  <c r="S116" i="5"/>
  <c r="B116" i="5"/>
  <c r="A115" i="13"/>
  <c r="M116" i="5"/>
  <c r="C116" i="1"/>
  <c r="S117" i="5"/>
  <c r="B117" i="5"/>
  <c r="A116" i="13"/>
  <c r="M117" i="5"/>
  <c r="C117" i="1"/>
  <c r="S118" i="5"/>
  <c r="B118" i="5"/>
  <c r="A117" i="13"/>
  <c r="M118" i="5"/>
  <c r="C118" i="1"/>
  <c r="S119" i="5"/>
  <c r="B119" i="5"/>
  <c r="A118" i="13"/>
  <c r="M119" i="5"/>
  <c r="C119" i="1"/>
  <c r="S120" i="5"/>
  <c r="B120" i="5"/>
  <c r="A119" i="13"/>
  <c r="M120" i="5"/>
  <c r="C120" i="1"/>
  <c r="S121" i="5"/>
  <c r="B121" i="5"/>
  <c r="A120" i="13"/>
  <c r="M121" i="5"/>
  <c r="C121" i="1"/>
  <c r="S122" i="5"/>
  <c r="B122" i="5"/>
  <c r="A121" i="13"/>
  <c r="M122" i="5"/>
  <c r="C122" i="1"/>
  <c r="S123" i="5"/>
  <c r="B123" i="5"/>
  <c r="A122" i="13"/>
  <c r="M123" i="5"/>
  <c r="C123" i="1"/>
  <c r="S124" i="5"/>
  <c r="B124" i="5"/>
  <c r="A123" i="13"/>
  <c r="M124" i="5"/>
  <c r="C124" i="1"/>
  <c r="S125" i="5"/>
  <c r="B125" i="5"/>
  <c r="A124" i="13"/>
  <c r="M125" i="5"/>
  <c r="C125" i="1"/>
  <c r="S126" i="5"/>
  <c r="B126" i="5"/>
  <c r="A125" i="13"/>
  <c r="M126" i="5"/>
  <c r="C126" i="1"/>
  <c r="S127" i="5"/>
  <c r="B127" i="5"/>
  <c r="A126" i="13"/>
  <c r="M127" i="5"/>
  <c r="C127" i="1"/>
  <c r="S128" i="5"/>
  <c r="B128" i="5"/>
  <c r="A127" i="13"/>
  <c r="M128" i="5"/>
  <c r="C128" i="1"/>
  <c r="S129" i="5"/>
  <c r="B129" i="5"/>
  <c r="A128" i="13"/>
  <c r="M129" i="5"/>
  <c r="C129" i="1"/>
  <c r="S130" i="5"/>
  <c r="B130" i="5"/>
  <c r="A129" i="13"/>
  <c r="M130" i="5"/>
  <c r="C130" i="1"/>
  <c r="S131" i="5"/>
  <c r="B131" i="5"/>
  <c r="A130" i="13"/>
  <c r="M131" i="5"/>
  <c r="C131" i="1"/>
  <c r="S132" i="5"/>
  <c r="B132" i="5"/>
  <c r="A131" i="13"/>
  <c r="M132" i="5"/>
  <c r="C132" i="1"/>
  <c r="S133" i="5"/>
  <c r="B133" i="5"/>
  <c r="A132" i="13"/>
  <c r="M133" i="5"/>
  <c r="C133" i="1"/>
  <c r="S134" i="5"/>
  <c r="B134" i="5"/>
  <c r="A133" i="13"/>
  <c r="M134" i="5"/>
  <c r="C134" i="1"/>
  <c r="S135" i="5"/>
  <c r="B135" i="5"/>
  <c r="A134" i="13"/>
  <c r="M135" i="5"/>
  <c r="C135" i="1"/>
  <c r="S136" i="5"/>
  <c r="B136" i="5"/>
  <c r="A135" i="13"/>
  <c r="M136" i="5"/>
  <c r="C136" i="1"/>
  <c r="S137" i="5"/>
  <c r="B137" i="5"/>
  <c r="A136" i="13"/>
  <c r="M137" i="5"/>
  <c r="C137" i="1"/>
  <c r="S138" i="5"/>
  <c r="B138" i="5"/>
  <c r="A137" i="13"/>
  <c r="M138" i="5"/>
  <c r="C138" i="1"/>
  <c r="S139" i="5"/>
  <c r="B139" i="5"/>
  <c r="A138" i="13"/>
  <c r="M139" i="5"/>
  <c r="C139" i="1"/>
  <c r="S140" i="5"/>
  <c r="B140" i="5"/>
  <c r="A139" i="13"/>
  <c r="M140" i="5"/>
  <c r="C140" i="1"/>
  <c r="S141" i="5"/>
  <c r="B141" i="5"/>
  <c r="A140" i="13"/>
  <c r="M141" i="5"/>
  <c r="C141" i="1"/>
  <c r="S142" i="5"/>
  <c r="B142" i="5"/>
  <c r="A141" i="13"/>
  <c r="M142" i="5"/>
  <c r="C142" i="1"/>
  <c r="S143" i="5"/>
  <c r="B143" i="5"/>
  <c r="A142" i="13"/>
  <c r="M143" i="5"/>
  <c r="C143" i="1"/>
  <c r="S144" i="5"/>
  <c r="B144" i="5"/>
  <c r="A143" i="13"/>
  <c r="M144" i="5"/>
  <c r="C144" i="1"/>
  <c r="S145" i="5"/>
  <c r="B145" i="5"/>
  <c r="A144" i="13"/>
  <c r="M145" i="5"/>
  <c r="C145" i="1"/>
  <c r="S146" i="5"/>
  <c r="B146" i="5"/>
  <c r="A145" i="13"/>
  <c r="M146" i="5"/>
  <c r="C146" i="1"/>
  <c r="S147" i="5"/>
  <c r="B147" i="5"/>
  <c r="A146" i="13"/>
  <c r="M147" i="5"/>
  <c r="C147" i="1"/>
  <c r="S148" i="5"/>
  <c r="B148" i="5"/>
  <c r="A147" i="13"/>
  <c r="M148" i="5"/>
  <c r="C148" i="1"/>
  <c r="S149" i="5"/>
  <c r="B149" i="5"/>
  <c r="A148" i="13"/>
  <c r="M149" i="5"/>
  <c r="C149" i="1"/>
  <c r="S150" i="5"/>
  <c r="B150" i="5"/>
  <c r="A149" i="13"/>
  <c r="M150" i="5"/>
  <c r="C150" i="1"/>
  <c r="S151" i="5"/>
  <c r="B151" i="5"/>
  <c r="A150" i="13"/>
  <c r="M151" i="5"/>
  <c r="C151" i="1"/>
  <c r="S152" i="5"/>
  <c r="B152" i="5"/>
  <c r="A151" i="13"/>
  <c r="M152" i="5"/>
  <c r="C152" i="1"/>
  <c r="S153" i="5"/>
  <c r="B153" i="5"/>
  <c r="A152" i="13"/>
  <c r="M153" i="5"/>
  <c r="C153" i="1"/>
  <c r="S154" i="5"/>
  <c r="B154" i="5"/>
  <c r="A153" i="13"/>
  <c r="M154" i="5"/>
  <c r="C154" i="1"/>
  <c r="S155" i="5"/>
  <c r="B155" i="5"/>
  <c r="A154" i="13"/>
  <c r="M155" i="5"/>
  <c r="C155" i="1"/>
  <c r="S156" i="5"/>
  <c r="B156" i="5"/>
  <c r="A155" i="13"/>
  <c r="M156" i="5"/>
  <c r="C156" i="1"/>
  <c r="S157" i="5"/>
  <c r="B157" i="5"/>
  <c r="A156" i="13"/>
  <c r="M157" i="5"/>
  <c r="C157" i="1"/>
  <c r="S158" i="5"/>
  <c r="B158" i="5"/>
  <c r="A157" i="13"/>
  <c r="M158" i="5"/>
  <c r="C158" i="1"/>
  <c r="S159" i="5"/>
  <c r="B159" i="5"/>
  <c r="A158" i="13"/>
  <c r="M159" i="5"/>
  <c r="C159" i="1"/>
  <c r="S160" i="5"/>
  <c r="B160" i="5"/>
  <c r="A159" i="13"/>
  <c r="M160" i="5"/>
  <c r="C160" i="1"/>
  <c r="S161" i="5"/>
  <c r="B161" i="5"/>
  <c r="A160" i="13"/>
  <c r="M161" i="5"/>
  <c r="C161" i="1"/>
  <c r="S162" i="5"/>
  <c r="B162" i="5"/>
  <c r="A161" i="13"/>
  <c r="M162" i="5"/>
  <c r="C162" i="1"/>
  <c r="S163" i="5"/>
  <c r="B163" i="5"/>
  <c r="A162" i="13"/>
  <c r="M163" i="5"/>
  <c r="C163" i="1"/>
  <c r="S164" i="5"/>
  <c r="B164" i="5"/>
  <c r="A163" i="13"/>
  <c r="M164" i="5"/>
  <c r="C164" i="1"/>
  <c r="S165" i="5"/>
  <c r="B165" i="5"/>
  <c r="A164" i="13"/>
  <c r="M165" i="5"/>
  <c r="C165" i="1"/>
  <c r="S166" i="5"/>
  <c r="B166" i="5"/>
  <c r="A165" i="13"/>
  <c r="M166" i="5"/>
  <c r="C166" i="1"/>
  <c r="S167" i="5"/>
  <c r="B167" i="5"/>
  <c r="A166" i="13"/>
  <c r="M167" i="5"/>
  <c r="C167" i="1"/>
  <c r="S168" i="5"/>
  <c r="B168" i="5"/>
  <c r="A167" i="13"/>
  <c r="M168" i="5"/>
  <c r="C168" i="1"/>
  <c r="S169" i="5"/>
  <c r="B169" i="5"/>
  <c r="A168" i="13"/>
  <c r="M169" i="5"/>
  <c r="C169" i="1"/>
  <c r="S170" i="5"/>
  <c r="B170" i="5"/>
  <c r="A169" i="13"/>
  <c r="M170" i="5"/>
  <c r="C170" i="1"/>
  <c r="S171" i="5"/>
  <c r="B171" i="5"/>
  <c r="A170" i="13"/>
  <c r="M171" i="5"/>
  <c r="C171" i="1"/>
  <c r="S172" i="5"/>
  <c r="B172" i="5"/>
  <c r="A171" i="13"/>
  <c r="M172" i="5"/>
  <c r="C172" i="1"/>
  <c r="S173" i="5"/>
  <c r="B173" i="5"/>
  <c r="A172" i="13"/>
  <c r="M173" i="5"/>
  <c r="C173" i="1"/>
  <c r="S174" i="5"/>
  <c r="B174" i="5"/>
  <c r="A173" i="13"/>
  <c r="M174" i="5"/>
  <c r="C174" i="1"/>
  <c r="S175" i="5"/>
  <c r="B175" i="5"/>
  <c r="A174" i="13"/>
  <c r="M175" i="5"/>
  <c r="C175" i="1"/>
  <c r="S176" i="5"/>
  <c r="B176" i="5"/>
  <c r="A175" i="13"/>
  <c r="M176" i="5"/>
  <c r="C176" i="1"/>
  <c r="S177" i="5"/>
  <c r="B177" i="5"/>
  <c r="A176" i="13"/>
  <c r="M177" i="5"/>
  <c r="C177" i="1"/>
  <c r="S178" i="5"/>
  <c r="B178" i="5"/>
  <c r="A177" i="13"/>
  <c r="M178" i="5"/>
  <c r="C178" i="1"/>
  <c r="S179" i="5"/>
  <c r="B179" i="5"/>
  <c r="A178" i="13"/>
  <c r="M179" i="5"/>
  <c r="C179" i="1"/>
  <c r="S180" i="5"/>
  <c r="B180" i="5"/>
  <c r="A179" i="13"/>
  <c r="M180" i="5"/>
  <c r="C180" i="1"/>
  <c r="S181" i="5"/>
  <c r="B181" i="5"/>
  <c r="A180" i="13"/>
  <c r="M181" i="5"/>
  <c r="C181" i="1"/>
  <c r="S182" i="5"/>
  <c r="B182" i="5"/>
  <c r="A181" i="13"/>
  <c r="M182" i="5"/>
  <c r="C182" i="1"/>
  <c r="S183" i="5"/>
  <c r="B183" i="5"/>
  <c r="A182" i="13"/>
  <c r="M183" i="5"/>
  <c r="C183" i="1"/>
  <c r="S184" i="5"/>
  <c r="B184" i="5"/>
  <c r="A183" i="13"/>
  <c r="M184" i="5"/>
  <c r="C184" i="1"/>
  <c r="S185" i="5"/>
  <c r="B185" i="5"/>
  <c r="A184" i="13"/>
  <c r="M185" i="5"/>
  <c r="C185" i="1"/>
  <c r="S186" i="5"/>
  <c r="B186" i="5"/>
  <c r="A185" i="13"/>
  <c r="M186" i="5"/>
  <c r="C186" i="1"/>
  <c r="S187" i="5"/>
  <c r="B187" i="5"/>
  <c r="A186" i="13"/>
  <c r="M187" i="5"/>
  <c r="C187" i="1"/>
  <c r="S188" i="5"/>
  <c r="B188" i="5"/>
  <c r="A187" i="13"/>
  <c r="M188" i="5"/>
  <c r="C188" i="1"/>
  <c r="S189" i="5"/>
  <c r="B189" i="5"/>
  <c r="A188" i="13"/>
  <c r="M189" i="5"/>
  <c r="C189" i="1"/>
  <c r="S190" i="5"/>
  <c r="B190" i="5"/>
  <c r="A189" i="13"/>
  <c r="M190" i="5"/>
  <c r="C190" i="1"/>
  <c r="S191" i="5"/>
  <c r="B191" i="5"/>
  <c r="A190" i="13"/>
  <c r="M191" i="5"/>
  <c r="C191" i="1"/>
  <c r="S192" i="5"/>
  <c r="B192" i="5"/>
  <c r="A191" i="13"/>
  <c r="M192" i="5"/>
  <c r="C192" i="1"/>
  <c r="S193" i="5"/>
  <c r="B193" i="5"/>
  <c r="A192" i="13"/>
  <c r="M193" i="5"/>
  <c r="C193" i="1"/>
  <c r="S194" i="5"/>
  <c r="B194" i="5"/>
  <c r="A193" i="13"/>
  <c r="M194" i="5"/>
  <c r="C194" i="1"/>
  <c r="S195" i="5"/>
  <c r="B195" i="5"/>
  <c r="A194" i="13"/>
  <c r="M195" i="5"/>
  <c r="C195" i="1"/>
  <c r="S196" i="5"/>
  <c r="B196" i="5"/>
  <c r="A195" i="13"/>
  <c r="M196" i="5"/>
  <c r="C196" i="1"/>
  <c r="S197" i="5"/>
  <c r="B197" i="5"/>
  <c r="A196" i="13"/>
  <c r="M197" i="5"/>
  <c r="C197" i="1"/>
  <c r="S198" i="5"/>
  <c r="B198" i="5"/>
  <c r="A197" i="13"/>
  <c r="M198" i="5"/>
  <c r="C198" i="1"/>
  <c r="S199" i="5"/>
  <c r="B199" i="5"/>
  <c r="A198" i="13"/>
  <c r="M199" i="5"/>
  <c r="C199" i="1"/>
  <c r="S200" i="5"/>
  <c r="B200" i="5"/>
  <c r="A199" i="13"/>
  <c r="M200" i="5"/>
  <c r="C200" i="1"/>
  <c r="S201" i="5"/>
  <c r="B201" i="5"/>
  <c r="A200" i="13"/>
  <c r="M201" i="5"/>
  <c r="C201" i="1"/>
  <c r="S202" i="5"/>
  <c r="B202" i="5"/>
  <c r="A201" i="13"/>
  <c r="M202" i="5"/>
  <c r="C202" i="1"/>
  <c r="S203" i="5"/>
  <c r="B203" i="5"/>
  <c r="A202" i="13"/>
  <c r="J4" i="6"/>
  <c r="W4" i="11"/>
  <c r="X4" i="11"/>
  <c r="Z4" i="11"/>
  <c r="AO4" i="6"/>
  <c r="J5" i="6"/>
  <c r="W5" i="11"/>
  <c r="X5" i="11"/>
  <c r="Z5" i="11"/>
  <c r="U37" i="3"/>
  <c r="D37" i="3"/>
  <c r="X6" i="11"/>
  <c r="X8" i="11"/>
  <c r="X9" i="11"/>
  <c r="U18" i="3"/>
  <c r="D18" i="3"/>
  <c r="X10" i="11"/>
  <c r="Z11" i="11"/>
  <c r="X13" i="11"/>
  <c r="X14" i="11"/>
  <c r="X15" i="11"/>
  <c r="X16" i="11"/>
  <c r="X17" i="11"/>
  <c r="X18" i="11"/>
  <c r="X19" i="11"/>
  <c r="X20" i="11"/>
  <c r="X22" i="11"/>
  <c r="X23" i="11"/>
  <c r="X24" i="11"/>
  <c r="X25" i="11"/>
  <c r="X26" i="11"/>
  <c r="X27" i="11"/>
  <c r="Z28" i="11"/>
  <c r="X29" i="11"/>
  <c r="X31" i="11"/>
  <c r="X32" i="11"/>
  <c r="X33" i="11"/>
  <c r="X34" i="11"/>
  <c r="Y34" i="11"/>
  <c r="X35" i="11"/>
  <c r="Y35" i="11"/>
  <c r="X18" i="6"/>
  <c r="X37" i="11"/>
  <c r="Y37" i="11"/>
  <c r="X38" i="11"/>
  <c r="Y38" i="11"/>
  <c r="X39" i="11"/>
  <c r="Y39" i="11"/>
  <c r="X40" i="11"/>
  <c r="Y40" i="11"/>
  <c r="X20" i="6"/>
  <c r="Y41" i="11"/>
  <c r="Z41" i="11"/>
  <c r="X42" i="11"/>
  <c r="Y42" i="11"/>
  <c r="R39" i="3"/>
  <c r="R23" i="3"/>
  <c r="G23" i="3"/>
  <c r="R24" i="3"/>
  <c r="G24" i="3"/>
  <c r="R25" i="3"/>
  <c r="G25" i="3"/>
  <c r="R28" i="3"/>
  <c r="G28" i="3"/>
  <c r="R29" i="3"/>
  <c r="G29" i="3"/>
  <c r="R30" i="3"/>
  <c r="G30" i="3"/>
  <c r="R31" i="3"/>
  <c r="G31" i="3"/>
  <c r="R32" i="3"/>
  <c r="G32" i="3"/>
  <c r="R40" i="3"/>
  <c r="G40" i="3"/>
  <c r="G44" i="3"/>
  <c r="G45" i="3"/>
  <c r="R22" i="3"/>
  <c r="G22" i="3"/>
  <c r="R37" i="3"/>
  <c r="O4" i="1"/>
  <c r="AC6" i="6"/>
  <c r="AD6" i="6"/>
  <c r="AE6" i="6"/>
  <c r="AD7" i="6"/>
  <c r="AE7" i="6"/>
  <c r="AD8" i="6"/>
  <c r="AE8" i="6"/>
  <c r="M5" i="5"/>
  <c r="O5" i="1"/>
  <c r="AD9" i="6"/>
  <c r="AE9" i="6"/>
  <c r="AD10" i="6"/>
  <c r="AE10" i="6"/>
  <c r="AD11" i="6"/>
  <c r="AE11" i="6"/>
  <c r="AD12" i="6"/>
  <c r="AE12" i="6"/>
  <c r="M6" i="5"/>
  <c r="O6" i="1"/>
  <c r="AD13" i="6"/>
  <c r="AE13" i="6"/>
  <c r="AD14" i="6"/>
  <c r="AE14" i="6"/>
  <c r="AD15" i="6"/>
  <c r="AE15" i="6"/>
  <c r="AD16" i="6"/>
  <c r="AE16" i="6"/>
  <c r="AD17" i="6"/>
  <c r="AE17" i="6"/>
  <c r="AQ4" i="6"/>
  <c r="C5" i="1"/>
  <c r="D5" i="1"/>
  <c r="C6" i="1"/>
  <c r="D6" i="1"/>
  <c r="M7" i="5"/>
  <c r="C7" i="1"/>
  <c r="D7" i="1"/>
  <c r="AD18" i="6"/>
  <c r="AE18" i="6"/>
  <c r="O7" i="1"/>
  <c r="AD19" i="6"/>
  <c r="AE19" i="6"/>
  <c r="AD20" i="6"/>
  <c r="AE20" i="6"/>
  <c r="X21" i="6"/>
  <c r="AD21" i="6"/>
  <c r="AE21" i="6"/>
  <c r="AP4" i="6"/>
  <c r="B8" i="1"/>
  <c r="D8" i="1"/>
  <c r="B9" i="1"/>
  <c r="D9" i="1"/>
  <c r="B10" i="1"/>
  <c r="D10" i="1"/>
  <c r="B11" i="1"/>
  <c r="D11" i="1"/>
  <c r="B12" i="1"/>
  <c r="D12" i="1"/>
  <c r="B13" i="1"/>
  <c r="D13" i="1"/>
  <c r="B14" i="1"/>
  <c r="D14" i="1"/>
  <c r="B15" i="1"/>
  <c r="D15" i="1"/>
  <c r="B16" i="1"/>
  <c r="D16" i="1"/>
  <c r="B17" i="1"/>
  <c r="D17" i="1"/>
  <c r="B18" i="1"/>
  <c r="D18" i="1"/>
  <c r="B19" i="1"/>
  <c r="D19" i="1"/>
  <c r="B20" i="1"/>
  <c r="D20" i="1"/>
  <c r="B21" i="1"/>
  <c r="D21" i="1"/>
  <c r="T23" i="3"/>
  <c r="V23" i="3"/>
  <c r="W23" i="3"/>
  <c r="V22" i="3"/>
  <c r="R12" i="3"/>
  <c r="G12" i="3"/>
  <c r="V12" i="3"/>
  <c r="V11" i="3"/>
  <c r="AA11" i="3"/>
  <c r="AA12" i="3"/>
  <c r="R13" i="3"/>
  <c r="G13" i="3"/>
  <c r="V13" i="3"/>
  <c r="AA13" i="3"/>
  <c r="AA14" i="3"/>
  <c r="R15" i="3"/>
  <c r="G15" i="3"/>
  <c r="V15" i="3"/>
  <c r="AA15" i="3"/>
  <c r="R16" i="3"/>
  <c r="G16" i="3"/>
  <c r="V16" i="3"/>
  <c r="AA16" i="3"/>
  <c r="V17" i="3"/>
  <c r="AA17" i="3"/>
  <c r="AA18" i="3"/>
  <c r="R19" i="3"/>
  <c r="G19" i="3"/>
  <c r="V19" i="3"/>
  <c r="AA19" i="3"/>
  <c r="R20" i="3"/>
  <c r="G20" i="3"/>
  <c r="V20" i="3"/>
  <c r="AA20" i="3"/>
  <c r="R21" i="3"/>
  <c r="G21" i="3"/>
  <c r="V21" i="3"/>
  <c r="AA21" i="3"/>
  <c r="R26" i="3"/>
  <c r="G26" i="3"/>
  <c r="V26" i="3"/>
  <c r="AA22" i="3"/>
  <c r="AA23" i="3"/>
  <c r="V24" i="3"/>
  <c r="AA24" i="3"/>
  <c r="V25" i="3"/>
  <c r="AA25" i="3"/>
  <c r="AA26" i="3"/>
  <c r="R27" i="3"/>
  <c r="G27" i="3"/>
  <c r="V27" i="3"/>
  <c r="AA27" i="3"/>
  <c r="G41" i="3"/>
  <c r="V41" i="3"/>
  <c r="V28" i="3"/>
  <c r="AA28" i="3"/>
  <c r="V29" i="3"/>
  <c r="AA29" i="3"/>
  <c r="V30" i="3"/>
  <c r="AA30" i="3"/>
  <c r="V31" i="3"/>
  <c r="AA31" i="3"/>
  <c r="V32" i="3"/>
  <c r="AA32" i="3"/>
  <c r="R33" i="3"/>
  <c r="G33" i="3"/>
  <c r="V33" i="3"/>
  <c r="AA33" i="3"/>
  <c r="R34" i="3"/>
  <c r="G34" i="3"/>
  <c r="V34" i="3"/>
  <c r="AA34" i="3"/>
  <c r="R35" i="3"/>
  <c r="G35" i="3"/>
  <c r="V35" i="3"/>
  <c r="AA35" i="3"/>
  <c r="R36" i="3"/>
  <c r="G36" i="3"/>
  <c r="V36" i="3"/>
  <c r="AA36" i="3"/>
  <c r="G37" i="3"/>
  <c r="V37" i="3"/>
  <c r="AA37" i="3"/>
  <c r="R38" i="3"/>
  <c r="G38" i="3"/>
  <c r="V38" i="3"/>
  <c r="AA38" i="3"/>
  <c r="V39" i="3"/>
  <c r="AA39" i="3"/>
  <c r="V40" i="3"/>
  <c r="AA40" i="3"/>
  <c r="AA41" i="3"/>
  <c r="R43" i="3"/>
  <c r="G43" i="3"/>
  <c r="V43" i="3"/>
  <c r="G42" i="3"/>
  <c r="V42" i="3"/>
  <c r="AA42" i="3"/>
  <c r="AA43" i="3"/>
  <c r="T24" i="3"/>
  <c r="W24" i="3"/>
  <c r="B22" i="1"/>
  <c r="D22" i="1"/>
  <c r="B23" i="1"/>
  <c r="D23" i="1"/>
  <c r="B24" i="1"/>
  <c r="D24" i="1"/>
  <c r="B25" i="1"/>
  <c r="D25" i="1"/>
  <c r="B26" i="1"/>
  <c r="D26" i="1"/>
  <c r="B27" i="1"/>
  <c r="D27" i="1"/>
  <c r="B28" i="1"/>
  <c r="D28" i="1"/>
  <c r="B29" i="1"/>
  <c r="D29" i="1"/>
  <c r="B30" i="1"/>
  <c r="D30" i="1"/>
  <c r="B31" i="1"/>
  <c r="D31" i="1"/>
  <c r="B32" i="1"/>
  <c r="D32" i="1"/>
  <c r="B33" i="1"/>
  <c r="D33" i="1"/>
  <c r="B34" i="1"/>
  <c r="D34" i="1"/>
  <c r="B35" i="1"/>
  <c r="D35" i="1"/>
  <c r="B36" i="1"/>
  <c r="D36" i="1"/>
  <c r="B37" i="1"/>
  <c r="D37" i="1"/>
  <c r="B38" i="1"/>
  <c r="D38" i="1"/>
  <c r="B39" i="1"/>
  <c r="D39" i="1"/>
  <c r="B40" i="1"/>
  <c r="D40" i="1"/>
  <c r="B41" i="1"/>
  <c r="D41" i="1"/>
  <c r="B42" i="1"/>
  <c r="D42" i="1"/>
  <c r="B43" i="1"/>
  <c r="D43" i="1"/>
  <c r="B44" i="1"/>
  <c r="D44" i="1"/>
  <c r="B45" i="1"/>
  <c r="D45" i="1"/>
  <c r="B46" i="1"/>
  <c r="D46" i="1"/>
  <c r="B47" i="1"/>
  <c r="D47" i="1"/>
  <c r="B48" i="1"/>
  <c r="D48" i="1"/>
  <c r="B49" i="1"/>
  <c r="D49" i="1"/>
  <c r="B50" i="1"/>
  <c r="D50" i="1"/>
  <c r="B51" i="1"/>
  <c r="D51" i="1"/>
  <c r="B52" i="1"/>
  <c r="D52" i="1"/>
  <c r="B53" i="1"/>
  <c r="D53" i="1"/>
  <c r="B54" i="1"/>
  <c r="D54" i="1"/>
  <c r="B55" i="1"/>
  <c r="D55" i="1"/>
  <c r="B56" i="1"/>
  <c r="D56" i="1"/>
  <c r="B57" i="1"/>
  <c r="D57" i="1"/>
  <c r="B58" i="1"/>
  <c r="D58" i="1"/>
  <c r="B59" i="1"/>
  <c r="D59" i="1"/>
  <c r="B60" i="1"/>
  <c r="D60" i="1"/>
  <c r="B61" i="1"/>
  <c r="D61" i="1"/>
  <c r="B62" i="1"/>
  <c r="D62" i="1"/>
  <c r="B63" i="1"/>
  <c r="D63" i="1"/>
  <c r="B64" i="1"/>
  <c r="D64" i="1"/>
  <c r="B65" i="1"/>
  <c r="D65" i="1"/>
  <c r="B66" i="1"/>
  <c r="D66" i="1"/>
  <c r="B67" i="1"/>
  <c r="D67" i="1"/>
  <c r="B68" i="1"/>
  <c r="D68" i="1"/>
  <c r="B69" i="1"/>
  <c r="D69" i="1"/>
  <c r="B70" i="1"/>
  <c r="D70" i="1"/>
  <c r="B71" i="1"/>
  <c r="D71" i="1"/>
  <c r="B72" i="1"/>
  <c r="D72" i="1"/>
  <c r="B73" i="1"/>
  <c r="D73" i="1"/>
  <c r="B74" i="1"/>
  <c r="D74" i="1"/>
  <c r="B75" i="1"/>
  <c r="D75" i="1"/>
  <c r="B76" i="1"/>
  <c r="D76" i="1"/>
  <c r="B77" i="1"/>
  <c r="D77" i="1"/>
  <c r="B78" i="1"/>
  <c r="D78" i="1"/>
  <c r="B79" i="1"/>
  <c r="D79" i="1"/>
  <c r="B80" i="1"/>
  <c r="D80" i="1"/>
  <c r="B81" i="1"/>
  <c r="D81" i="1"/>
  <c r="B82" i="1"/>
  <c r="D82" i="1"/>
  <c r="B83" i="1"/>
  <c r="D83" i="1"/>
  <c r="W25" i="3"/>
  <c r="T28" i="3"/>
  <c r="W28" i="3"/>
  <c r="T29" i="3"/>
  <c r="W29" i="3"/>
  <c r="T30" i="3"/>
  <c r="W30" i="3"/>
  <c r="T31" i="3"/>
  <c r="W31" i="3"/>
  <c r="T32" i="3"/>
  <c r="W32" i="3"/>
  <c r="T40" i="3"/>
  <c r="W40" i="3"/>
  <c r="V44" i="3"/>
  <c r="W44" i="3"/>
  <c r="AA44" i="3"/>
  <c r="V45" i="3"/>
  <c r="W45" i="3"/>
  <c r="AA45" i="3"/>
  <c r="W22" i="3"/>
  <c r="T22" i="3"/>
  <c r="A34" i="3"/>
  <c r="A35" i="3"/>
  <c r="A36" i="3"/>
  <c r="A37" i="3"/>
  <c r="A38" i="3"/>
  <c r="A39" i="3"/>
  <c r="A40" i="3"/>
  <c r="A41" i="3"/>
  <c r="A42" i="3"/>
  <c r="A43" i="3"/>
  <c r="A44" i="3"/>
  <c r="A45" i="3"/>
  <c r="A46" i="3"/>
  <c r="A47" i="3"/>
  <c r="A48" i="3"/>
  <c r="A49" i="3"/>
  <c r="A50" i="3"/>
  <c r="A51" i="3"/>
  <c r="A52" i="3"/>
  <c r="A53" i="3"/>
  <c r="A54" i="3"/>
  <c r="A55" i="3"/>
  <c r="A56" i="3"/>
  <c r="A57" i="3"/>
  <c r="A58" i="3"/>
  <c r="G49" i="3"/>
  <c r="G14" i="3"/>
  <c r="B4" i="1"/>
  <c r="V4" i="1"/>
  <c r="U4" i="17"/>
  <c r="W4" i="1"/>
  <c r="V5" i="1"/>
  <c r="B5" i="1"/>
  <c r="B6" i="1"/>
  <c r="B7" i="1"/>
  <c r="B6" i="5"/>
  <c r="B7" i="5"/>
  <c r="B8" i="5"/>
  <c r="B5" i="5"/>
  <c r="B4" i="5"/>
  <c r="A3" i="13"/>
  <c r="A5" i="13"/>
  <c r="A4" i="13"/>
  <c r="A7" i="13"/>
  <c r="B12" i="17"/>
  <c r="B14" i="17"/>
  <c r="B16" i="17"/>
  <c r="B18" i="17"/>
  <c r="B20" i="17"/>
  <c r="B22" i="17"/>
  <c r="B24" i="17"/>
  <c r="B26" i="17"/>
  <c r="B28" i="17"/>
  <c r="B30" i="17"/>
  <c r="B32" i="17"/>
  <c r="B34" i="17"/>
  <c r="B36" i="17"/>
  <c r="B38" i="17"/>
  <c r="B13" i="17"/>
  <c r="B15" i="17"/>
  <c r="B17" i="17"/>
  <c r="B19" i="17"/>
  <c r="B21" i="17"/>
  <c r="B23" i="17"/>
  <c r="B25" i="17"/>
  <c r="B27" i="17"/>
  <c r="B29" i="17"/>
  <c r="B31" i="17"/>
  <c r="B33" i="17"/>
  <c r="B35" i="17"/>
  <c r="B37" i="17"/>
  <c r="B39" i="17"/>
  <c r="AA4" i="11"/>
  <c r="Y4" i="6"/>
  <c r="AF4" i="6"/>
  <c r="AG4" i="6"/>
  <c r="AH4" i="6"/>
  <c r="AN4" i="6"/>
  <c r="AF5" i="6"/>
  <c r="AG5" i="6"/>
  <c r="AH5" i="6"/>
  <c r="AA5" i="11"/>
  <c r="Y5" i="6"/>
  <c r="AN5" i="6"/>
  <c r="AF6" i="6"/>
  <c r="AG6" i="6"/>
  <c r="AH6" i="6"/>
  <c r="AA6" i="11"/>
  <c r="AA7" i="11"/>
  <c r="Y6" i="6"/>
  <c r="AN6" i="6"/>
  <c r="AF7" i="6"/>
  <c r="AG7" i="6"/>
  <c r="AH7" i="6"/>
  <c r="AA8" i="11"/>
  <c r="AA9" i="11"/>
  <c r="Y7" i="6"/>
  <c r="AN7" i="6"/>
  <c r="AF8" i="6"/>
  <c r="AG8" i="6"/>
  <c r="AH8" i="6"/>
  <c r="G18" i="3"/>
  <c r="AA10" i="11"/>
  <c r="Y8" i="6"/>
  <c r="AN8" i="6"/>
  <c r="AF9" i="6"/>
  <c r="AG9" i="6"/>
  <c r="AH9" i="6"/>
  <c r="AA11" i="11"/>
  <c r="AA12" i="11"/>
  <c r="Y9" i="6"/>
  <c r="AN9" i="6"/>
  <c r="AF10" i="6"/>
  <c r="AG10" i="6"/>
  <c r="AH10" i="6"/>
  <c r="AA13" i="11"/>
  <c r="AA14" i="11"/>
  <c r="Y10" i="6"/>
  <c r="AN10" i="6"/>
  <c r="AF11" i="6"/>
  <c r="AG11" i="6"/>
  <c r="AH11" i="6"/>
  <c r="AA15" i="11"/>
  <c r="AA17" i="11"/>
  <c r="AA16" i="11"/>
  <c r="Y11" i="6"/>
  <c r="AN11" i="6"/>
  <c r="AF12" i="6"/>
  <c r="AG12" i="6"/>
  <c r="AH12" i="6"/>
  <c r="AA18" i="11"/>
  <c r="AA19" i="11"/>
  <c r="Y12" i="6"/>
  <c r="AN12" i="6"/>
  <c r="AF13" i="6"/>
  <c r="AG13" i="6"/>
  <c r="AH13" i="6"/>
  <c r="AA20" i="11"/>
  <c r="AA21" i="11"/>
  <c r="AA22" i="11"/>
  <c r="Y13" i="6"/>
  <c r="AN13" i="6"/>
  <c r="AF14" i="6"/>
  <c r="AG14" i="6"/>
  <c r="AH14" i="6"/>
  <c r="AA23" i="11"/>
  <c r="AA24" i="11"/>
  <c r="AA25" i="11"/>
  <c r="Y14" i="6"/>
  <c r="AN14" i="6"/>
  <c r="AF15" i="6"/>
  <c r="AG15" i="6"/>
  <c r="AH15" i="6"/>
  <c r="AA26" i="11"/>
  <c r="AA27" i="11"/>
  <c r="AA28" i="11"/>
  <c r="Y15" i="6"/>
  <c r="AN15" i="6"/>
  <c r="AF16" i="6"/>
  <c r="AG16" i="6"/>
  <c r="AH16" i="6"/>
  <c r="AA29" i="11"/>
  <c r="AA30" i="11"/>
  <c r="AA31" i="11"/>
  <c r="Y16" i="6"/>
  <c r="AN16" i="6"/>
  <c r="AF17" i="6"/>
  <c r="AG17" i="6"/>
  <c r="AH17" i="6"/>
  <c r="AA32" i="11"/>
  <c r="AA33" i="11"/>
  <c r="Y17" i="6"/>
  <c r="AN17" i="6"/>
  <c r="AF18" i="6"/>
  <c r="AG18" i="6"/>
  <c r="AH18" i="6"/>
  <c r="AA34" i="11"/>
  <c r="AA35" i="11"/>
  <c r="Y18" i="6"/>
  <c r="AN18" i="6"/>
  <c r="AF19" i="6"/>
  <c r="AG19" i="6"/>
  <c r="AH19" i="6"/>
  <c r="AA36" i="11"/>
  <c r="AA37" i="11"/>
  <c r="Y19" i="6"/>
  <c r="AN19" i="6"/>
  <c r="AF20" i="6"/>
  <c r="AG20" i="6"/>
  <c r="AH20" i="6"/>
  <c r="AA38" i="11"/>
  <c r="AA39" i="11"/>
  <c r="AA40" i="11"/>
  <c r="Y20" i="6"/>
  <c r="AN20" i="6"/>
  <c r="AF21" i="6"/>
  <c r="AG21" i="6"/>
  <c r="AH21" i="6"/>
  <c r="O45" i="1"/>
  <c r="O15" i="1"/>
  <c r="O87" i="1"/>
  <c r="O154" i="1"/>
  <c r="O23" i="1"/>
  <c r="O194" i="1"/>
  <c r="W4" i="6"/>
  <c r="Z4" i="6"/>
  <c r="AA4" i="6"/>
  <c r="AB4" i="6"/>
  <c r="AL4" i="6"/>
  <c r="Z5" i="6"/>
  <c r="AA5" i="6"/>
  <c r="AB5" i="6"/>
  <c r="W5" i="6"/>
  <c r="AL5" i="6"/>
  <c r="Z6" i="6"/>
  <c r="AA6" i="6"/>
  <c r="AB6" i="6"/>
  <c r="R7" i="1"/>
  <c r="R4" i="1"/>
  <c r="AA7" i="6"/>
  <c r="AB7" i="6"/>
  <c r="W7" i="6"/>
  <c r="AA8" i="6"/>
  <c r="AB8" i="6"/>
  <c r="W8" i="6"/>
  <c r="AA9" i="6"/>
  <c r="AB9" i="6"/>
  <c r="R45" i="1"/>
  <c r="R15" i="1"/>
  <c r="R87" i="1"/>
  <c r="R154" i="1"/>
  <c r="R23" i="1"/>
  <c r="R194" i="1"/>
  <c r="AA10" i="6"/>
  <c r="AB10" i="6"/>
  <c r="W10" i="6"/>
  <c r="AA11" i="6"/>
  <c r="AB11" i="6"/>
  <c r="W11" i="6"/>
  <c r="AA12" i="6"/>
  <c r="AB12" i="6"/>
  <c r="W12" i="6"/>
  <c r="AA13" i="6"/>
  <c r="AB13" i="6"/>
  <c r="AA14" i="6"/>
  <c r="AB14" i="6"/>
  <c r="W14" i="6"/>
  <c r="AA15" i="6"/>
  <c r="AB15" i="6"/>
  <c r="AA16" i="6"/>
  <c r="AB16" i="6"/>
  <c r="AA17" i="6"/>
  <c r="AB17" i="6"/>
  <c r="W17" i="6"/>
  <c r="AA18" i="6"/>
  <c r="AB18" i="6"/>
  <c r="W18" i="6"/>
  <c r="AA19" i="6"/>
  <c r="AB19" i="6"/>
  <c r="AA20" i="6"/>
  <c r="AB20" i="6"/>
  <c r="W20" i="6"/>
  <c r="AA21" i="6"/>
  <c r="AB21" i="6"/>
  <c r="R69" i="1"/>
  <c r="R173" i="1"/>
  <c r="O69" i="1"/>
  <c r="O173" i="1"/>
  <c r="C17" i="11"/>
  <c r="D17" i="11"/>
  <c r="E17" i="11"/>
  <c r="F17" i="11"/>
  <c r="B16" i="11"/>
  <c r="B17" i="11"/>
  <c r="R50" i="3"/>
  <c r="B202" i="1"/>
  <c r="D202" i="1"/>
  <c r="R52" i="3"/>
  <c r="F10" i="2"/>
  <c r="AH10" i="2"/>
  <c r="F11" i="2"/>
  <c r="AH11" i="2"/>
  <c r="F12" i="2"/>
  <c r="AH12" i="2"/>
  <c r="F13" i="2"/>
  <c r="AH13" i="2"/>
  <c r="F14" i="2"/>
  <c r="AH14" i="2"/>
  <c r="F15" i="2"/>
  <c r="AH15" i="2"/>
  <c r="F16" i="2"/>
  <c r="AH16" i="2"/>
  <c r="F17" i="2"/>
  <c r="AH17" i="2"/>
  <c r="F18" i="2"/>
  <c r="AH18" i="2"/>
  <c r="F19" i="2"/>
  <c r="AH19" i="2"/>
  <c r="F20" i="2"/>
  <c r="AH20" i="2"/>
  <c r="F21" i="2"/>
  <c r="AH21" i="2"/>
  <c r="F22" i="2"/>
  <c r="AH22" i="2"/>
  <c r="F23" i="2"/>
  <c r="AH23" i="2"/>
  <c r="F24" i="2"/>
  <c r="AH24" i="2"/>
  <c r="F25" i="2"/>
  <c r="AH25" i="2"/>
  <c r="F26" i="2"/>
  <c r="AH26" i="2"/>
  <c r="F27" i="2"/>
  <c r="AH27" i="2"/>
  <c r="F28" i="2"/>
  <c r="AH28" i="2"/>
  <c r="F29" i="2"/>
  <c r="AH29" i="2"/>
  <c r="F30" i="2"/>
  <c r="AH30" i="2"/>
  <c r="F31" i="2"/>
  <c r="AH31" i="2"/>
  <c r="F32" i="2"/>
  <c r="AH32" i="2"/>
  <c r="F33" i="2"/>
  <c r="AH33" i="2"/>
  <c r="F34" i="2"/>
  <c r="AH34" i="2"/>
  <c r="F35" i="2"/>
  <c r="AH35" i="2"/>
  <c r="F36" i="2"/>
  <c r="AH36" i="2"/>
  <c r="F37" i="2"/>
  <c r="AH37" i="2"/>
  <c r="F38" i="2"/>
  <c r="AH38" i="2"/>
  <c r="F39" i="2"/>
  <c r="AH39" i="2"/>
  <c r="F40" i="2"/>
  <c r="AH40" i="2"/>
  <c r="F41" i="2"/>
  <c r="AH41" i="2"/>
  <c r="F42" i="2"/>
  <c r="AH42" i="2"/>
  <c r="F43" i="2"/>
  <c r="AH43" i="2"/>
  <c r="F44" i="2"/>
  <c r="AH44" i="2"/>
  <c r="F45" i="2"/>
  <c r="AH45" i="2"/>
  <c r="F46" i="2"/>
  <c r="AH46" i="2"/>
  <c r="F47" i="2"/>
  <c r="AH47" i="2"/>
  <c r="B4" i="11"/>
  <c r="B5" i="11"/>
  <c r="B6" i="11"/>
  <c r="C4" i="11"/>
  <c r="D4" i="11"/>
  <c r="E4" i="11"/>
  <c r="F4" i="11"/>
  <c r="C5" i="11"/>
  <c r="D5" i="11"/>
  <c r="E5" i="11"/>
  <c r="F5" i="11"/>
  <c r="C6" i="11"/>
  <c r="D6" i="11"/>
  <c r="E6" i="11"/>
  <c r="F6" i="11"/>
  <c r="B7" i="11"/>
  <c r="B8" i="11"/>
  <c r="B9" i="11"/>
  <c r="B10" i="11"/>
  <c r="C7" i="11"/>
  <c r="D7" i="11"/>
  <c r="E7" i="11"/>
  <c r="F7" i="11"/>
  <c r="C8" i="11"/>
  <c r="D8" i="11"/>
  <c r="E8" i="11"/>
  <c r="F8" i="11"/>
  <c r="C9" i="11"/>
  <c r="D9" i="11"/>
  <c r="E9" i="11"/>
  <c r="F9" i="11"/>
  <c r="C10" i="11"/>
  <c r="D10" i="11"/>
  <c r="E10" i="11"/>
  <c r="F10" i="11"/>
  <c r="B11" i="11"/>
  <c r="B12" i="11"/>
  <c r="B13" i="11"/>
  <c r="B14" i="11"/>
  <c r="C11" i="11"/>
  <c r="D11" i="11"/>
  <c r="E11" i="11"/>
  <c r="F11" i="11"/>
  <c r="B15" i="11"/>
  <c r="B18" i="11"/>
  <c r="B19" i="11"/>
  <c r="B20" i="11"/>
  <c r="B21" i="11"/>
  <c r="B22" i="11"/>
  <c r="B23" i="11"/>
  <c r="C12" i="11"/>
  <c r="D12" i="11"/>
  <c r="E12" i="11"/>
  <c r="F12" i="11"/>
  <c r="C13" i="11"/>
  <c r="D13" i="11"/>
  <c r="E13" i="11"/>
  <c r="F13" i="11"/>
  <c r="C14" i="11"/>
  <c r="D14" i="11"/>
  <c r="E14" i="11"/>
  <c r="F14" i="11"/>
  <c r="C15" i="11"/>
  <c r="D15" i="11"/>
  <c r="E15" i="11"/>
  <c r="F15" i="11"/>
  <c r="B24" i="11"/>
  <c r="B25" i="11"/>
  <c r="B26" i="11"/>
  <c r="B27" i="11"/>
  <c r="C16" i="11"/>
  <c r="D16" i="11"/>
  <c r="E16" i="11"/>
  <c r="F16" i="11"/>
  <c r="C18" i="11"/>
  <c r="D18" i="11"/>
  <c r="E18" i="11"/>
  <c r="F18" i="11"/>
  <c r="C19" i="11"/>
  <c r="D19" i="11"/>
  <c r="E19" i="11"/>
  <c r="F19" i="11"/>
  <c r="C20" i="11"/>
  <c r="D20" i="11"/>
  <c r="E20" i="11"/>
  <c r="F20" i="11"/>
  <c r="B28" i="11"/>
  <c r="B29" i="11"/>
  <c r="B30" i="11"/>
  <c r="B31"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B32" i="11"/>
  <c r="C32" i="11"/>
  <c r="D32" i="11"/>
  <c r="E32" i="11"/>
  <c r="F32" i="11"/>
  <c r="B33" i="11"/>
  <c r="C33" i="11"/>
  <c r="D33" i="11"/>
  <c r="E33" i="11"/>
  <c r="F33" i="11"/>
  <c r="B34" i="11"/>
  <c r="C34" i="11"/>
  <c r="D34" i="11"/>
  <c r="E34" i="11"/>
  <c r="F34" i="11"/>
  <c r="B35" i="11"/>
  <c r="C35" i="11"/>
  <c r="D35" i="11"/>
  <c r="E35" i="11"/>
  <c r="F35" i="11"/>
  <c r="B36" i="11"/>
  <c r="C36" i="11"/>
  <c r="D36" i="11"/>
  <c r="E36" i="11"/>
  <c r="F36" i="11"/>
  <c r="B37" i="11"/>
  <c r="B38" i="11"/>
  <c r="B39" i="11"/>
  <c r="B40" i="11"/>
  <c r="C37" i="11"/>
  <c r="D37" i="11"/>
  <c r="E37" i="11"/>
  <c r="F37" i="11"/>
  <c r="C38" i="11"/>
  <c r="D38" i="11"/>
  <c r="E38" i="11"/>
  <c r="F38" i="11"/>
  <c r="C39" i="11"/>
  <c r="D39" i="11"/>
  <c r="E39" i="11"/>
  <c r="F39" i="11"/>
  <c r="C40" i="11"/>
  <c r="D40" i="11"/>
  <c r="E40" i="11"/>
  <c r="F40" i="11"/>
  <c r="B41" i="11"/>
  <c r="C41" i="11"/>
  <c r="D41" i="11"/>
  <c r="E41" i="11"/>
  <c r="F41" i="11"/>
  <c r="B42" i="11"/>
  <c r="C42" i="11"/>
  <c r="D42" i="11"/>
  <c r="E42" i="11"/>
  <c r="F42" i="11"/>
  <c r="AS4" i="6"/>
  <c r="AR4" i="6"/>
  <c r="H14" i="9"/>
  <c r="H13" i="9"/>
  <c r="H5" i="9"/>
  <c r="H4" i="9"/>
  <c r="B16" i="9"/>
  <c r="B25" i="9"/>
  <c r="B34" i="9"/>
  <c r="B43" i="9"/>
  <c r="B52" i="9"/>
  <c r="B61" i="9"/>
  <c r="B70" i="9"/>
  <c r="B79" i="9"/>
  <c r="E7" i="9"/>
  <c r="E16" i="9"/>
  <c r="E25" i="9"/>
  <c r="E34" i="9"/>
  <c r="E43" i="9"/>
  <c r="E52" i="9"/>
  <c r="E61" i="9"/>
  <c r="E70" i="9"/>
  <c r="E79" i="9"/>
  <c r="H7" i="9"/>
  <c r="H16" i="9"/>
  <c r="E74" i="9"/>
  <c r="E75" i="9"/>
  <c r="D73" i="9"/>
  <c r="E65" i="9"/>
  <c r="E66" i="9"/>
  <c r="D64" i="9"/>
  <c r="E56" i="9"/>
  <c r="E57" i="9"/>
  <c r="D55" i="9"/>
  <c r="E47" i="9"/>
  <c r="E48" i="9"/>
  <c r="D46" i="9"/>
  <c r="E38" i="9"/>
  <c r="E39" i="9"/>
  <c r="D37" i="9"/>
  <c r="E29" i="9"/>
  <c r="E30" i="9"/>
  <c r="D28" i="9"/>
  <c r="B74" i="9"/>
  <c r="B75" i="9"/>
  <c r="A73" i="9"/>
  <c r="B65" i="9"/>
  <c r="B66" i="9"/>
  <c r="A64" i="9"/>
  <c r="B56" i="9"/>
  <c r="B57" i="9"/>
  <c r="A55" i="9"/>
  <c r="B47" i="9"/>
  <c r="B48" i="9"/>
  <c r="A46" i="9"/>
  <c r="B38" i="9"/>
  <c r="B39" i="9"/>
  <c r="A37" i="9"/>
  <c r="B29" i="9"/>
  <c r="B30" i="9"/>
  <c r="A28" i="9"/>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B84" i="1"/>
  <c r="D84" i="1"/>
  <c r="B85" i="1"/>
  <c r="D85" i="1"/>
  <c r="B86" i="1"/>
  <c r="D86" i="1"/>
  <c r="B87" i="1"/>
  <c r="D87" i="1"/>
  <c r="B88" i="1"/>
  <c r="D88" i="1"/>
  <c r="B89" i="1"/>
  <c r="D89" i="1"/>
  <c r="B90" i="1"/>
  <c r="D90" i="1"/>
  <c r="B91" i="1"/>
  <c r="D91" i="1"/>
  <c r="B92" i="1"/>
  <c r="D92" i="1"/>
  <c r="B93" i="1"/>
  <c r="D93" i="1"/>
  <c r="B94" i="1"/>
  <c r="D94" i="1"/>
  <c r="B95" i="1"/>
  <c r="D95" i="1"/>
  <c r="B96" i="1"/>
  <c r="D96" i="1"/>
  <c r="B97" i="1"/>
  <c r="D97" i="1"/>
  <c r="B98" i="1"/>
  <c r="D98" i="1"/>
  <c r="B99" i="1"/>
  <c r="D99" i="1"/>
  <c r="B100" i="1"/>
  <c r="D100" i="1"/>
  <c r="B101" i="1"/>
  <c r="D101" i="1"/>
  <c r="B102" i="1"/>
  <c r="D102" i="1"/>
  <c r="R53" i="3"/>
  <c r="S18" i="3"/>
  <c r="T18" i="3"/>
  <c r="V18" i="3"/>
  <c r="W18" i="3"/>
  <c r="G4" i="3"/>
  <c r="S5" i="3"/>
  <c r="S6" i="3"/>
  <c r="G5" i="3"/>
  <c r="V5" i="3"/>
  <c r="V4" i="3"/>
  <c r="AA4" i="3"/>
  <c r="AA5" i="3"/>
  <c r="G6" i="3"/>
  <c r="V6" i="3"/>
  <c r="AA6" i="3"/>
  <c r="G7" i="3"/>
  <c r="V7" i="3"/>
  <c r="AA7" i="3"/>
  <c r="G8" i="3"/>
  <c r="V8" i="3"/>
  <c r="AA8" i="3"/>
  <c r="G9" i="3"/>
  <c r="V9" i="3"/>
  <c r="AA9" i="3"/>
  <c r="G10" i="3"/>
  <c r="V10" i="3"/>
  <c r="AA10" i="3"/>
  <c r="V14" i="3"/>
  <c r="T19" i="3"/>
  <c r="W19" i="3"/>
  <c r="T20" i="3"/>
  <c r="W20" i="3"/>
  <c r="T21" i="3"/>
  <c r="W21" i="3"/>
  <c r="T26" i="3"/>
  <c r="W26" i="3"/>
  <c r="T27" i="3"/>
  <c r="W27" i="3"/>
  <c r="W41" i="3"/>
  <c r="T43" i="3"/>
  <c r="W43" i="3"/>
  <c r="W42" i="3"/>
  <c r="T33" i="3"/>
  <c r="W33" i="3"/>
  <c r="T34" i="3"/>
  <c r="W34" i="3"/>
  <c r="T35" i="3"/>
  <c r="W35" i="3"/>
  <c r="T36" i="3"/>
  <c r="W36" i="3"/>
  <c r="T37" i="3"/>
  <c r="W37" i="3"/>
  <c r="T38" i="3"/>
  <c r="W38" i="3"/>
  <c r="W39" i="3"/>
  <c r="G46" i="3"/>
  <c r="V46" i="3"/>
  <c r="W46" i="3"/>
  <c r="AA46" i="3"/>
  <c r="T47" i="3"/>
  <c r="R47" i="3"/>
  <c r="G47" i="3"/>
  <c r="V47" i="3"/>
  <c r="W47" i="3"/>
  <c r="AA47" i="3"/>
  <c r="T48" i="3"/>
  <c r="R48" i="3"/>
  <c r="G48" i="3"/>
  <c r="V48" i="3"/>
  <c r="W48" i="3"/>
  <c r="AA48" i="3"/>
  <c r="S49" i="3"/>
  <c r="V49" i="3"/>
  <c r="W49" i="3"/>
  <c r="AA49" i="3"/>
  <c r="G50" i="3"/>
  <c r="V50" i="3"/>
  <c r="W50" i="3"/>
  <c r="AA50" i="3"/>
  <c r="T51" i="3"/>
  <c r="G51" i="3"/>
  <c r="V51" i="3"/>
  <c r="W51" i="3"/>
  <c r="AA51" i="3"/>
  <c r="T52" i="3"/>
  <c r="G52" i="3"/>
  <c r="V52" i="3"/>
  <c r="W52" i="3"/>
  <c r="AA52" i="3"/>
  <c r="G53" i="3"/>
  <c r="T53" i="3"/>
  <c r="V53" i="3"/>
  <c r="W53" i="3"/>
  <c r="AA53" i="3"/>
  <c r="T54" i="3"/>
  <c r="R54" i="3"/>
  <c r="G54" i="3"/>
  <c r="V54" i="3"/>
  <c r="W54" i="3"/>
  <c r="AA54" i="3"/>
  <c r="T55" i="3"/>
  <c r="R55" i="3"/>
  <c r="G55" i="3"/>
  <c r="V55" i="3"/>
  <c r="W55" i="3"/>
  <c r="AA55" i="3"/>
  <c r="T56" i="3"/>
  <c r="R56" i="3"/>
  <c r="G56" i="3"/>
  <c r="V56" i="3"/>
  <c r="W56" i="3"/>
  <c r="AA56" i="3"/>
  <c r="T57" i="3"/>
  <c r="R57" i="3"/>
  <c r="G57" i="3"/>
  <c r="V57" i="3"/>
  <c r="W57" i="3"/>
  <c r="AA57" i="3"/>
  <c r="T58" i="3"/>
  <c r="R58" i="3"/>
  <c r="G58" i="3"/>
  <c r="V58" i="3"/>
  <c r="W58" i="3"/>
  <c r="AA58"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J18" i="3"/>
  <c r="T203" i="5"/>
  <c r="B103" i="1"/>
  <c r="D103" i="1"/>
  <c r="B104" i="1"/>
  <c r="D104" i="1"/>
  <c r="B105" i="1"/>
  <c r="D105" i="1"/>
  <c r="B106" i="1"/>
  <c r="D106" i="1"/>
  <c r="B107" i="1"/>
  <c r="D107" i="1"/>
  <c r="B108" i="1"/>
  <c r="D108" i="1"/>
  <c r="B109" i="1"/>
  <c r="D109" i="1"/>
  <c r="B110" i="1"/>
  <c r="D110" i="1"/>
  <c r="B111" i="1"/>
  <c r="D111" i="1"/>
  <c r="B112" i="1"/>
  <c r="D112" i="1"/>
  <c r="B113" i="1"/>
  <c r="D113" i="1"/>
  <c r="B114" i="1"/>
  <c r="D114" i="1"/>
  <c r="B115" i="1"/>
  <c r="D115" i="1"/>
  <c r="B116" i="1"/>
  <c r="D116" i="1"/>
  <c r="B117" i="1"/>
  <c r="D117" i="1"/>
  <c r="B118" i="1"/>
  <c r="D118" i="1"/>
  <c r="B119" i="1"/>
  <c r="D119" i="1"/>
  <c r="B120" i="1"/>
  <c r="D120" i="1"/>
  <c r="B121" i="1"/>
  <c r="D121" i="1"/>
  <c r="B122" i="1"/>
  <c r="D122" i="1"/>
  <c r="B123" i="1"/>
  <c r="D123" i="1"/>
  <c r="B124" i="1"/>
  <c r="D124" i="1"/>
  <c r="B125" i="1"/>
  <c r="D125" i="1"/>
  <c r="B126" i="1"/>
  <c r="D126" i="1"/>
  <c r="B127" i="1"/>
  <c r="D127" i="1"/>
  <c r="B128" i="1"/>
  <c r="D128" i="1"/>
  <c r="B129" i="1"/>
  <c r="D129" i="1"/>
  <c r="B130" i="1"/>
  <c r="D130" i="1"/>
  <c r="B131" i="1"/>
  <c r="D131" i="1"/>
  <c r="B132" i="1"/>
  <c r="D132" i="1"/>
  <c r="B133" i="1"/>
  <c r="D133" i="1"/>
  <c r="B134" i="1"/>
  <c r="D134" i="1"/>
  <c r="B135" i="1"/>
  <c r="D135" i="1"/>
  <c r="B136" i="1"/>
  <c r="D136" i="1"/>
  <c r="B137" i="1"/>
  <c r="D137" i="1"/>
  <c r="B138" i="1"/>
  <c r="D138" i="1"/>
  <c r="B139" i="1"/>
  <c r="D139" i="1"/>
  <c r="B140" i="1"/>
  <c r="D140" i="1"/>
  <c r="B141" i="1"/>
  <c r="D141" i="1"/>
  <c r="B142" i="1"/>
  <c r="D142" i="1"/>
  <c r="B143" i="1"/>
  <c r="D143" i="1"/>
  <c r="B144" i="1"/>
  <c r="D144" i="1"/>
  <c r="B145" i="1"/>
  <c r="D145" i="1"/>
  <c r="B146" i="1"/>
  <c r="D146" i="1"/>
  <c r="B147" i="1"/>
  <c r="D147" i="1"/>
  <c r="B148" i="1"/>
  <c r="D148" i="1"/>
  <c r="B149" i="1"/>
  <c r="D149" i="1"/>
  <c r="B150" i="1"/>
  <c r="D150" i="1"/>
  <c r="B151" i="1"/>
  <c r="D151" i="1"/>
  <c r="B152" i="1"/>
  <c r="D152" i="1"/>
  <c r="B153" i="1"/>
  <c r="D153" i="1"/>
  <c r="B154" i="1"/>
  <c r="D154" i="1"/>
  <c r="B155" i="1"/>
  <c r="D155" i="1"/>
  <c r="B156" i="1"/>
  <c r="D156" i="1"/>
  <c r="B157" i="1"/>
  <c r="D157" i="1"/>
  <c r="B158" i="1"/>
  <c r="D158" i="1"/>
  <c r="B159" i="1"/>
  <c r="D159" i="1"/>
  <c r="B160" i="1"/>
  <c r="D160" i="1"/>
  <c r="B161" i="1"/>
  <c r="D161" i="1"/>
  <c r="B162" i="1"/>
  <c r="D162" i="1"/>
  <c r="B163" i="1"/>
  <c r="D163" i="1"/>
  <c r="B164" i="1"/>
  <c r="D164" i="1"/>
  <c r="B165" i="1"/>
  <c r="D165" i="1"/>
  <c r="B166" i="1"/>
  <c r="D166" i="1"/>
  <c r="B167" i="1"/>
  <c r="D167" i="1"/>
  <c r="B168" i="1"/>
  <c r="D168" i="1"/>
  <c r="B169" i="1"/>
  <c r="D169" i="1"/>
  <c r="B170" i="1"/>
  <c r="D170" i="1"/>
  <c r="B171" i="1"/>
  <c r="D171" i="1"/>
  <c r="B172" i="1"/>
  <c r="D172" i="1"/>
  <c r="B173" i="1"/>
  <c r="D173" i="1"/>
  <c r="B174" i="1"/>
  <c r="D174" i="1"/>
  <c r="B175" i="1"/>
  <c r="D175" i="1"/>
  <c r="B176" i="1"/>
  <c r="D176" i="1"/>
  <c r="B177" i="1"/>
  <c r="D177" i="1"/>
  <c r="B178" i="1"/>
  <c r="D178" i="1"/>
  <c r="B179" i="1"/>
  <c r="D179" i="1"/>
  <c r="B180" i="1"/>
  <c r="D180" i="1"/>
  <c r="B181" i="1"/>
  <c r="D181" i="1"/>
  <c r="B182" i="1"/>
  <c r="D182" i="1"/>
  <c r="B183" i="1"/>
  <c r="D183" i="1"/>
  <c r="B184" i="1"/>
  <c r="D184" i="1"/>
  <c r="B185" i="1"/>
  <c r="D185" i="1"/>
  <c r="B186" i="1"/>
  <c r="D186" i="1"/>
  <c r="B187" i="1"/>
  <c r="D187" i="1"/>
  <c r="B188" i="1"/>
  <c r="D188" i="1"/>
  <c r="B189" i="1"/>
  <c r="D189" i="1"/>
  <c r="B190" i="1"/>
  <c r="D190" i="1"/>
  <c r="B191" i="1"/>
  <c r="D191" i="1"/>
  <c r="B192" i="1"/>
  <c r="D192" i="1"/>
  <c r="B193" i="1"/>
  <c r="D193" i="1"/>
  <c r="B194" i="1"/>
  <c r="D194" i="1"/>
  <c r="B195" i="1"/>
  <c r="D195" i="1"/>
  <c r="B196" i="1"/>
  <c r="D196" i="1"/>
  <c r="B197" i="1"/>
  <c r="D197" i="1"/>
  <c r="B198" i="1"/>
  <c r="D198" i="1"/>
  <c r="B199" i="1"/>
  <c r="D199" i="1"/>
  <c r="B200" i="1"/>
  <c r="D200" i="1"/>
  <c r="B201" i="1"/>
  <c r="D201" i="1"/>
  <c r="B203" i="1"/>
  <c r="M203" i="5"/>
  <c r="C203" i="1"/>
  <c r="D203" i="1"/>
  <c r="C4" i="17"/>
  <c r="J4" i="17"/>
  <c r="K4" i="7"/>
  <c r="A4" i="3"/>
  <c r="AA41" i="11"/>
  <c r="AA42" i="11"/>
  <c r="Y21" i="6"/>
  <c r="AN21"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O9" i="1"/>
  <c r="O21" i="1"/>
  <c r="O57" i="1"/>
  <c r="O73" i="1"/>
  <c r="O99" i="1"/>
  <c r="O166" i="1"/>
  <c r="R5" i="1"/>
  <c r="R9" i="1"/>
  <c r="R17" i="1"/>
  <c r="R21" i="1"/>
  <c r="R145" i="1"/>
  <c r="R57" i="1"/>
  <c r="O145" i="1"/>
  <c r="R73" i="1"/>
  <c r="R99" i="1"/>
  <c r="R166" i="1"/>
  <c r="O8" i="1"/>
  <c r="O17" i="1"/>
  <c r="R8" i="1"/>
  <c r="O167" i="1"/>
  <c r="R167"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4" i="1"/>
  <c r="B138" i="16"/>
  <c r="C138" i="16"/>
  <c r="D138" i="16"/>
  <c r="E138" i="16"/>
  <c r="F138" i="16"/>
  <c r="G138" i="16"/>
  <c r="B139" i="16"/>
  <c r="C139" i="16"/>
  <c r="D139" i="16"/>
  <c r="E139" i="16"/>
  <c r="F139" i="16"/>
  <c r="G139" i="16"/>
  <c r="B140" i="16"/>
  <c r="C140" i="16"/>
  <c r="D140" i="16"/>
  <c r="E140" i="16"/>
  <c r="F140" i="16"/>
  <c r="G140" i="16"/>
  <c r="B141" i="16"/>
  <c r="C141" i="16"/>
  <c r="D141" i="16"/>
  <c r="E141" i="16"/>
  <c r="F141" i="16"/>
  <c r="G141" i="16"/>
  <c r="B142" i="16"/>
  <c r="C142" i="16"/>
  <c r="D142" i="16"/>
  <c r="E142" i="16"/>
  <c r="F142" i="16"/>
  <c r="G142" i="16"/>
  <c r="B143" i="16"/>
  <c r="C143" i="16"/>
  <c r="D143" i="16"/>
  <c r="E143" i="16"/>
  <c r="F143" i="16"/>
  <c r="G143" i="16"/>
  <c r="B144" i="16"/>
  <c r="C144" i="16"/>
  <c r="D144" i="16"/>
  <c r="E144" i="16"/>
  <c r="F144" i="16"/>
  <c r="G144" i="16"/>
  <c r="B145" i="16"/>
  <c r="C145" i="16"/>
  <c r="D145" i="16"/>
  <c r="E145" i="16"/>
  <c r="F145" i="16"/>
  <c r="G145" i="16"/>
  <c r="B146" i="16"/>
  <c r="C146" i="16"/>
  <c r="D146" i="16"/>
  <c r="E146" i="16"/>
  <c r="F146" i="16"/>
  <c r="G146" i="16"/>
  <c r="B147" i="16"/>
  <c r="C147" i="16"/>
  <c r="D147" i="16"/>
  <c r="E147" i="16"/>
  <c r="F147" i="16"/>
  <c r="G147" i="16"/>
  <c r="B148" i="16"/>
  <c r="C148" i="16"/>
  <c r="D148" i="16"/>
  <c r="E148" i="16"/>
  <c r="F148" i="16"/>
  <c r="G148" i="16"/>
  <c r="B149" i="16"/>
  <c r="C149" i="16"/>
  <c r="D149" i="16"/>
  <c r="E149" i="16"/>
  <c r="F149" i="16"/>
  <c r="G149" i="16"/>
  <c r="B150" i="16"/>
  <c r="C150" i="16"/>
  <c r="D150" i="16"/>
  <c r="E150" i="16"/>
  <c r="F150" i="16"/>
  <c r="G150" i="16"/>
  <c r="B151" i="16"/>
  <c r="C151" i="16"/>
  <c r="D151" i="16"/>
  <c r="E151" i="16"/>
  <c r="F151" i="16"/>
  <c r="G151" i="16"/>
  <c r="B152" i="16"/>
  <c r="C152" i="16"/>
  <c r="D152" i="16"/>
  <c r="E152" i="16"/>
  <c r="F152" i="16"/>
  <c r="G152" i="16"/>
  <c r="B153" i="16"/>
  <c r="C153" i="16"/>
  <c r="D153" i="16"/>
  <c r="E153" i="16"/>
  <c r="F153" i="16"/>
  <c r="G153" i="16"/>
  <c r="B154" i="16"/>
  <c r="C154" i="16"/>
  <c r="D154" i="16"/>
  <c r="E154" i="16"/>
  <c r="F154" i="16"/>
  <c r="G154" i="16"/>
  <c r="B155" i="16"/>
  <c r="C155" i="16"/>
  <c r="D155" i="16"/>
  <c r="E155" i="16"/>
  <c r="F155" i="16"/>
  <c r="G155" i="16"/>
  <c r="B156" i="16"/>
  <c r="C156" i="16"/>
  <c r="D156" i="16"/>
  <c r="E156" i="16"/>
  <c r="F156" i="16"/>
  <c r="G156" i="16"/>
  <c r="B157" i="16"/>
  <c r="C157" i="16"/>
  <c r="D157" i="16"/>
  <c r="E157" i="16"/>
  <c r="F157" i="16"/>
  <c r="G157" i="16"/>
  <c r="B158" i="16"/>
  <c r="C158" i="16"/>
  <c r="D158" i="16"/>
  <c r="E158" i="16"/>
  <c r="F158" i="16"/>
  <c r="G158" i="16"/>
  <c r="B159" i="16"/>
  <c r="C159" i="16"/>
  <c r="D159" i="16"/>
  <c r="E159" i="16"/>
  <c r="F159" i="16"/>
  <c r="G159" i="16"/>
  <c r="B160" i="16"/>
  <c r="C160" i="16"/>
  <c r="D160" i="16"/>
  <c r="E160" i="16"/>
  <c r="F160" i="16"/>
  <c r="G160" i="16"/>
  <c r="B161" i="16"/>
  <c r="C161" i="16"/>
  <c r="D161" i="16"/>
  <c r="E161" i="16"/>
  <c r="F161" i="16"/>
  <c r="G161" i="16"/>
  <c r="B162" i="16"/>
  <c r="C162" i="16"/>
  <c r="D162" i="16"/>
  <c r="E162" i="16"/>
  <c r="F162" i="16"/>
  <c r="G162" i="16"/>
  <c r="B163" i="16"/>
  <c r="C163" i="16"/>
  <c r="D163" i="16"/>
  <c r="E163" i="16"/>
  <c r="F163" i="16"/>
  <c r="G163" i="16"/>
  <c r="B164" i="16"/>
  <c r="C164" i="16"/>
  <c r="D164" i="16"/>
  <c r="E164" i="16"/>
  <c r="F164" i="16"/>
  <c r="G164" i="16"/>
  <c r="B165" i="16"/>
  <c r="C165" i="16"/>
  <c r="D165" i="16"/>
  <c r="E165" i="16"/>
  <c r="F165" i="16"/>
  <c r="G165" i="16"/>
  <c r="B166" i="16"/>
  <c r="C166" i="16"/>
  <c r="D166" i="16"/>
  <c r="E166" i="16"/>
  <c r="F166" i="16"/>
  <c r="G166" i="16"/>
  <c r="B167" i="16"/>
  <c r="C167" i="16"/>
  <c r="D167" i="16"/>
  <c r="E167" i="16"/>
  <c r="F167" i="16"/>
  <c r="G167" i="16"/>
  <c r="B168" i="16"/>
  <c r="C168" i="16"/>
  <c r="D168" i="16"/>
  <c r="E168" i="16"/>
  <c r="F168" i="16"/>
  <c r="G168" i="16"/>
  <c r="B169" i="16"/>
  <c r="C169" i="16"/>
  <c r="D169" i="16"/>
  <c r="E169" i="16"/>
  <c r="F169" i="16"/>
  <c r="G169" i="16"/>
  <c r="B170" i="16"/>
  <c r="C170" i="16"/>
  <c r="D170" i="16"/>
  <c r="E170" i="16"/>
  <c r="F170" i="16"/>
  <c r="G170" i="16"/>
  <c r="B171" i="16"/>
  <c r="C171" i="16"/>
  <c r="D171" i="16"/>
  <c r="E171" i="16"/>
  <c r="F171" i="16"/>
  <c r="G171" i="16"/>
  <c r="B172" i="16"/>
  <c r="C172" i="16"/>
  <c r="D172" i="16"/>
  <c r="E172" i="16"/>
  <c r="F172" i="16"/>
  <c r="G172" i="16"/>
  <c r="B173" i="16"/>
  <c r="C173" i="16"/>
  <c r="D173" i="16"/>
  <c r="E173" i="16"/>
  <c r="F173" i="16"/>
  <c r="G173" i="16"/>
  <c r="B174" i="16"/>
  <c r="C174" i="16"/>
  <c r="D174" i="16"/>
  <c r="E174" i="16"/>
  <c r="F174" i="16"/>
  <c r="G174" i="16"/>
  <c r="B175" i="16"/>
  <c r="C175" i="16"/>
  <c r="D175" i="16"/>
  <c r="E175" i="16"/>
  <c r="F175" i="16"/>
  <c r="G175" i="16"/>
  <c r="B176" i="16"/>
  <c r="C176" i="16"/>
  <c r="D176" i="16"/>
  <c r="E176" i="16"/>
  <c r="F176" i="16"/>
  <c r="G176" i="16"/>
  <c r="B177" i="16"/>
  <c r="C177" i="16"/>
  <c r="D177" i="16"/>
  <c r="E177" i="16"/>
  <c r="F177" i="16"/>
  <c r="G177" i="16"/>
  <c r="B178" i="16"/>
  <c r="C178" i="16"/>
  <c r="D178" i="16"/>
  <c r="E178" i="16"/>
  <c r="F178" i="16"/>
  <c r="G178" i="16"/>
  <c r="B179" i="16"/>
  <c r="C179" i="16"/>
  <c r="D179" i="16"/>
  <c r="E179" i="16"/>
  <c r="F179" i="16"/>
  <c r="G179" i="16"/>
  <c r="B180" i="16"/>
  <c r="C180" i="16"/>
  <c r="D180" i="16"/>
  <c r="E180" i="16"/>
  <c r="F180" i="16"/>
  <c r="G180" i="16"/>
  <c r="B181" i="16"/>
  <c r="C181" i="16"/>
  <c r="D181" i="16"/>
  <c r="E181" i="16"/>
  <c r="F181" i="16"/>
  <c r="G181" i="16"/>
  <c r="B182" i="16"/>
  <c r="C182" i="16"/>
  <c r="D182" i="16"/>
  <c r="E182" i="16"/>
  <c r="F182" i="16"/>
  <c r="G182" i="16"/>
  <c r="B183" i="16"/>
  <c r="C183" i="16"/>
  <c r="D183" i="16"/>
  <c r="E183" i="16"/>
  <c r="F183" i="16"/>
  <c r="G183" i="16"/>
  <c r="B184" i="16"/>
  <c r="C184" i="16"/>
  <c r="D184" i="16"/>
  <c r="E184" i="16"/>
  <c r="F184" i="16"/>
  <c r="G184" i="16"/>
  <c r="B185" i="16"/>
  <c r="C185" i="16"/>
  <c r="D185" i="16"/>
  <c r="E185" i="16"/>
  <c r="F185" i="16"/>
  <c r="G185" i="16"/>
  <c r="B186" i="16"/>
  <c r="C186" i="16"/>
  <c r="D186" i="16"/>
  <c r="E186" i="16"/>
  <c r="F186" i="16"/>
  <c r="G186" i="16"/>
  <c r="B187" i="16"/>
  <c r="C187" i="16"/>
  <c r="D187" i="16"/>
  <c r="E187" i="16"/>
  <c r="F187" i="16"/>
  <c r="G187" i="16"/>
  <c r="B188" i="16"/>
  <c r="C188" i="16"/>
  <c r="D188" i="16"/>
  <c r="E188" i="16"/>
  <c r="F188" i="16"/>
  <c r="G188" i="16"/>
  <c r="B189" i="16"/>
  <c r="C189" i="16"/>
  <c r="D189" i="16"/>
  <c r="E189" i="16"/>
  <c r="F189" i="16"/>
  <c r="G189" i="16"/>
  <c r="B190" i="16"/>
  <c r="C190" i="16"/>
  <c r="D190" i="16"/>
  <c r="E190" i="16"/>
  <c r="F190" i="16"/>
  <c r="G190" i="16"/>
  <c r="B191" i="16"/>
  <c r="C191" i="16"/>
  <c r="D191" i="16"/>
  <c r="E191" i="16"/>
  <c r="F191" i="16"/>
  <c r="G191" i="16"/>
  <c r="B192" i="16"/>
  <c r="C192" i="16"/>
  <c r="D192" i="16"/>
  <c r="E192" i="16"/>
  <c r="F192" i="16"/>
  <c r="G192" i="16"/>
  <c r="B193" i="16"/>
  <c r="C193" i="16"/>
  <c r="D193" i="16"/>
  <c r="E193" i="16"/>
  <c r="F193" i="16"/>
  <c r="G193" i="16"/>
  <c r="B194" i="16"/>
  <c r="C194" i="16"/>
  <c r="D194" i="16"/>
  <c r="E194" i="16"/>
  <c r="F194" i="16"/>
  <c r="G194" i="16"/>
  <c r="B195" i="16"/>
  <c r="C195" i="16"/>
  <c r="D195" i="16"/>
  <c r="E195" i="16"/>
  <c r="F195" i="16"/>
  <c r="G195" i="16"/>
  <c r="B196" i="16"/>
  <c r="C196" i="16"/>
  <c r="D196" i="16"/>
  <c r="E196" i="16"/>
  <c r="F196" i="16"/>
  <c r="G196" i="16"/>
  <c r="B197" i="16"/>
  <c r="C197" i="16"/>
  <c r="D197" i="16"/>
  <c r="E197" i="16"/>
  <c r="F197" i="16"/>
  <c r="G197" i="16"/>
  <c r="B198" i="16"/>
  <c r="C198" i="16"/>
  <c r="D198" i="16"/>
  <c r="E198" i="16"/>
  <c r="F198" i="16"/>
  <c r="G198" i="16"/>
  <c r="B199" i="16"/>
  <c r="C199" i="16"/>
  <c r="D199" i="16"/>
  <c r="E199" i="16"/>
  <c r="F199" i="16"/>
  <c r="G199" i="16"/>
  <c r="B200" i="16"/>
  <c r="C200" i="16"/>
  <c r="D200" i="16"/>
  <c r="E200" i="16"/>
  <c r="F200" i="16"/>
  <c r="G200" i="16"/>
  <c r="B201" i="16"/>
  <c r="C201" i="16"/>
  <c r="D201" i="16"/>
  <c r="E201" i="16"/>
  <c r="F201" i="16"/>
  <c r="G201" i="16"/>
  <c r="B202" i="16"/>
  <c r="C202" i="16"/>
  <c r="D202" i="16"/>
  <c r="E202" i="16"/>
  <c r="F202" i="16"/>
  <c r="G202" i="16"/>
  <c r="B203" i="16"/>
  <c r="C203" i="16"/>
  <c r="D203" i="16"/>
  <c r="E203" i="16"/>
  <c r="F203" i="16"/>
  <c r="G203" i="16"/>
  <c r="B204" i="16"/>
  <c r="C204" i="16"/>
  <c r="D204" i="16"/>
  <c r="E204" i="16"/>
  <c r="F204" i="16"/>
  <c r="G204" i="16"/>
  <c r="B205" i="16"/>
  <c r="C205" i="16"/>
  <c r="D205" i="16"/>
  <c r="E205" i="16"/>
  <c r="F205" i="16"/>
  <c r="G205" i="16"/>
  <c r="B206" i="16"/>
  <c r="C206" i="16"/>
  <c r="D206" i="16"/>
  <c r="E206" i="16"/>
  <c r="F206" i="16"/>
  <c r="G206" i="16"/>
  <c r="B207" i="16"/>
  <c r="C207" i="16"/>
  <c r="D207" i="16"/>
  <c r="E207" i="16"/>
  <c r="F207" i="16"/>
  <c r="G207" i="16"/>
  <c r="B208" i="16"/>
  <c r="C208" i="16"/>
  <c r="D208" i="16"/>
  <c r="E208" i="16"/>
  <c r="F208" i="16"/>
  <c r="G208" i="16"/>
  <c r="B209" i="16"/>
  <c r="C209" i="16"/>
  <c r="D209" i="16"/>
  <c r="E209" i="16"/>
  <c r="F209" i="16"/>
  <c r="G209" i="16"/>
  <c r="B210" i="16"/>
  <c r="C210" i="16"/>
  <c r="D210" i="16"/>
  <c r="E210" i="16"/>
  <c r="F210" i="16"/>
  <c r="G210" i="16"/>
  <c r="B211" i="16"/>
  <c r="C211" i="16"/>
  <c r="D211" i="16"/>
  <c r="E211" i="16"/>
  <c r="F211" i="16"/>
  <c r="G211" i="16"/>
  <c r="B212" i="16"/>
  <c r="C212" i="16"/>
  <c r="D212" i="16"/>
  <c r="E212" i="16"/>
  <c r="F212" i="16"/>
  <c r="G212" i="16"/>
  <c r="B213" i="16"/>
  <c r="C213" i="16"/>
  <c r="D213" i="16"/>
  <c r="E213" i="16"/>
  <c r="F213" i="16"/>
  <c r="G213" i="16"/>
  <c r="B214" i="16"/>
  <c r="C214" i="16"/>
  <c r="D214" i="16"/>
  <c r="E214" i="16"/>
  <c r="F214" i="16"/>
  <c r="G214" i="16"/>
  <c r="B215" i="16"/>
  <c r="C215" i="16"/>
  <c r="D215" i="16"/>
  <c r="E215" i="16"/>
  <c r="F215" i="16"/>
  <c r="G215" i="16"/>
  <c r="B216" i="16"/>
  <c r="C216" i="16"/>
  <c r="D216" i="16"/>
  <c r="E216" i="16"/>
  <c r="F216" i="16"/>
  <c r="G216" i="16"/>
  <c r="B217" i="16"/>
  <c r="C217" i="16"/>
  <c r="D217" i="16"/>
  <c r="E217" i="16"/>
  <c r="F217" i="16"/>
  <c r="G217" i="16"/>
  <c r="B218" i="16"/>
  <c r="C218" i="16"/>
  <c r="D218" i="16"/>
  <c r="E218" i="16"/>
  <c r="F218" i="16"/>
  <c r="G218" i="16"/>
  <c r="B219" i="16"/>
  <c r="C219" i="16"/>
  <c r="D219" i="16"/>
  <c r="E219" i="16"/>
  <c r="F219" i="16"/>
  <c r="G219" i="16"/>
  <c r="B220" i="16"/>
  <c r="C220" i="16"/>
  <c r="D220" i="16"/>
  <c r="E220" i="16"/>
  <c r="F220" i="16"/>
  <c r="G220" i="16"/>
  <c r="B221" i="16"/>
  <c r="C221" i="16"/>
  <c r="D221" i="16"/>
  <c r="E221" i="16"/>
  <c r="F221" i="16"/>
  <c r="G221" i="16"/>
  <c r="B222" i="16"/>
  <c r="C222" i="16"/>
  <c r="D222" i="16"/>
  <c r="E222" i="16"/>
  <c r="F222" i="16"/>
  <c r="G222" i="16"/>
  <c r="B223" i="16"/>
  <c r="C223" i="16"/>
  <c r="D223" i="16"/>
  <c r="E223" i="16"/>
  <c r="F223" i="16"/>
  <c r="G223" i="16"/>
  <c r="B224" i="16"/>
  <c r="C224" i="16"/>
  <c r="D224" i="16"/>
  <c r="E224" i="16"/>
  <c r="F224" i="16"/>
  <c r="G224" i="16"/>
  <c r="B225" i="16"/>
  <c r="C225" i="16"/>
  <c r="D225" i="16"/>
  <c r="E225" i="16"/>
  <c r="F225" i="16"/>
  <c r="G225" i="16"/>
  <c r="B226" i="16"/>
  <c r="C226" i="16"/>
  <c r="D226" i="16"/>
  <c r="E226" i="16"/>
  <c r="F226" i="16"/>
  <c r="G226" i="16"/>
  <c r="B227" i="16"/>
  <c r="C227" i="16"/>
  <c r="D227" i="16"/>
  <c r="E227" i="16"/>
  <c r="F227" i="16"/>
  <c r="G227" i="16"/>
  <c r="B228" i="16"/>
  <c r="C228" i="16"/>
  <c r="D228" i="16"/>
  <c r="E228" i="16"/>
  <c r="F228" i="16"/>
  <c r="G228" i="16"/>
  <c r="B229" i="16"/>
  <c r="C229" i="16"/>
  <c r="D229" i="16"/>
  <c r="E229" i="16"/>
  <c r="F229" i="16"/>
  <c r="G229" i="16"/>
  <c r="B230" i="16"/>
  <c r="C230" i="16"/>
  <c r="D230" i="16"/>
  <c r="E230" i="16"/>
  <c r="F230" i="16"/>
  <c r="G230" i="16"/>
  <c r="B231" i="16"/>
  <c r="C231" i="16"/>
  <c r="D231" i="16"/>
  <c r="E231" i="16"/>
  <c r="F231" i="16"/>
  <c r="G231" i="16"/>
  <c r="B232" i="16"/>
  <c r="C232" i="16"/>
  <c r="D232" i="16"/>
  <c r="E232" i="16"/>
  <c r="F232" i="16"/>
  <c r="G232" i="16"/>
  <c r="B233" i="16"/>
  <c r="C233" i="16"/>
  <c r="D233" i="16"/>
  <c r="E233" i="16"/>
  <c r="F233" i="16"/>
  <c r="G233" i="16"/>
  <c r="B234" i="16"/>
  <c r="C234" i="16"/>
  <c r="D234" i="16"/>
  <c r="E234" i="16"/>
  <c r="F234" i="16"/>
  <c r="G234" i="16"/>
  <c r="B235" i="16"/>
  <c r="C235" i="16"/>
  <c r="D235" i="16"/>
  <c r="E235" i="16"/>
  <c r="F235" i="16"/>
  <c r="G235" i="16"/>
  <c r="B236" i="16"/>
  <c r="C236" i="16"/>
  <c r="D236" i="16"/>
  <c r="E236" i="16"/>
  <c r="F236" i="16"/>
  <c r="G236" i="16"/>
  <c r="B237" i="16"/>
  <c r="C237" i="16"/>
  <c r="D237" i="16"/>
  <c r="E237" i="16"/>
  <c r="F237" i="16"/>
  <c r="G237" i="16"/>
  <c r="B238" i="16"/>
  <c r="C238" i="16"/>
  <c r="D238" i="16"/>
  <c r="E238" i="16"/>
  <c r="F238" i="16"/>
  <c r="G238" i="16"/>
  <c r="B239" i="16"/>
  <c r="C239" i="16"/>
  <c r="D239" i="16"/>
  <c r="E239" i="16"/>
  <c r="F239" i="16"/>
  <c r="G239" i="16"/>
  <c r="R6" i="1"/>
  <c r="K5" i="17"/>
  <c r="O5" i="17"/>
  <c r="K6" i="17"/>
  <c r="O6" i="17"/>
  <c r="K7" i="17"/>
  <c r="O7" i="17"/>
  <c r="K8" i="17"/>
  <c r="O8" i="17"/>
  <c r="K9" i="17"/>
  <c r="I9" i="17"/>
  <c r="D9" i="17"/>
  <c r="O9" i="17"/>
  <c r="K10" i="17"/>
  <c r="I10" i="17"/>
  <c r="D10" i="17"/>
  <c r="O10" i="17"/>
  <c r="K11" i="17"/>
  <c r="I11" i="17"/>
  <c r="D11" i="17"/>
  <c r="O11" i="17"/>
  <c r="K12" i="17"/>
  <c r="I12" i="17"/>
  <c r="D12" i="17"/>
  <c r="O12" i="17"/>
  <c r="K13" i="17"/>
  <c r="I13" i="17"/>
  <c r="D13" i="17"/>
  <c r="O13" i="17"/>
  <c r="K14" i="17"/>
  <c r="I14" i="17"/>
  <c r="D14" i="17"/>
  <c r="O14" i="17"/>
  <c r="K15" i="17"/>
  <c r="I15" i="17"/>
  <c r="D15" i="17"/>
  <c r="O15" i="17"/>
  <c r="K16" i="17"/>
  <c r="I16" i="17"/>
  <c r="D16" i="17"/>
  <c r="O16" i="17"/>
  <c r="K17" i="17"/>
  <c r="I17" i="17"/>
  <c r="D17" i="17"/>
  <c r="O17" i="17"/>
  <c r="K18" i="17"/>
  <c r="I18" i="17"/>
  <c r="D18" i="17"/>
  <c r="O18" i="17"/>
  <c r="K19" i="17"/>
  <c r="I19" i="17"/>
  <c r="D19" i="17"/>
  <c r="O19" i="17"/>
  <c r="K20" i="17"/>
  <c r="I20" i="17"/>
  <c r="D20" i="17"/>
  <c r="O20" i="17"/>
  <c r="K21" i="17"/>
  <c r="I21" i="17"/>
  <c r="D21" i="17"/>
  <c r="O21" i="17"/>
  <c r="K22" i="17"/>
  <c r="I22" i="17"/>
  <c r="D22" i="17"/>
  <c r="O22" i="17"/>
  <c r="K23" i="17"/>
  <c r="I23" i="17"/>
  <c r="D23" i="17"/>
  <c r="O23" i="17"/>
  <c r="K24" i="17"/>
  <c r="I24" i="17"/>
  <c r="D24" i="17"/>
  <c r="O24" i="17"/>
  <c r="K25" i="17"/>
  <c r="I25" i="17"/>
  <c r="D25" i="17"/>
  <c r="O25" i="17"/>
  <c r="K26" i="17"/>
  <c r="I26" i="17"/>
  <c r="D26" i="17"/>
  <c r="O26" i="17"/>
  <c r="K27" i="17"/>
  <c r="I27" i="17"/>
  <c r="D27" i="17"/>
  <c r="O27" i="17"/>
  <c r="K28" i="17"/>
  <c r="I28" i="17"/>
  <c r="D28" i="17"/>
  <c r="O28" i="17"/>
  <c r="K29" i="17"/>
  <c r="I29" i="17"/>
  <c r="D29" i="17"/>
  <c r="O29" i="17"/>
  <c r="K30" i="17"/>
  <c r="I30" i="17"/>
  <c r="D30" i="17"/>
  <c r="O30" i="17"/>
  <c r="K31" i="17"/>
  <c r="I31" i="17"/>
  <c r="D31" i="17"/>
  <c r="O31" i="17"/>
  <c r="K32" i="17"/>
  <c r="I32" i="17"/>
  <c r="D32" i="17"/>
  <c r="O32" i="17"/>
  <c r="K33" i="17"/>
  <c r="I33" i="17"/>
  <c r="D33" i="17"/>
  <c r="O33" i="17"/>
  <c r="K34" i="17"/>
  <c r="I34" i="17"/>
  <c r="D34" i="17"/>
  <c r="O34" i="17"/>
  <c r="K35" i="17"/>
  <c r="I35" i="17"/>
  <c r="D35" i="17"/>
  <c r="O35" i="17"/>
  <c r="K36" i="17"/>
  <c r="I36" i="17"/>
  <c r="D36" i="17"/>
  <c r="O36" i="17"/>
  <c r="K37" i="17"/>
  <c r="I37" i="17"/>
  <c r="D37" i="17"/>
  <c r="O37" i="17"/>
  <c r="K38" i="17"/>
  <c r="I38" i="17"/>
  <c r="D38" i="17"/>
  <c r="O38" i="17"/>
  <c r="K39" i="17"/>
  <c r="I39" i="17"/>
  <c r="D39" i="17"/>
  <c r="O39" i="17"/>
  <c r="K4" i="17"/>
  <c r="O4" i="17"/>
  <c r="F5" i="17"/>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79" i="15"/>
  <c r="AA80" i="15"/>
  <c r="AA81" i="15"/>
  <c r="AA82" i="15"/>
  <c r="AA83" i="15"/>
  <c r="AA84" i="15"/>
  <c r="AA85" i="15"/>
  <c r="AA86" i="15"/>
  <c r="AA87" i="15"/>
  <c r="AA88"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A115" i="15"/>
  <c r="AA116" i="15"/>
  <c r="AA117"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60" i="15"/>
  <c r="AA161" i="15"/>
  <c r="AA162" i="15"/>
  <c r="AA163" i="15"/>
  <c r="AA164" i="15"/>
  <c r="AA165" i="15"/>
  <c r="AA166" i="15"/>
  <c r="AA167" i="15"/>
  <c r="AA168" i="15"/>
  <c r="AA169" i="15"/>
  <c r="AA170" i="15"/>
  <c r="AA171" i="15"/>
  <c r="AA172" i="15"/>
  <c r="AA173" i="15"/>
  <c r="AA174" i="15"/>
  <c r="AA175" i="15"/>
  <c r="AA176" i="15"/>
  <c r="AA177" i="15"/>
  <c r="AA178" i="15"/>
  <c r="AA179" i="15"/>
  <c r="AA180" i="15"/>
  <c r="AA181" i="15"/>
  <c r="AA182" i="15"/>
  <c r="AA183" i="15"/>
  <c r="AA184" i="15"/>
  <c r="AA185" i="15"/>
  <c r="AA186" i="15"/>
  <c r="AA187" i="15"/>
  <c r="AA188" i="15"/>
  <c r="AA189" i="15"/>
  <c r="AA190" i="15"/>
  <c r="AA191" i="15"/>
  <c r="AA192" i="15"/>
  <c r="AA193" i="15"/>
  <c r="AA194" i="15"/>
  <c r="AA195" i="15"/>
  <c r="AA196" i="15"/>
  <c r="AA197" i="15"/>
  <c r="AA198" i="15"/>
  <c r="AA199" i="15"/>
  <c r="AA200" i="15"/>
  <c r="AA201" i="15"/>
  <c r="AA202" i="15"/>
  <c r="AA203" i="15"/>
  <c r="AA5" i="15"/>
  <c r="F6" i="2"/>
  <c r="AH6" i="2"/>
  <c r="AH7" i="2"/>
  <c r="AH8" i="2"/>
  <c r="AH9" i="2"/>
  <c r="Q6" i="2"/>
  <c r="H6" i="2"/>
  <c r="G6" i="2"/>
  <c r="R6" i="2"/>
  <c r="Z6" i="2"/>
  <c r="AE6" i="2"/>
  <c r="H3" i="19"/>
  <c r="X5" i="1"/>
  <c r="H2" i="19"/>
  <c r="G2" i="19"/>
  <c r="D3" i="19"/>
  <c r="I6" i="17"/>
  <c r="I7" i="17"/>
  <c r="I8" i="17"/>
  <c r="I5" i="17"/>
  <c r="G4" i="2"/>
  <c r="G5" i="2"/>
  <c r="G7" i="2"/>
  <c r="G8" i="2"/>
  <c r="G9" i="2"/>
  <c r="H10" i="2"/>
  <c r="G10" i="2"/>
  <c r="H11" i="2"/>
  <c r="G11" i="2"/>
  <c r="H12" i="2"/>
  <c r="G12" i="2"/>
  <c r="H13" i="2"/>
  <c r="G13" i="2"/>
  <c r="H14" i="2"/>
  <c r="G14" i="2"/>
  <c r="H15" i="2"/>
  <c r="G15" i="2"/>
  <c r="H16" i="2"/>
  <c r="G16" i="2"/>
  <c r="H17" i="2"/>
  <c r="G17" i="2"/>
  <c r="H18" i="2"/>
  <c r="G18" i="2"/>
  <c r="H19" i="2"/>
  <c r="G19" i="2"/>
  <c r="H20" i="2"/>
  <c r="G20" i="2"/>
  <c r="H21" i="2"/>
  <c r="G21" i="2"/>
  <c r="H22" i="2"/>
  <c r="G22" i="2"/>
  <c r="H23" i="2"/>
  <c r="G23" i="2"/>
  <c r="H24" i="2"/>
  <c r="G24" i="2"/>
  <c r="H25" i="2"/>
  <c r="G25" i="2"/>
  <c r="H26" i="2"/>
  <c r="G26" i="2"/>
  <c r="H27" i="2"/>
  <c r="G27" i="2"/>
  <c r="H28" i="2"/>
  <c r="G28" i="2"/>
  <c r="H29" i="2"/>
  <c r="G29" i="2"/>
  <c r="H30" i="2"/>
  <c r="G30" i="2"/>
  <c r="H31" i="2"/>
  <c r="G31" i="2"/>
  <c r="H32" i="2"/>
  <c r="G32" i="2"/>
  <c r="H33" i="2"/>
  <c r="G33" i="2"/>
  <c r="H34" i="2"/>
  <c r="G34" i="2"/>
  <c r="H35" i="2"/>
  <c r="G35" i="2"/>
  <c r="H36" i="2"/>
  <c r="G36" i="2"/>
  <c r="H37" i="2"/>
  <c r="G37" i="2"/>
  <c r="H38" i="2"/>
  <c r="G38" i="2"/>
  <c r="H39" i="2"/>
  <c r="G39" i="2"/>
  <c r="H40" i="2"/>
  <c r="G40" i="2"/>
  <c r="H41" i="2"/>
  <c r="G41" i="2"/>
  <c r="H42" i="2"/>
  <c r="G42" i="2"/>
  <c r="H43" i="2"/>
  <c r="G43" i="2"/>
  <c r="H44" i="2"/>
  <c r="G44" i="2"/>
  <c r="H45" i="2"/>
  <c r="G45" i="2"/>
  <c r="H46" i="2"/>
  <c r="G46" i="2"/>
  <c r="H47" i="2"/>
  <c r="G47" i="2"/>
  <c r="H48" i="2"/>
  <c r="G48" i="2"/>
  <c r="H49" i="2"/>
  <c r="G49" i="2"/>
  <c r="H50" i="2"/>
  <c r="G50" i="2"/>
  <c r="H51" i="2"/>
  <c r="G51" i="2"/>
  <c r="H52" i="2"/>
  <c r="G52" i="2"/>
  <c r="H53" i="2"/>
  <c r="G53" i="2"/>
  <c r="H4" i="2"/>
  <c r="H5" i="2"/>
  <c r="H7" i="2"/>
  <c r="H8" i="2"/>
  <c r="H9" i="2"/>
  <c r="R4" i="2"/>
  <c r="AI4" i="2"/>
  <c r="Z4" i="2"/>
  <c r="AE4" i="2"/>
  <c r="R5" i="2"/>
  <c r="Z5" i="2"/>
  <c r="AE5" i="2"/>
  <c r="AI5" i="2"/>
  <c r="AI6" i="2"/>
  <c r="R7" i="2"/>
  <c r="AI7" i="2"/>
  <c r="R8" i="2"/>
  <c r="AI8" i="2"/>
  <c r="R9" i="2"/>
  <c r="AI9" i="2"/>
  <c r="R10" i="2"/>
  <c r="AI10" i="2"/>
  <c r="R11" i="2"/>
  <c r="AI11" i="2"/>
  <c r="R12" i="2"/>
  <c r="AI12" i="2"/>
  <c r="R13" i="2"/>
  <c r="AI13" i="2"/>
  <c r="R14" i="2"/>
  <c r="AI14" i="2"/>
  <c r="R15" i="2"/>
  <c r="AI15" i="2"/>
  <c r="R16" i="2"/>
  <c r="AI16" i="2"/>
  <c r="R17" i="2"/>
  <c r="AI17" i="2"/>
  <c r="R18" i="2"/>
  <c r="AI18" i="2"/>
  <c r="R19" i="2"/>
  <c r="AI19" i="2"/>
  <c r="R20" i="2"/>
  <c r="AI20" i="2"/>
  <c r="R21" i="2"/>
  <c r="AI21" i="2"/>
  <c r="R22" i="2"/>
  <c r="AI22" i="2"/>
  <c r="R23" i="2"/>
  <c r="AI23" i="2"/>
  <c r="R24" i="2"/>
  <c r="AI24" i="2"/>
  <c r="R25" i="2"/>
  <c r="AI25" i="2"/>
  <c r="R26" i="2"/>
  <c r="AI26" i="2"/>
  <c r="R27" i="2"/>
  <c r="AI27" i="2"/>
  <c r="R28" i="2"/>
  <c r="AI28" i="2"/>
  <c r="R29" i="2"/>
  <c r="AI29" i="2"/>
  <c r="R30" i="2"/>
  <c r="AI30" i="2"/>
  <c r="R31" i="2"/>
  <c r="AI31" i="2"/>
  <c r="R32" i="2"/>
  <c r="AI32" i="2"/>
  <c r="R33" i="2"/>
  <c r="AI33" i="2"/>
  <c r="R34" i="2"/>
  <c r="AI34" i="2"/>
  <c r="R35" i="2"/>
  <c r="AI35" i="2"/>
  <c r="R36" i="2"/>
  <c r="AI36" i="2"/>
  <c r="R37" i="2"/>
  <c r="AI37" i="2"/>
  <c r="R38" i="2"/>
  <c r="AI38" i="2"/>
  <c r="R39" i="2"/>
  <c r="AI39" i="2"/>
  <c r="R40" i="2"/>
  <c r="AI40" i="2"/>
  <c r="R41" i="2"/>
  <c r="AI41" i="2"/>
  <c r="R42" i="2"/>
  <c r="AI42" i="2"/>
  <c r="R43" i="2"/>
  <c r="AI43" i="2"/>
  <c r="R44" i="2"/>
  <c r="AI44" i="2"/>
  <c r="R45" i="2"/>
  <c r="AI45" i="2"/>
  <c r="R46" i="2"/>
  <c r="AI46" i="2"/>
  <c r="R47" i="2"/>
  <c r="AI47" i="2"/>
  <c r="E3" i="19"/>
  <c r="E2" i="19"/>
  <c r="C3" i="19"/>
  <c r="C2" i="19"/>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5" i="17"/>
  <c r="E5" i="1"/>
  <c r="M5" i="17"/>
  <c r="E8" i="1"/>
  <c r="M6" i="17"/>
  <c r="E11" i="1"/>
  <c r="M7" i="17"/>
  <c r="E15" i="1"/>
  <c r="M8" i="17"/>
  <c r="E19" i="1"/>
  <c r="E18" i="1"/>
  <c r="M9" i="17"/>
  <c r="E23" i="1"/>
  <c r="E22" i="1"/>
  <c r="M10" i="17"/>
  <c r="E27" i="1"/>
  <c r="E25" i="1"/>
  <c r="M11" i="17"/>
  <c r="E31" i="1"/>
  <c r="E29" i="1"/>
  <c r="E30" i="1"/>
  <c r="M12" i="17"/>
  <c r="E35" i="1"/>
  <c r="E32" i="1"/>
  <c r="E33" i="1"/>
  <c r="M13" i="17"/>
  <c r="E39" i="1"/>
  <c r="E36" i="1"/>
  <c r="E37" i="1"/>
  <c r="E38" i="1"/>
  <c r="M14" i="17"/>
  <c r="E43" i="1"/>
  <c r="E41" i="1"/>
  <c r="M15" i="17"/>
  <c r="E47" i="1"/>
  <c r="E44" i="1"/>
  <c r="E46" i="1"/>
  <c r="M16" i="17"/>
  <c r="E51" i="1"/>
  <c r="E49" i="1"/>
  <c r="M17" i="17"/>
  <c r="E55" i="1"/>
  <c r="E50" i="1"/>
  <c r="E54" i="1"/>
  <c r="M18" i="17"/>
  <c r="E59" i="1"/>
  <c r="E53" i="1"/>
  <c r="E57" i="1"/>
  <c r="M19" i="17"/>
  <c r="E63" i="1"/>
  <c r="E58" i="1"/>
  <c r="E62" i="1"/>
  <c r="M20" i="17"/>
  <c r="E67" i="1"/>
  <c r="E60" i="1"/>
  <c r="E65" i="1"/>
  <c r="M21" i="17"/>
  <c r="E71" i="1"/>
  <c r="E64" i="1"/>
  <c r="E70" i="1"/>
  <c r="M22" i="17"/>
  <c r="E75" i="1"/>
  <c r="E73" i="1"/>
  <c r="M23" i="17"/>
  <c r="E79" i="1"/>
  <c r="E72" i="1"/>
  <c r="E78" i="1"/>
  <c r="M24" i="17"/>
  <c r="E83" i="1"/>
  <c r="E74" i="1"/>
  <c r="E81" i="1"/>
  <c r="M25" i="17"/>
  <c r="E87" i="1"/>
  <c r="E86" i="1"/>
  <c r="M26" i="17"/>
  <c r="E91" i="1"/>
  <c r="E89" i="1"/>
  <c r="M27" i="17"/>
  <c r="E95" i="1"/>
  <c r="E85" i="1"/>
  <c r="E94" i="1"/>
  <c r="M28" i="17"/>
  <c r="E99" i="1"/>
  <c r="E88" i="1"/>
  <c r="E97" i="1"/>
  <c r="M29" i="17"/>
  <c r="E103" i="1"/>
  <c r="E92" i="1"/>
  <c r="E93" i="1"/>
  <c r="E102" i="1"/>
  <c r="M30" i="17"/>
  <c r="E107" i="1"/>
  <c r="E105" i="1"/>
  <c r="M31" i="17"/>
  <c r="E111" i="1"/>
  <c r="E100" i="1"/>
  <c r="E110" i="1"/>
  <c r="M32" i="17"/>
  <c r="E115" i="1"/>
  <c r="E113" i="1"/>
  <c r="M33" i="17"/>
  <c r="E119" i="1"/>
  <c r="E106" i="1"/>
  <c r="E118" i="1"/>
  <c r="M34" i="17"/>
  <c r="E123" i="1"/>
  <c r="E109" i="1"/>
  <c r="E121" i="1"/>
  <c r="M35" i="17"/>
  <c r="E127" i="1"/>
  <c r="E114" i="1"/>
  <c r="E126" i="1"/>
  <c r="M36" i="17"/>
  <c r="E131" i="1"/>
  <c r="E116" i="1"/>
  <c r="E129" i="1"/>
  <c r="M37" i="17"/>
  <c r="E135" i="1"/>
  <c r="E120" i="1"/>
  <c r="E134" i="1"/>
  <c r="M38" i="17"/>
  <c r="E139" i="1"/>
  <c r="E137" i="1"/>
  <c r="M39" i="17"/>
  <c r="M4" i="17"/>
  <c r="A6" i="13"/>
  <c r="F5" i="7"/>
  <c r="D6" i="17"/>
  <c r="A4" i="17"/>
  <c r="A5" i="17"/>
  <c r="S6" i="17"/>
  <c r="D7" i="17"/>
  <c r="A6" i="17"/>
  <c r="S7" i="17"/>
  <c r="D8" i="17"/>
  <c r="A7" i="17"/>
  <c r="S8" i="17"/>
  <c r="A8" i="17"/>
  <c r="S9" i="17"/>
  <c r="A9" i="17"/>
  <c r="S10" i="17"/>
  <c r="A10" i="17"/>
  <c r="S11" i="17"/>
  <c r="A11" i="17"/>
  <c r="S12" i="17"/>
  <c r="A12" i="17"/>
  <c r="S13" i="17"/>
  <c r="A13" i="17"/>
  <c r="S14" i="17"/>
  <c r="A14" i="17"/>
  <c r="S15" i="17"/>
  <c r="A15" i="17"/>
  <c r="S16" i="17"/>
  <c r="A16" i="17"/>
  <c r="S17" i="17"/>
  <c r="A17" i="17"/>
  <c r="S18" i="17"/>
  <c r="A18" i="17"/>
  <c r="S19" i="17"/>
  <c r="A19" i="17"/>
  <c r="S20" i="17"/>
  <c r="A20" i="17"/>
  <c r="S21" i="17"/>
  <c r="A21" i="17"/>
  <c r="S22" i="17"/>
  <c r="A22" i="17"/>
  <c r="S23" i="17"/>
  <c r="A23" i="17"/>
  <c r="S24" i="17"/>
  <c r="A24" i="17"/>
  <c r="S25" i="17"/>
  <c r="A25" i="17"/>
  <c r="S26" i="17"/>
  <c r="A26" i="17"/>
  <c r="S27" i="17"/>
  <c r="A27" i="17"/>
  <c r="S28" i="17"/>
  <c r="A28" i="17"/>
  <c r="S29" i="17"/>
  <c r="A29" i="17"/>
  <c r="S30" i="17"/>
  <c r="A30" i="17"/>
  <c r="S31" i="17"/>
  <c r="A31" i="17"/>
  <c r="S32" i="17"/>
  <c r="A32" i="17"/>
  <c r="S33" i="17"/>
  <c r="A33" i="17"/>
  <c r="S34" i="17"/>
  <c r="A34" i="17"/>
  <c r="S35" i="17"/>
  <c r="A35" i="17"/>
  <c r="S36" i="17"/>
  <c r="A36" i="17"/>
  <c r="S37" i="17"/>
  <c r="A37" i="17"/>
  <c r="S38" i="17"/>
  <c r="A38" i="17"/>
  <c r="S39" i="17"/>
  <c r="D5" i="17"/>
  <c r="S5" i="17"/>
  <c r="A39" i="17"/>
  <c r="AH5" i="2"/>
  <c r="F48" i="2"/>
  <c r="AH48" i="2"/>
  <c r="R48" i="2"/>
  <c r="AI48" i="2"/>
  <c r="F49" i="2"/>
  <c r="AH49" i="2"/>
  <c r="R49" i="2"/>
  <c r="AI49" i="2"/>
  <c r="F50" i="2"/>
  <c r="AH50" i="2"/>
  <c r="R50" i="2"/>
  <c r="AI50" i="2"/>
  <c r="F51" i="2"/>
  <c r="AH51" i="2"/>
  <c r="R51" i="2"/>
  <c r="AI51" i="2"/>
  <c r="F52" i="2"/>
  <c r="AH52" i="2"/>
  <c r="R52" i="2"/>
  <c r="AI52" i="2"/>
  <c r="F53" i="2"/>
  <c r="AH53" i="2"/>
  <c r="R53" i="2"/>
  <c r="AI53" i="2"/>
  <c r="AH4" i="2"/>
  <c r="P4" i="7"/>
  <c r="G4" i="1"/>
  <c r="H4" i="1"/>
  <c r="T4" i="2"/>
  <c r="X4" i="2"/>
  <c r="J4" i="1"/>
  <c r="M4" i="1"/>
  <c r="G5" i="1"/>
  <c r="H5" i="1"/>
  <c r="T5" i="2"/>
  <c r="X5" i="2"/>
  <c r="J5" i="1"/>
  <c r="M5" i="1"/>
  <c r="N5" i="1"/>
  <c r="S6" i="2"/>
  <c r="W6" i="2"/>
  <c r="G6" i="1"/>
  <c r="H6" i="1"/>
  <c r="T6" i="2"/>
  <c r="X6" i="2"/>
  <c r="J6" i="1"/>
  <c r="M6" i="1"/>
  <c r="N6" i="1"/>
  <c r="G7" i="1"/>
  <c r="J7" i="1"/>
  <c r="W7" i="2"/>
  <c r="G8" i="1"/>
  <c r="T7" i="2"/>
  <c r="X7" i="2"/>
  <c r="J8" i="1"/>
  <c r="W8" i="2"/>
  <c r="G9" i="1"/>
  <c r="T8" i="2"/>
  <c r="X8" i="2"/>
  <c r="J9" i="1"/>
  <c r="G10" i="1"/>
  <c r="J10" i="1"/>
  <c r="G11" i="1"/>
  <c r="J11" i="1"/>
  <c r="W9" i="2"/>
  <c r="G12" i="1"/>
  <c r="T9" i="2"/>
  <c r="X9" i="2"/>
  <c r="J12" i="1"/>
  <c r="G13" i="1"/>
  <c r="J13" i="1"/>
  <c r="Q10" i="2"/>
  <c r="S10" i="2"/>
  <c r="W10" i="2"/>
  <c r="G14" i="1"/>
  <c r="T10" i="2"/>
  <c r="X10" i="2"/>
  <c r="J14" i="1"/>
  <c r="G15" i="1"/>
  <c r="J15" i="1"/>
  <c r="Q11" i="2"/>
  <c r="S11" i="2"/>
  <c r="W11" i="2"/>
  <c r="G16" i="1"/>
  <c r="T11" i="2"/>
  <c r="X11" i="2"/>
  <c r="J16" i="1"/>
  <c r="G17" i="1"/>
  <c r="J17" i="1"/>
  <c r="Q12" i="2"/>
  <c r="S12" i="2"/>
  <c r="W12" i="2"/>
  <c r="G18" i="1"/>
  <c r="T12" i="2"/>
  <c r="X12" i="2"/>
  <c r="J18" i="1"/>
  <c r="G19" i="1"/>
  <c r="J19" i="1"/>
  <c r="Q13" i="2"/>
  <c r="S13" i="2"/>
  <c r="W13" i="2"/>
  <c r="G20" i="1"/>
  <c r="T13" i="2"/>
  <c r="X13" i="2"/>
  <c r="J20" i="1"/>
  <c r="G21" i="1"/>
  <c r="J21" i="1"/>
  <c r="Q14" i="2"/>
  <c r="S14" i="2"/>
  <c r="W14" i="2"/>
  <c r="G22" i="1"/>
  <c r="T14" i="2"/>
  <c r="X14" i="2"/>
  <c r="J22" i="1"/>
  <c r="G23" i="1"/>
  <c r="J23" i="1"/>
  <c r="Q15" i="2"/>
  <c r="S15" i="2"/>
  <c r="W15" i="2"/>
  <c r="G24" i="1"/>
  <c r="T15" i="2"/>
  <c r="X15" i="2"/>
  <c r="J24" i="1"/>
  <c r="G25" i="1"/>
  <c r="J25" i="1"/>
  <c r="Q16" i="2"/>
  <c r="S16" i="2"/>
  <c r="W16" i="2"/>
  <c r="G26" i="1"/>
  <c r="T16" i="2"/>
  <c r="X16" i="2"/>
  <c r="J26" i="1"/>
  <c r="G27" i="1"/>
  <c r="J27" i="1"/>
  <c r="Q17" i="2"/>
  <c r="S17" i="2"/>
  <c r="W17" i="2"/>
  <c r="G28" i="1"/>
  <c r="T17" i="2"/>
  <c r="X17" i="2"/>
  <c r="J28" i="1"/>
  <c r="G29" i="1"/>
  <c r="J29" i="1"/>
  <c r="Q18" i="2"/>
  <c r="S18" i="2"/>
  <c r="W18" i="2"/>
  <c r="G30" i="1"/>
  <c r="T18" i="2"/>
  <c r="X18" i="2"/>
  <c r="J30" i="1"/>
  <c r="G31" i="1"/>
  <c r="J31" i="1"/>
  <c r="Q19" i="2"/>
  <c r="S19" i="2"/>
  <c r="W19" i="2"/>
  <c r="G32" i="1"/>
  <c r="T19" i="2"/>
  <c r="X19" i="2"/>
  <c r="J32" i="1"/>
  <c r="G33" i="1"/>
  <c r="J33" i="1"/>
  <c r="Q20" i="2"/>
  <c r="S20" i="2"/>
  <c r="W20" i="2"/>
  <c r="G34" i="1"/>
  <c r="T20" i="2"/>
  <c r="X20" i="2"/>
  <c r="J34" i="1"/>
  <c r="G35" i="1"/>
  <c r="J35" i="1"/>
  <c r="Q21" i="2"/>
  <c r="S21" i="2"/>
  <c r="W21" i="2"/>
  <c r="G36" i="1"/>
  <c r="T21" i="2"/>
  <c r="X21" i="2"/>
  <c r="J36" i="1"/>
  <c r="G37" i="1"/>
  <c r="J37" i="1"/>
  <c r="Q22" i="2"/>
  <c r="S22" i="2"/>
  <c r="W22" i="2"/>
  <c r="G38" i="1"/>
  <c r="T22" i="2"/>
  <c r="X22" i="2"/>
  <c r="J38" i="1"/>
  <c r="G39" i="1"/>
  <c r="J39" i="1"/>
  <c r="Q23" i="2"/>
  <c r="S23" i="2"/>
  <c r="W23" i="2"/>
  <c r="G40" i="1"/>
  <c r="T23" i="2"/>
  <c r="X23" i="2"/>
  <c r="J40" i="1"/>
  <c r="G41" i="1"/>
  <c r="J41" i="1"/>
  <c r="Q24" i="2"/>
  <c r="S24" i="2"/>
  <c r="W24" i="2"/>
  <c r="G42" i="1"/>
  <c r="T24" i="2"/>
  <c r="X24" i="2"/>
  <c r="J42" i="1"/>
  <c r="G43" i="1"/>
  <c r="J43" i="1"/>
  <c r="Q25" i="2"/>
  <c r="S25" i="2"/>
  <c r="W25" i="2"/>
  <c r="G44" i="1"/>
  <c r="T25" i="2"/>
  <c r="X25" i="2"/>
  <c r="J44" i="1"/>
  <c r="G45" i="1"/>
  <c r="J45" i="1"/>
  <c r="Q26" i="2"/>
  <c r="S26" i="2"/>
  <c r="W26" i="2"/>
  <c r="G46" i="1"/>
  <c r="T26" i="2"/>
  <c r="X26" i="2"/>
  <c r="J46" i="1"/>
  <c r="G47" i="1"/>
  <c r="J47" i="1"/>
  <c r="Q27" i="2"/>
  <c r="S27" i="2"/>
  <c r="W27" i="2"/>
  <c r="G48" i="1"/>
  <c r="T27" i="2"/>
  <c r="X27" i="2"/>
  <c r="J48" i="1"/>
  <c r="G49" i="1"/>
  <c r="J49" i="1"/>
  <c r="Q28" i="2"/>
  <c r="S28" i="2"/>
  <c r="W28" i="2"/>
  <c r="G50" i="1"/>
  <c r="T28" i="2"/>
  <c r="X28" i="2"/>
  <c r="J50" i="1"/>
  <c r="G51" i="1"/>
  <c r="J51" i="1"/>
  <c r="Q29" i="2"/>
  <c r="S29" i="2"/>
  <c r="W29" i="2"/>
  <c r="G52" i="1"/>
  <c r="T29" i="2"/>
  <c r="X29" i="2"/>
  <c r="J52" i="1"/>
  <c r="G53" i="1"/>
  <c r="J53" i="1"/>
  <c r="Q30" i="2"/>
  <c r="S30" i="2"/>
  <c r="W30" i="2"/>
  <c r="G54" i="1"/>
  <c r="T30" i="2"/>
  <c r="X30" i="2"/>
  <c r="J54" i="1"/>
  <c r="G55" i="1"/>
  <c r="J55" i="1"/>
  <c r="Q31" i="2"/>
  <c r="S31" i="2"/>
  <c r="W31" i="2"/>
  <c r="G56" i="1"/>
  <c r="T31" i="2"/>
  <c r="X31" i="2"/>
  <c r="J56" i="1"/>
  <c r="G57" i="1"/>
  <c r="J57" i="1"/>
  <c r="Q32" i="2"/>
  <c r="S32" i="2"/>
  <c r="W32" i="2"/>
  <c r="G58" i="1"/>
  <c r="T32" i="2"/>
  <c r="X32" i="2"/>
  <c r="J58" i="1"/>
  <c r="G59" i="1"/>
  <c r="J59" i="1"/>
  <c r="Q33" i="2"/>
  <c r="S33" i="2"/>
  <c r="W33" i="2"/>
  <c r="G60" i="1"/>
  <c r="T33" i="2"/>
  <c r="X33" i="2"/>
  <c r="J60" i="1"/>
  <c r="G61" i="1"/>
  <c r="J61" i="1"/>
  <c r="Q34" i="2"/>
  <c r="S34" i="2"/>
  <c r="W34" i="2"/>
  <c r="G62" i="1"/>
  <c r="T34" i="2"/>
  <c r="X34" i="2"/>
  <c r="J62" i="1"/>
  <c r="G63" i="1"/>
  <c r="J63" i="1"/>
  <c r="Q35" i="2"/>
  <c r="S35" i="2"/>
  <c r="W35" i="2"/>
  <c r="G64" i="1"/>
  <c r="T35" i="2"/>
  <c r="X35" i="2"/>
  <c r="J64" i="1"/>
  <c r="G65" i="1"/>
  <c r="J65" i="1"/>
  <c r="Q36" i="2"/>
  <c r="S36" i="2"/>
  <c r="W36" i="2"/>
  <c r="G66" i="1"/>
  <c r="T36" i="2"/>
  <c r="X36" i="2"/>
  <c r="J66" i="1"/>
  <c r="G67" i="1"/>
  <c r="J67" i="1"/>
  <c r="Q37" i="2"/>
  <c r="S37" i="2"/>
  <c r="W37" i="2"/>
  <c r="G68" i="1"/>
  <c r="T37" i="2"/>
  <c r="X37" i="2"/>
  <c r="J68" i="1"/>
  <c r="G69" i="1"/>
  <c r="J69" i="1"/>
  <c r="Q38" i="2"/>
  <c r="S38" i="2"/>
  <c r="W38" i="2"/>
  <c r="G70" i="1"/>
  <c r="T38" i="2"/>
  <c r="X38" i="2"/>
  <c r="J70" i="1"/>
  <c r="G71" i="1"/>
  <c r="J71" i="1"/>
  <c r="Q39" i="2"/>
  <c r="S39" i="2"/>
  <c r="W39" i="2"/>
  <c r="G72" i="1"/>
  <c r="T39" i="2"/>
  <c r="X39" i="2"/>
  <c r="J72" i="1"/>
  <c r="G73" i="1"/>
  <c r="J73" i="1"/>
  <c r="Q40" i="2"/>
  <c r="S40" i="2"/>
  <c r="W40" i="2"/>
  <c r="G74" i="1"/>
  <c r="T40" i="2"/>
  <c r="X40" i="2"/>
  <c r="J74" i="1"/>
  <c r="G75" i="1"/>
  <c r="J75" i="1"/>
  <c r="Q41" i="2"/>
  <c r="S41" i="2"/>
  <c r="W41" i="2"/>
  <c r="G76" i="1"/>
  <c r="T41" i="2"/>
  <c r="X41" i="2"/>
  <c r="J76" i="1"/>
  <c r="G77" i="1"/>
  <c r="J77" i="1"/>
  <c r="Q42" i="2"/>
  <c r="S42" i="2"/>
  <c r="W42" i="2"/>
  <c r="G78" i="1"/>
  <c r="T42" i="2"/>
  <c r="X42" i="2"/>
  <c r="J78" i="1"/>
  <c r="G79" i="1"/>
  <c r="J79" i="1"/>
  <c r="Q43" i="2"/>
  <c r="S43" i="2"/>
  <c r="W43" i="2"/>
  <c r="G80" i="1"/>
  <c r="T43" i="2"/>
  <c r="X43" i="2"/>
  <c r="J80" i="1"/>
  <c r="G81" i="1"/>
  <c r="J81" i="1"/>
  <c r="Q44" i="2"/>
  <c r="S44" i="2"/>
  <c r="W44" i="2"/>
  <c r="G82" i="1"/>
  <c r="T44" i="2"/>
  <c r="X44" i="2"/>
  <c r="J82" i="1"/>
  <c r="G83" i="1"/>
  <c r="J83" i="1"/>
  <c r="Q45" i="2"/>
  <c r="S45" i="2"/>
  <c r="W45" i="2"/>
  <c r="G84" i="1"/>
  <c r="T45" i="2"/>
  <c r="X45" i="2"/>
  <c r="J84" i="1"/>
  <c r="G85" i="1"/>
  <c r="J85" i="1"/>
  <c r="Q46" i="2"/>
  <c r="S46" i="2"/>
  <c r="W46" i="2"/>
  <c r="G86" i="1"/>
  <c r="T46" i="2"/>
  <c r="X46" i="2"/>
  <c r="J86" i="1"/>
  <c r="G87" i="1"/>
  <c r="J87" i="1"/>
  <c r="Q47" i="2"/>
  <c r="S47" i="2"/>
  <c r="W47" i="2"/>
  <c r="G88" i="1"/>
  <c r="T47" i="2"/>
  <c r="X47" i="2"/>
  <c r="J88" i="1"/>
  <c r="G89" i="1"/>
  <c r="J89" i="1"/>
  <c r="G90" i="1"/>
  <c r="J90" i="1"/>
  <c r="G91" i="1"/>
  <c r="J91" i="1"/>
  <c r="G92" i="1"/>
  <c r="J92" i="1"/>
  <c r="G93" i="1"/>
  <c r="J93" i="1"/>
  <c r="G94" i="1"/>
  <c r="J94" i="1"/>
  <c r="G95" i="1"/>
  <c r="J95" i="1"/>
  <c r="G96" i="1"/>
  <c r="J96" i="1"/>
  <c r="G97" i="1"/>
  <c r="J97" i="1"/>
  <c r="G98" i="1"/>
  <c r="J98" i="1"/>
  <c r="G99" i="1"/>
  <c r="J99" i="1"/>
  <c r="G100" i="1"/>
  <c r="J100" i="1"/>
  <c r="G101" i="1"/>
  <c r="J101" i="1"/>
  <c r="G102" i="1"/>
  <c r="J102" i="1"/>
  <c r="G103" i="1"/>
  <c r="J103" i="1"/>
  <c r="G104" i="1"/>
  <c r="J104" i="1"/>
  <c r="G105" i="1"/>
  <c r="J105" i="1"/>
  <c r="G106" i="1"/>
  <c r="J106" i="1"/>
  <c r="G107" i="1"/>
  <c r="J107" i="1"/>
  <c r="G108" i="1"/>
  <c r="J108" i="1"/>
  <c r="G109" i="1"/>
  <c r="J109" i="1"/>
  <c r="G110" i="1"/>
  <c r="J110" i="1"/>
  <c r="G111" i="1"/>
  <c r="J111" i="1"/>
  <c r="G112" i="1"/>
  <c r="J112" i="1"/>
  <c r="G113" i="1"/>
  <c r="J113" i="1"/>
  <c r="G114" i="1"/>
  <c r="J114" i="1"/>
  <c r="G115" i="1"/>
  <c r="J115" i="1"/>
  <c r="G116" i="1"/>
  <c r="J116" i="1"/>
  <c r="G117" i="1"/>
  <c r="J117" i="1"/>
  <c r="G118" i="1"/>
  <c r="J118" i="1"/>
  <c r="G119" i="1"/>
  <c r="J119" i="1"/>
  <c r="G120" i="1"/>
  <c r="J120" i="1"/>
  <c r="G121" i="1"/>
  <c r="J121" i="1"/>
  <c r="G122" i="1"/>
  <c r="J122" i="1"/>
  <c r="G123" i="1"/>
  <c r="J123" i="1"/>
  <c r="G124" i="1"/>
  <c r="J124" i="1"/>
  <c r="G125" i="1"/>
  <c r="J125" i="1"/>
  <c r="G126" i="1"/>
  <c r="J126" i="1"/>
  <c r="G127" i="1"/>
  <c r="J127" i="1"/>
  <c r="G128" i="1"/>
  <c r="J128" i="1"/>
  <c r="G129" i="1"/>
  <c r="J129" i="1"/>
  <c r="G130" i="1"/>
  <c r="J130" i="1"/>
  <c r="G131" i="1"/>
  <c r="J131" i="1"/>
  <c r="G132" i="1"/>
  <c r="J132" i="1"/>
  <c r="G133" i="1"/>
  <c r="J133" i="1"/>
  <c r="G134" i="1"/>
  <c r="J134" i="1"/>
  <c r="G135" i="1"/>
  <c r="J135" i="1"/>
  <c r="G136" i="1"/>
  <c r="J136" i="1"/>
  <c r="G137" i="1"/>
  <c r="J137" i="1"/>
  <c r="G138" i="1"/>
  <c r="J138" i="1"/>
  <c r="G139" i="1"/>
  <c r="J139" i="1"/>
  <c r="G140" i="1"/>
  <c r="J140" i="1"/>
  <c r="G141" i="1"/>
  <c r="J141" i="1"/>
  <c r="G142" i="1"/>
  <c r="J142" i="1"/>
  <c r="G143" i="1"/>
  <c r="J143" i="1"/>
  <c r="G144" i="1"/>
  <c r="J144" i="1"/>
  <c r="G145" i="1"/>
  <c r="J145" i="1"/>
  <c r="G146" i="1"/>
  <c r="J146" i="1"/>
  <c r="G147" i="1"/>
  <c r="J147" i="1"/>
  <c r="G148" i="1"/>
  <c r="J148" i="1"/>
  <c r="G149" i="1"/>
  <c r="J149" i="1"/>
  <c r="G150" i="1"/>
  <c r="J150" i="1"/>
  <c r="G151" i="1"/>
  <c r="J151" i="1"/>
  <c r="G152" i="1"/>
  <c r="J152" i="1"/>
  <c r="G153" i="1"/>
  <c r="J153" i="1"/>
  <c r="G154" i="1"/>
  <c r="J154" i="1"/>
  <c r="G155" i="1"/>
  <c r="J155" i="1"/>
  <c r="G156" i="1"/>
  <c r="J156" i="1"/>
  <c r="G157" i="1"/>
  <c r="J157" i="1"/>
  <c r="G158" i="1"/>
  <c r="J158" i="1"/>
  <c r="G159" i="1"/>
  <c r="J159" i="1"/>
  <c r="G160" i="1"/>
  <c r="J160" i="1"/>
  <c r="G161" i="1"/>
  <c r="J161" i="1"/>
  <c r="G162" i="1"/>
  <c r="J162" i="1"/>
  <c r="G163" i="1"/>
  <c r="J163" i="1"/>
  <c r="G164" i="1"/>
  <c r="J164" i="1"/>
  <c r="G165" i="1"/>
  <c r="J165" i="1"/>
  <c r="G166" i="1"/>
  <c r="J166" i="1"/>
  <c r="G167" i="1"/>
  <c r="J167" i="1"/>
  <c r="G168" i="1"/>
  <c r="J168" i="1"/>
  <c r="G169" i="1"/>
  <c r="J169" i="1"/>
  <c r="G170" i="1"/>
  <c r="J170" i="1"/>
  <c r="G171" i="1"/>
  <c r="J171" i="1"/>
  <c r="G172" i="1"/>
  <c r="J172" i="1"/>
  <c r="G173" i="1"/>
  <c r="J173" i="1"/>
  <c r="G174" i="1"/>
  <c r="J174" i="1"/>
  <c r="G175" i="1"/>
  <c r="J175" i="1"/>
  <c r="G176" i="1"/>
  <c r="J176" i="1"/>
  <c r="G177" i="1"/>
  <c r="J177" i="1"/>
  <c r="G178" i="1"/>
  <c r="J178" i="1"/>
  <c r="G179" i="1"/>
  <c r="J179" i="1"/>
  <c r="G180" i="1"/>
  <c r="J180" i="1"/>
  <c r="G181" i="1"/>
  <c r="J181" i="1"/>
  <c r="G182" i="1"/>
  <c r="J182" i="1"/>
  <c r="G183" i="1"/>
  <c r="J183" i="1"/>
  <c r="G184" i="1"/>
  <c r="J184" i="1"/>
  <c r="G185" i="1"/>
  <c r="J185" i="1"/>
  <c r="G186" i="1"/>
  <c r="J186" i="1"/>
  <c r="G187" i="1"/>
  <c r="J187" i="1"/>
  <c r="G188" i="1"/>
  <c r="J188" i="1"/>
  <c r="G189" i="1"/>
  <c r="J189" i="1"/>
  <c r="G190" i="1"/>
  <c r="J190" i="1"/>
  <c r="G191" i="1"/>
  <c r="J191" i="1"/>
  <c r="G192" i="1"/>
  <c r="J192" i="1"/>
  <c r="G193" i="1"/>
  <c r="J193" i="1"/>
  <c r="G194" i="1"/>
  <c r="J194" i="1"/>
  <c r="G195" i="1"/>
  <c r="J195" i="1"/>
  <c r="G196" i="1"/>
  <c r="J196" i="1"/>
  <c r="G197" i="1"/>
  <c r="J197" i="1"/>
  <c r="G198" i="1"/>
  <c r="J198" i="1"/>
  <c r="G199" i="1"/>
  <c r="J199" i="1"/>
  <c r="G200" i="1"/>
  <c r="J200" i="1"/>
  <c r="G201" i="1"/>
  <c r="J201" i="1"/>
  <c r="G202" i="1"/>
  <c r="J202" i="1"/>
  <c r="G203" i="1"/>
  <c r="J203" i="1"/>
  <c r="N4" i="1"/>
  <c r="E4" i="7"/>
  <c r="J5" i="7"/>
  <c r="E5" i="7"/>
  <c r="J6" i="7"/>
  <c r="E6" i="7"/>
  <c r="J7" i="7"/>
  <c r="E7" i="7"/>
  <c r="J8" i="7"/>
  <c r="E8" i="7"/>
  <c r="J9" i="7"/>
  <c r="E9" i="7"/>
  <c r="J10" i="7"/>
  <c r="E10" i="7"/>
  <c r="J11" i="7"/>
  <c r="E11" i="7"/>
  <c r="J12" i="7"/>
  <c r="E12" i="7"/>
  <c r="J13" i="7"/>
  <c r="E13" i="7"/>
  <c r="J14" i="7"/>
  <c r="E14" i="7"/>
  <c r="J15" i="7"/>
  <c r="E15" i="7"/>
  <c r="J16" i="7"/>
  <c r="E16" i="7"/>
  <c r="J17" i="7"/>
  <c r="E17" i="7"/>
  <c r="J18" i="7"/>
  <c r="E18" i="7"/>
  <c r="J19" i="7"/>
  <c r="E19" i="7"/>
  <c r="M5" i="7"/>
  <c r="M6" i="7"/>
  <c r="M7" i="7"/>
  <c r="M8" i="7"/>
  <c r="M9" i="7"/>
  <c r="M10" i="7"/>
  <c r="M11" i="7"/>
  <c r="M12" i="7"/>
  <c r="M13" i="7"/>
  <c r="M14" i="7"/>
  <c r="M15" i="7"/>
  <c r="M16" i="7"/>
  <c r="M17" i="7"/>
  <c r="M18" i="7"/>
  <c r="M19" i="7"/>
  <c r="M4" i="7"/>
  <c r="L5" i="7"/>
  <c r="L6" i="7"/>
  <c r="L7" i="7"/>
  <c r="L8" i="7"/>
  <c r="L9" i="7"/>
  <c r="L10" i="7"/>
  <c r="L11" i="7"/>
  <c r="L12" i="7"/>
  <c r="L13" i="7"/>
  <c r="L14" i="7"/>
  <c r="L15" i="7"/>
  <c r="L16" i="7"/>
  <c r="L17" i="7"/>
  <c r="L18" i="7"/>
  <c r="L19" i="7"/>
  <c r="L4" i="7"/>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4" i="5"/>
  <c r="A5" i="5"/>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4" i="2"/>
  <c r="A5" i="2"/>
  <c r="Y4" i="2"/>
  <c r="AA4" i="2"/>
  <c r="Y5" i="2"/>
  <c r="F5" i="2"/>
  <c r="F7" i="2"/>
  <c r="F8" i="2"/>
  <c r="F9" i="2"/>
  <c r="F4" i="2"/>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4" i="5"/>
  <c r="Q4" i="2"/>
  <c r="Q5" i="2"/>
  <c r="C27" i="13"/>
  <c r="C14" i="13"/>
  <c r="C8" i="13"/>
  <c r="C5" i="13"/>
  <c r="C3" i="13"/>
  <c r="D3" i="13"/>
  <c r="C4" i="13"/>
  <c r="D4" i="13"/>
  <c r="D5" i="13"/>
  <c r="C6" i="13"/>
  <c r="D6" i="13"/>
  <c r="C7" i="13"/>
  <c r="D7" i="13"/>
  <c r="D8" i="13"/>
  <c r="C9" i="13"/>
  <c r="D9" i="13"/>
  <c r="C10" i="13"/>
  <c r="D10" i="13"/>
  <c r="C11" i="13"/>
  <c r="D11" i="13"/>
  <c r="C12" i="13"/>
  <c r="D12" i="13"/>
  <c r="C13" i="13"/>
  <c r="D13" i="13"/>
  <c r="D14" i="13"/>
  <c r="C15" i="13"/>
  <c r="D15" i="13"/>
  <c r="C16" i="13"/>
  <c r="D16" i="13"/>
  <c r="C17" i="13"/>
  <c r="D17" i="13"/>
  <c r="C18" i="13"/>
  <c r="D18" i="13"/>
  <c r="C19" i="13"/>
  <c r="D19" i="13"/>
  <c r="C20" i="13"/>
  <c r="D20" i="13"/>
  <c r="C21" i="13"/>
  <c r="D21" i="13"/>
  <c r="C22" i="13"/>
  <c r="D22" i="13"/>
  <c r="C23" i="13"/>
  <c r="D23" i="13"/>
  <c r="C24" i="13"/>
  <c r="D24" i="13"/>
  <c r="C25" i="13"/>
  <c r="D25" i="13"/>
  <c r="C26" i="13"/>
  <c r="D26" i="13"/>
  <c r="D27" i="13"/>
  <c r="C28" i="13"/>
  <c r="D28" i="13"/>
  <c r="C29" i="13"/>
  <c r="D29" i="13"/>
  <c r="C30" i="13"/>
  <c r="D30" i="13"/>
  <c r="C31" i="13"/>
  <c r="D31" i="13"/>
  <c r="C32" i="13"/>
  <c r="D32" i="13"/>
  <c r="C33" i="13"/>
  <c r="D33" i="13"/>
  <c r="C34" i="13"/>
  <c r="D34" i="13"/>
  <c r="C35" i="13"/>
  <c r="D35" i="13"/>
  <c r="C36" i="13"/>
  <c r="D36" i="13"/>
  <c r="C37" i="13"/>
  <c r="D37" i="13"/>
  <c r="C38" i="13"/>
  <c r="D38" i="13"/>
  <c r="C39" i="13"/>
  <c r="D39" i="13"/>
  <c r="C40" i="13"/>
  <c r="D40" i="13"/>
  <c r="C41" i="13"/>
  <c r="D41" i="13"/>
  <c r="C42" i="13"/>
  <c r="D42" i="13"/>
  <c r="C43" i="13"/>
  <c r="D43" i="13"/>
  <c r="C44" i="13"/>
  <c r="D44" i="13"/>
  <c r="C45" i="13"/>
  <c r="D45" i="13"/>
  <c r="C46" i="13"/>
  <c r="D46" i="13"/>
  <c r="C47" i="13"/>
  <c r="D47" i="13"/>
  <c r="C48" i="13"/>
  <c r="D48" i="13"/>
  <c r="C49" i="13"/>
  <c r="D49" i="13"/>
  <c r="C50" i="13"/>
  <c r="D50" i="13"/>
  <c r="C51" i="13"/>
  <c r="D51" i="13"/>
  <c r="C52" i="13"/>
  <c r="D52" i="13"/>
  <c r="AF6" i="2"/>
  <c r="P4" i="1"/>
  <c r="Q4" i="1"/>
  <c r="T7" i="3"/>
  <c r="T9" i="3"/>
  <c r="T10" i="3"/>
  <c r="T12" i="3"/>
  <c r="T13" i="3"/>
  <c r="T15" i="3"/>
  <c r="T16" i="3"/>
  <c r="T4" i="3"/>
  <c r="P6" i="17"/>
  <c r="Q6" i="17"/>
  <c r="R6" i="17"/>
  <c r="P7" i="17"/>
  <c r="Q7" i="17"/>
  <c r="R7" i="17"/>
  <c r="P8" i="17"/>
  <c r="Q8" i="17"/>
  <c r="R8" i="17"/>
  <c r="P9" i="17"/>
  <c r="Q9" i="17"/>
  <c r="R9" i="17"/>
  <c r="P10" i="17"/>
  <c r="Q10" i="17"/>
  <c r="R10" i="17"/>
  <c r="P11" i="17"/>
  <c r="Q11" i="17"/>
  <c r="R11" i="17"/>
  <c r="P12" i="17"/>
  <c r="Q12" i="17"/>
  <c r="R12" i="17"/>
  <c r="P13" i="17"/>
  <c r="Q13" i="17"/>
  <c r="R13" i="17"/>
  <c r="P14" i="17"/>
  <c r="Q14" i="17"/>
  <c r="R14" i="17"/>
  <c r="P15" i="17"/>
  <c r="Q15" i="17"/>
  <c r="R15" i="17"/>
  <c r="P16" i="17"/>
  <c r="Q16" i="17"/>
  <c r="R16" i="17"/>
  <c r="P17" i="17"/>
  <c r="Q17" i="17"/>
  <c r="R17" i="17"/>
  <c r="P18" i="17"/>
  <c r="Q18" i="17"/>
  <c r="R18" i="17"/>
  <c r="P19" i="17"/>
  <c r="Q19" i="17"/>
  <c r="R19" i="17"/>
  <c r="P20" i="17"/>
  <c r="Q20" i="17"/>
  <c r="R20" i="17"/>
  <c r="P21" i="17"/>
  <c r="Q21" i="17"/>
  <c r="R21" i="17"/>
  <c r="P22" i="17"/>
  <c r="Q22" i="17"/>
  <c r="R22" i="17"/>
  <c r="P23" i="17"/>
  <c r="Q23" i="17"/>
  <c r="R23" i="17"/>
  <c r="P24" i="17"/>
  <c r="Q24" i="17"/>
  <c r="R24" i="17"/>
  <c r="P25" i="17"/>
  <c r="Q25" i="17"/>
  <c r="R25" i="17"/>
  <c r="P26" i="17"/>
  <c r="Q26" i="17"/>
  <c r="R26" i="17"/>
  <c r="P27" i="17"/>
  <c r="Q27" i="17"/>
  <c r="R27" i="17"/>
  <c r="P28" i="17"/>
  <c r="Q28" i="17"/>
  <c r="R28" i="17"/>
  <c r="P29" i="17"/>
  <c r="Q29" i="17"/>
  <c r="R29" i="17"/>
  <c r="P30" i="17"/>
  <c r="Q30" i="17"/>
  <c r="R30" i="17"/>
  <c r="P31" i="17"/>
  <c r="Q31" i="17"/>
  <c r="R31" i="17"/>
  <c r="P32" i="17"/>
  <c r="Q32" i="17"/>
  <c r="R32" i="17"/>
  <c r="P33" i="17"/>
  <c r="Q33" i="17"/>
  <c r="R33" i="17"/>
  <c r="P34" i="17"/>
  <c r="Q34" i="17"/>
  <c r="R34" i="17"/>
  <c r="P35" i="17"/>
  <c r="Q35" i="17"/>
  <c r="R35" i="17"/>
  <c r="P36" i="17"/>
  <c r="Q36" i="17"/>
  <c r="R36" i="17"/>
  <c r="P37" i="17"/>
  <c r="Q37" i="17"/>
  <c r="R37" i="17"/>
  <c r="P38" i="17"/>
  <c r="Q38" i="17"/>
  <c r="R38" i="17"/>
  <c r="P39" i="17"/>
  <c r="Q39" i="17"/>
  <c r="R39" i="17"/>
  <c r="P5" i="17"/>
  <c r="Q5" i="17"/>
  <c r="R5" i="17"/>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4" i="2"/>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 i="17"/>
  <c r="F6" i="7"/>
  <c r="F7" i="7"/>
  <c r="F8" i="7"/>
  <c r="F9" i="7"/>
  <c r="F10" i="7"/>
  <c r="F11" i="7"/>
  <c r="F12" i="7"/>
  <c r="F13" i="7"/>
  <c r="F14" i="7"/>
  <c r="F15" i="7"/>
  <c r="F16" i="7"/>
  <c r="F17" i="7"/>
  <c r="F18" i="7"/>
  <c r="F19" i="7"/>
  <c r="F4" i="7"/>
  <c r="AA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79" i="15"/>
  <c r="AB80" i="15"/>
  <c r="AB81" i="15"/>
  <c r="AB82" i="15"/>
  <c r="AB83" i="15"/>
  <c r="AB84" i="15"/>
  <c r="AB85" i="15"/>
  <c r="AB86" i="15"/>
  <c r="AB87" i="15"/>
  <c r="AB88"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64" i="15"/>
  <c r="AB165" i="15"/>
  <c r="AB166" i="15"/>
  <c r="AB167" i="15"/>
  <c r="AB168" i="15"/>
  <c r="AB169" i="15"/>
  <c r="AB170" i="15"/>
  <c r="AB171" i="15"/>
  <c r="AB172" i="15"/>
  <c r="AB173" i="15"/>
  <c r="AB174" i="15"/>
  <c r="AB175" i="15"/>
  <c r="AB176" i="15"/>
  <c r="AB177" i="15"/>
  <c r="AB178" i="15"/>
  <c r="AB179" i="15"/>
  <c r="AB180" i="15"/>
  <c r="AB181" i="15"/>
  <c r="AB182" i="15"/>
  <c r="AB183" i="15"/>
  <c r="AB184" i="15"/>
  <c r="AB185" i="15"/>
  <c r="AB186" i="15"/>
  <c r="AB187" i="15"/>
  <c r="AB188" i="15"/>
  <c r="AB189" i="15"/>
  <c r="AB190" i="15"/>
  <c r="AB191" i="15"/>
  <c r="AB192" i="15"/>
  <c r="AB193" i="15"/>
  <c r="AB194" i="15"/>
  <c r="AB195" i="15"/>
  <c r="AB196" i="15"/>
  <c r="AB197" i="15"/>
  <c r="AB198" i="15"/>
  <c r="AB199" i="15"/>
  <c r="AB200" i="15"/>
  <c r="AB201" i="15"/>
  <c r="AB202" i="15"/>
  <c r="AB203" i="15"/>
  <c r="AB4" i="15"/>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39" i="16"/>
  <c r="C40" i="16"/>
  <c r="D40" i="16"/>
  <c r="E40" i="16"/>
  <c r="F40" i="16"/>
  <c r="G40" i="16"/>
  <c r="C41" i="16"/>
  <c r="D41" i="16"/>
  <c r="E41" i="16"/>
  <c r="F41" i="16"/>
  <c r="G41" i="16"/>
  <c r="C42" i="16"/>
  <c r="D42" i="16"/>
  <c r="E42" i="16"/>
  <c r="F42" i="16"/>
  <c r="G42" i="16"/>
  <c r="C43" i="16"/>
  <c r="D43" i="16"/>
  <c r="E43" i="16"/>
  <c r="F43" i="16"/>
  <c r="G43" i="16"/>
  <c r="C44" i="16"/>
  <c r="D44" i="16"/>
  <c r="E44" i="16"/>
  <c r="F44" i="16"/>
  <c r="G44" i="16"/>
  <c r="C45" i="16"/>
  <c r="D45" i="16"/>
  <c r="E45" i="16"/>
  <c r="F45" i="16"/>
  <c r="G45" i="16"/>
  <c r="C46" i="16"/>
  <c r="D46" i="16"/>
  <c r="E46" i="16"/>
  <c r="F46" i="16"/>
  <c r="G46" i="16"/>
  <c r="C47" i="16"/>
  <c r="D47" i="16"/>
  <c r="E47" i="16"/>
  <c r="F47" i="16"/>
  <c r="G47" i="16"/>
  <c r="C48" i="16"/>
  <c r="D48" i="16"/>
  <c r="E48" i="16"/>
  <c r="F48" i="16"/>
  <c r="G48" i="16"/>
  <c r="C49" i="16"/>
  <c r="D49" i="16"/>
  <c r="E49" i="16"/>
  <c r="F49" i="16"/>
  <c r="G49" i="16"/>
  <c r="C50" i="16"/>
  <c r="D50" i="16"/>
  <c r="E50" i="16"/>
  <c r="F50" i="16"/>
  <c r="G50" i="16"/>
  <c r="C51" i="16"/>
  <c r="D51" i="16"/>
  <c r="E51" i="16"/>
  <c r="F51" i="16"/>
  <c r="G51" i="16"/>
  <c r="C52" i="16"/>
  <c r="D52" i="16"/>
  <c r="E52" i="16"/>
  <c r="F52" i="16"/>
  <c r="G52" i="16"/>
  <c r="C53" i="16"/>
  <c r="D53" i="16"/>
  <c r="E53" i="16"/>
  <c r="F53" i="16"/>
  <c r="G53" i="16"/>
  <c r="C54" i="16"/>
  <c r="D54" i="16"/>
  <c r="E54" i="16"/>
  <c r="F54" i="16"/>
  <c r="G54" i="16"/>
  <c r="C55" i="16"/>
  <c r="D55" i="16"/>
  <c r="E55" i="16"/>
  <c r="F55" i="16"/>
  <c r="G55" i="16"/>
  <c r="C56" i="16"/>
  <c r="D56" i="16"/>
  <c r="E56" i="16"/>
  <c r="F56" i="16"/>
  <c r="G56" i="16"/>
  <c r="C57" i="16"/>
  <c r="D57" i="16"/>
  <c r="E57" i="16"/>
  <c r="F57" i="16"/>
  <c r="G57" i="16"/>
  <c r="C58" i="16"/>
  <c r="D58" i="16"/>
  <c r="E58" i="16"/>
  <c r="F58" i="16"/>
  <c r="G58" i="16"/>
  <c r="C59" i="16"/>
  <c r="D59" i="16"/>
  <c r="E59" i="16"/>
  <c r="F59" i="16"/>
  <c r="G59" i="16"/>
  <c r="C60" i="16"/>
  <c r="D60" i="16"/>
  <c r="E60" i="16"/>
  <c r="F60" i="16"/>
  <c r="G60" i="16"/>
  <c r="C61" i="16"/>
  <c r="D61" i="16"/>
  <c r="E61" i="16"/>
  <c r="F61" i="16"/>
  <c r="G61" i="16"/>
  <c r="C62" i="16"/>
  <c r="D62" i="16"/>
  <c r="E62" i="16"/>
  <c r="F62" i="16"/>
  <c r="G62" i="16"/>
  <c r="C63" i="16"/>
  <c r="D63" i="16"/>
  <c r="E63" i="16"/>
  <c r="F63" i="16"/>
  <c r="G63" i="16"/>
  <c r="C64" i="16"/>
  <c r="D64" i="16"/>
  <c r="E64" i="16"/>
  <c r="F64" i="16"/>
  <c r="G64" i="16"/>
  <c r="C65" i="16"/>
  <c r="D65" i="16"/>
  <c r="E65" i="16"/>
  <c r="F65" i="16"/>
  <c r="G65" i="16"/>
  <c r="C66" i="16"/>
  <c r="D66" i="16"/>
  <c r="E66" i="16"/>
  <c r="F66" i="16"/>
  <c r="G66" i="16"/>
  <c r="C67" i="16"/>
  <c r="D67" i="16"/>
  <c r="E67" i="16"/>
  <c r="F67" i="16"/>
  <c r="G67" i="16"/>
  <c r="C68" i="16"/>
  <c r="D68" i="16"/>
  <c r="E68" i="16"/>
  <c r="F68" i="16"/>
  <c r="G68" i="16"/>
  <c r="C69" i="16"/>
  <c r="D69" i="16"/>
  <c r="E69" i="16"/>
  <c r="F69" i="16"/>
  <c r="G69" i="16"/>
  <c r="C70" i="16"/>
  <c r="D70" i="16"/>
  <c r="E70" i="16"/>
  <c r="F70" i="16"/>
  <c r="G70" i="16"/>
  <c r="C71" i="16"/>
  <c r="D71" i="16"/>
  <c r="E71" i="16"/>
  <c r="F71" i="16"/>
  <c r="G71" i="16"/>
  <c r="C72" i="16"/>
  <c r="D72" i="16"/>
  <c r="E72" i="16"/>
  <c r="F72" i="16"/>
  <c r="G72" i="16"/>
  <c r="C73" i="16"/>
  <c r="D73" i="16"/>
  <c r="E73" i="16"/>
  <c r="F73" i="16"/>
  <c r="G73" i="16"/>
  <c r="C74" i="16"/>
  <c r="D74" i="16"/>
  <c r="E74" i="16"/>
  <c r="F74" i="16"/>
  <c r="G74" i="16"/>
  <c r="C75" i="16"/>
  <c r="D75" i="16"/>
  <c r="E75" i="16"/>
  <c r="F75" i="16"/>
  <c r="G75" i="16"/>
  <c r="C76" i="16"/>
  <c r="D76" i="16"/>
  <c r="E76" i="16"/>
  <c r="F76" i="16"/>
  <c r="G76" i="16"/>
  <c r="C77" i="16"/>
  <c r="D77" i="16"/>
  <c r="E77" i="16"/>
  <c r="F77" i="16"/>
  <c r="G77" i="16"/>
  <c r="C78" i="16"/>
  <c r="D78" i="16"/>
  <c r="E78" i="16"/>
  <c r="F78" i="16"/>
  <c r="G78" i="16"/>
  <c r="C79" i="16"/>
  <c r="D79" i="16"/>
  <c r="E79" i="16"/>
  <c r="F79" i="16"/>
  <c r="G79" i="16"/>
  <c r="C80" i="16"/>
  <c r="D80" i="16"/>
  <c r="E80" i="16"/>
  <c r="F80" i="16"/>
  <c r="G80" i="16"/>
  <c r="C81" i="16"/>
  <c r="D81" i="16"/>
  <c r="E81" i="16"/>
  <c r="F81" i="16"/>
  <c r="G81" i="16"/>
  <c r="C82" i="16"/>
  <c r="D82" i="16"/>
  <c r="E82" i="16"/>
  <c r="F82" i="16"/>
  <c r="G82" i="16"/>
  <c r="C83" i="16"/>
  <c r="D83" i="16"/>
  <c r="E83" i="16"/>
  <c r="F83" i="16"/>
  <c r="G83" i="16"/>
  <c r="C84" i="16"/>
  <c r="D84" i="16"/>
  <c r="E84" i="16"/>
  <c r="F84" i="16"/>
  <c r="G84" i="16"/>
  <c r="C85" i="16"/>
  <c r="D85" i="16"/>
  <c r="E85" i="16"/>
  <c r="F85" i="16"/>
  <c r="G85" i="16"/>
  <c r="C86" i="16"/>
  <c r="D86" i="16"/>
  <c r="E86" i="16"/>
  <c r="F86" i="16"/>
  <c r="G86" i="16"/>
  <c r="C87" i="16"/>
  <c r="D87" i="16"/>
  <c r="E87" i="16"/>
  <c r="F87" i="16"/>
  <c r="G87" i="16"/>
  <c r="C88" i="16"/>
  <c r="D88" i="16"/>
  <c r="E88" i="16"/>
  <c r="F88" i="16"/>
  <c r="G88" i="16"/>
  <c r="C89" i="16"/>
  <c r="D89" i="16"/>
  <c r="E89" i="16"/>
  <c r="F89" i="16"/>
  <c r="G89" i="16"/>
  <c r="C90" i="16"/>
  <c r="D90" i="16"/>
  <c r="E90" i="16"/>
  <c r="F90" i="16"/>
  <c r="G90" i="16"/>
  <c r="C91" i="16"/>
  <c r="D91" i="16"/>
  <c r="E91" i="16"/>
  <c r="F91" i="16"/>
  <c r="G91" i="16"/>
  <c r="C92" i="16"/>
  <c r="D92" i="16"/>
  <c r="E92" i="16"/>
  <c r="F92" i="16"/>
  <c r="G92" i="16"/>
  <c r="C93" i="16"/>
  <c r="D93" i="16"/>
  <c r="E93" i="16"/>
  <c r="F93" i="16"/>
  <c r="G93" i="16"/>
  <c r="C94" i="16"/>
  <c r="D94" i="16"/>
  <c r="E94" i="16"/>
  <c r="F94" i="16"/>
  <c r="G94" i="16"/>
  <c r="C95" i="16"/>
  <c r="D95" i="16"/>
  <c r="E95" i="16"/>
  <c r="F95" i="16"/>
  <c r="G95" i="16"/>
  <c r="C96" i="16"/>
  <c r="D96" i="16"/>
  <c r="E96" i="16"/>
  <c r="F96" i="16"/>
  <c r="G96" i="16"/>
  <c r="C97" i="16"/>
  <c r="D97" i="16"/>
  <c r="E97" i="16"/>
  <c r="F97" i="16"/>
  <c r="G97" i="16"/>
  <c r="C98" i="16"/>
  <c r="D98" i="16"/>
  <c r="E98" i="16"/>
  <c r="F98" i="16"/>
  <c r="G98" i="16"/>
  <c r="C99" i="16"/>
  <c r="D99" i="16"/>
  <c r="E99" i="16"/>
  <c r="F99" i="16"/>
  <c r="G99" i="16"/>
  <c r="C100" i="16"/>
  <c r="D100" i="16"/>
  <c r="E100" i="16"/>
  <c r="F100" i="16"/>
  <c r="G100" i="16"/>
  <c r="C101" i="16"/>
  <c r="D101" i="16"/>
  <c r="E101" i="16"/>
  <c r="F101" i="16"/>
  <c r="G101" i="16"/>
  <c r="C102" i="16"/>
  <c r="D102" i="16"/>
  <c r="E102" i="16"/>
  <c r="F102" i="16"/>
  <c r="G102" i="16"/>
  <c r="C103" i="16"/>
  <c r="D103" i="16"/>
  <c r="E103" i="16"/>
  <c r="F103" i="16"/>
  <c r="G103" i="16"/>
  <c r="C104" i="16"/>
  <c r="D104" i="16"/>
  <c r="E104" i="16"/>
  <c r="F104" i="16"/>
  <c r="G104" i="16"/>
  <c r="C105" i="16"/>
  <c r="D105" i="16"/>
  <c r="E105" i="16"/>
  <c r="F105" i="16"/>
  <c r="G105" i="16"/>
  <c r="C106" i="16"/>
  <c r="D106" i="16"/>
  <c r="E106" i="16"/>
  <c r="F106" i="16"/>
  <c r="G106" i="16"/>
  <c r="C107" i="16"/>
  <c r="D107" i="16"/>
  <c r="E107" i="16"/>
  <c r="F107" i="16"/>
  <c r="G107" i="16"/>
  <c r="C108" i="16"/>
  <c r="D108" i="16"/>
  <c r="E108" i="16"/>
  <c r="F108" i="16"/>
  <c r="G108" i="16"/>
  <c r="C109" i="16"/>
  <c r="D109" i="16"/>
  <c r="E109" i="16"/>
  <c r="F109" i="16"/>
  <c r="G109" i="16"/>
  <c r="C110" i="16"/>
  <c r="D110" i="16"/>
  <c r="E110" i="16"/>
  <c r="F110" i="16"/>
  <c r="G110" i="16"/>
  <c r="C111" i="16"/>
  <c r="D111" i="16"/>
  <c r="E111" i="16"/>
  <c r="F111" i="16"/>
  <c r="G111" i="16"/>
  <c r="C112" i="16"/>
  <c r="D112" i="16"/>
  <c r="E112" i="16"/>
  <c r="F112" i="16"/>
  <c r="G112" i="16"/>
  <c r="C113" i="16"/>
  <c r="D113" i="16"/>
  <c r="E113" i="16"/>
  <c r="F113" i="16"/>
  <c r="G113" i="16"/>
  <c r="C114" i="16"/>
  <c r="D114" i="16"/>
  <c r="E114" i="16"/>
  <c r="F114" i="16"/>
  <c r="G114" i="16"/>
  <c r="C115" i="16"/>
  <c r="D115" i="16"/>
  <c r="E115" i="16"/>
  <c r="F115" i="16"/>
  <c r="G115" i="16"/>
  <c r="C116" i="16"/>
  <c r="D116" i="16"/>
  <c r="E116" i="16"/>
  <c r="F116" i="16"/>
  <c r="G116" i="16"/>
  <c r="C117" i="16"/>
  <c r="D117" i="16"/>
  <c r="E117" i="16"/>
  <c r="F117" i="16"/>
  <c r="G117" i="16"/>
  <c r="C118" i="16"/>
  <c r="D118" i="16"/>
  <c r="E118" i="16"/>
  <c r="F118" i="16"/>
  <c r="G118" i="16"/>
  <c r="C119" i="16"/>
  <c r="D119" i="16"/>
  <c r="E119" i="16"/>
  <c r="F119" i="16"/>
  <c r="G119" i="16"/>
  <c r="C120" i="16"/>
  <c r="D120" i="16"/>
  <c r="E120" i="16"/>
  <c r="F120" i="16"/>
  <c r="G120" i="16"/>
  <c r="C121" i="16"/>
  <c r="D121" i="16"/>
  <c r="E121" i="16"/>
  <c r="F121" i="16"/>
  <c r="G121" i="16"/>
  <c r="C122" i="16"/>
  <c r="D122" i="16"/>
  <c r="E122" i="16"/>
  <c r="F122" i="16"/>
  <c r="G122" i="16"/>
  <c r="C123" i="16"/>
  <c r="D123" i="16"/>
  <c r="E123" i="16"/>
  <c r="F123" i="16"/>
  <c r="G123" i="16"/>
  <c r="C124" i="16"/>
  <c r="D124" i="16"/>
  <c r="E124" i="16"/>
  <c r="F124" i="16"/>
  <c r="G124" i="16"/>
  <c r="C125" i="16"/>
  <c r="D125" i="16"/>
  <c r="E125" i="16"/>
  <c r="F125" i="16"/>
  <c r="G125" i="16"/>
  <c r="C126" i="16"/>
  <c r="D126" i="16"/>
  <c r="E126" i="16"/>
  <c r="F126" i="16"/>
  <c r="G126" i="16"/>
  <c r="C127" i="16"/>
  <c r="D127" i="16"/>
  <c r="E127" i="16"/>
  <c r="F127" i="16"/>
  <c r="G127" i="16"/>
  <c r="C128" i="16"/>
  <c r="D128" i="16"/>
  <c r="E128" i="16"/>
  <c r="F128" i="16"/>
  <c r="G128" i="16"/>
  <c r="C129" i="16"/>
  <c r="D129" i="16"/>
  <c r="E129" i="16"/>
  <c r="F129" i="16"/>
  <c r="G129" i="16"/>
  <c r="C130" i="16"/>
  <c r="D130" i="16"/>
  <c r="E130" i="16"/>
  <c r="F130" i="16"/>
  <c r="G130" i="16"/>
  <c r="C131" i="16"/>
  <c r="D131" i="16"/>
  <c r="E131" i="16"/>
  <c r="F131" i="16"/>
  <c r="G131" i="16"/>
  <c r="C132" i="16"/>
  <c r="D132" i="16"/>
  <c r="E132" i="16"/>
  <c r="F132" i="16"/>
  <c r="G132" i="16"/>
  <c r="C133" i="16"/>
  <c r="D133" i="16"/>
  <c r="E133" i="16"/>
  <c r="F133" i="16"/>
  <c r="G133" i="16"/>
  <c r="C134" i="16"/>
  <c r="D134" i="16"/>
  <c r="E134" i="16"/>
  <c r="F134" i="16"/>
  <c r="G134" i="16"/>
  <c r="C135" i="16"/>
  <c r="D135" i="16"/>
  <c r="E135" i="16"/>
  <c r="F135" i="16"/>
  <c r="G135" i="16"/>
  <c r="C136" i="16"/>
  <c r="D136" i="16"/>
  <c r="E136" i="16"/>
  <c r="F136" i="16"/>
  <c r="G136" i="16"/>
  <c r="C137" i="16"/>
  <c r="D137" i="16"/>
  <c r="E137" i="16"/>
  <c r="F137" i="16"/>
  <c r="G137" i="16"/>
  <c r="D39" i="16"/>
  <c r="E39" i="16"/>
  <c r="F39" i="16"/>
  <c r="G39" i="16"/>
  <c r="C39" i="16"/>
  <c r="B3" i="13"/>
  <c r="B4" i="13"/>
  <c r="B5" i="13"/>
  <c r="AG4" i="2"/>
  <c r="AG5" i="2"/>
  <c r="AG6" i="2"/>
  <c r="S5" i="1"/>
  <c r="T5" i="1"/>
  <c r="S6" i="1"/>
  <c r="T6" i="1"/>
  <c r="S7" i="1"/>
  <c r="T7" i="1"/>
  <c r="AG7" i="2"/>
  <c r="S8" i="1"/>
  <c r="T8" i="1"/>
  <c r="AG8" i="2"/>
  <c r="S9" i="1"/>
  <c r="T9" i="1"/>
  <c r="S10" i="1"/>
  <c r="R10" i="1"/>
  <c r="T10" i="1"/>
  <c r="S11" i="1"/>
  <c r="R11" i="1"/>
  <c r="T11" i="1"/>
  <c r="AG9" i="2"/>
  <c r="S12" i="1"/>
  <c r="R12" i="1"/>
  <c r="T12" i="1"/>
  <c r="S13" i="1"/>
  <c r="R13" i="1"/>
  <c r="T13" i="1"/>
  <c r="AG10" i="2"/>
  <c r="S14" i="1"/>
  <c r="R14" i="1"/>
  <c r="T14" i="1"/>
  <c r="S15" i="1"/>
  <c r="T15" i="1"/>
  <c r="AG11" i="2"/>
  <c r="S16" i="1"/>
  <c r="R16" i="1"/>
  <c r="T16" i="1"/>
  <c r="S17" i="1"/>
  <c r="T17" i="1"/>
  <c r="AG12" i="2"/>
  <c r="S18" i="1"/>
  <c r="R18" i="1"/>
  <c r="T18" i="1"/>
  <c r="S19" i="1"/>
  <c r="R19" i="1"/>
  <c r="T19" i="1"/>
  <c r="AG13" i="2"/>
  <c r="S20" i="1"/>
  <c r="R20" i="1"/>
  <c r="T20" i="1"/>
  <c r="S21" i="1"/>
  <c r="T21" i="1"/>
  <c r="AG14" i="2"/>
  <c r="S22" i="1"/>
  <c r="R22" i="1"/>
  <c r="T22" i="1"/>
  <c r="S23" i="1"/>
  <c r="T23" i="1"/>
  <c r="AG15" i="2"/>
  <c r="S24" i="1"/>
  <c r="R24" i="1"/>
  <c r="T24" i="1"/>
  <c r="S25" i="1"/>
  <c r="R25" i="1"/>
  <c r="T25" i="1"/>
  <c r="AG16" i="2"/>
  <c r="S26" i="1"/>
  <c r="R26" i="1"/>
  <c r="T26" i="1"/>
  <c r="S27" i="1"/>
  <c r="R27" i="1"/>
  <c r="T27" i="1"/>
  <c r="AG17" i="2"/>
  <c r="S28" i="1"/>
  <c r="R28" i="1"/>
  <c r="T28" i="1"/>
  <c r="S29" i="1"/>
  <c r="R29" i="1"/>
  <c r="T29" i="1"/>
  <c r="AG18" i="2"/>
  <c r="S30" i="1"/>
  <c r="R30" i="1"/>
  <c r="T30" i="1"/>
  <c r="S31" i="1"/>
  <c r="R31" i="1"/>
  <c r="T31" i="1"/>
  <c r="AG19" i="2"/>
  <c r="S32" i="1"/>
  <c r="R32" i="1"/>
  <c r="T32" i="1"/>
  <c r="S33" i="1"/>
  <c r="R33" i="1"/>
  <c r="T33" i="1"/>
  <c r="AG20" i="2"/>
  <c r="S34" i="1"/>
  <c r="R34" i="1"/>
  <c r="T34" i="1"/>
  <c r="S35" i="1"/>
  <c r="R35" i="1"/>
  <c r="T35" i="1"/>
  <c r="AG21" i="2"/>
  <c r="S36" i="1"/>
  <c r="R36" i="1"/>
  <c r="T36" i="1"/>
  <c r="S37" i="1"/>
  <c r="R37" i="1"/>
  <c r="T37" i="1"/>
  <c r="AG22" i="2"/>
  <c r="S38" i="1"/>
  <c r="R38" i="1"/>
  <c r="T38" i="1"/>
  <c r="S39" i="1"/>
  <c r="R39" i="1"/>
  <c r="T39" i="1"/>
  <c r="AG23" i="2"/>
  <c r="S40" i="1"/>
  <c r="R40" i="1"/>
  <c r="T40" i="1"/>
  <c r="S41" i="1"/>
  <c r="R41" i="1"/>
  <c r="T41" i="1"/>
  <c r="AG24" i="2"/>
  <c r="S42" i="1"/>
  <c r="R42" i="1"/>
  <c r="T42" i="1"/>
  <c r="S43" i="1"/>
  <c r="R43" i="1"/>
  <c r="T43" i="1"/>
  <c r="AG25" i="2"/>
  <c r="S44" i="1"/>
  <c r="R44" i="1"/>
  <c r="T44" i="1"/>
  <c r="S45" i="1"/>
  <c r="T45" i="1"/>
  <c r="AG26" i="2"/>
  <c r="S46" i="1"/>
  <c r="R46" i="1"/>
  <c r="T46" i="1"/>
  <c r="S47" i="1"/>
  <c r="R47" i="1"/>
  <c r="T47" i="1"/>
  <c r="AG27" i="2"/>
  <c r="S48" i="1"/>
  <c r="R48" i="1"/>
  <c r="T48" i="1"/>
  <c r="S49" i="1"/>
  <c r="R49" i="1"/>
  <c r="T49" i="1"/>
  <c r="AG28" i="2"/>
  <c r="S50" i="1"/>
  <c r="R50" i="1"/>
  <c r="T50" i="1"/>
  <c r="S51" i="1"/>
  <c r="R51" i="1"/>
  <c r="T51" i="1"/>
  <c r="AG29" i="2"/>
  <c r="S52" i="1"/>
  <c r="R52" i="1"/>
  <c r="T52" i="1"/>
  <c r="AG30" i="2"/>
  <c r="AG31" i="2"/>
  <c r="AG32" i="2"/>
  <c r="AG33" i="2"/>
  <c r="AG34" i="2"/>
  <c r="AG35" i="2"/>
  <c r="AG36" i="2"/>
  <c r="AG37" i="2"/>
  <c r="AG38" i="2"/>
  <c r="AG39" i="2"/>
  <c r="AG40" i="2"/>
  <c r="AG41" i="2"/>
  <c r="AG42" i="2"/>
  <c r="AG43" i="2"/>
  <c r="AG44" i="2"/>
  <c r="AG45" i="2"/>
  <c r="AG46" i="2"/>
  <c r="AG47" i="2"/>
  <c r="AG48" i="2"/>
  <c r="AG49" i="2"/>
  <c r="AG50" i="2"/>
  <c r="AG51" i="2"/>
  <c r="AG52" i="2"/>
  <c r="AG53" i="2"/>
  <c r="S53" i="1"/>
  <c r="R53" i="1"/>
  <c r="T53" i="1"/>
  <c r="S54" i="1"/>
  <c r="R54" i="1"/>
  <c r="T54" i="1"/>
  <c r="S55" i="1"/>
  <c r="R55" i="1"/>
  <c r="T55" i="1"/>
  <c r="S56" i="1"/>
  <c r="R56" i="1"/>
  <c r="T56" i="1"/>
  <c r="S57" i="1"/>
  <c r="T57" i="1"/>
  <c r="S58" i="1"/>
  <c r="R58" i="1"/>
  <c r="T58" i="1"/>
  <c r="S59" i="1"/>
  <c r="R59" i="1"/>
  <c r="T59" i="1"/>
  <c r="S60" i="1"/>
  <c r="R60" i="1"/>
  <c r="T60" i="1"/>
  <c r="S61" i="1"/>
  <c r="R61" i="1"/>
  <c r="T61" i="1"/>
  <c r="S62" i="1"/>
  <c r="R62" i="1"/>
  <c r="T62" i="1"/>
  <c r="S63" i="1"/>
  <c r="R63" i="1"/>
  <c r="T63" i="1"/>
  <c r="S64" i="1"/>
  <c r="R64" i="1"/>
  <c r="T64" i="1"/>
  <c r="S65" i="1"/>
  <c r="R65" i="1"/>
  <c r="T65" i="1"/>
  <c r="S66" i="1"/>
  <c r="R66" i="1"/>
  <c r="T66" i="1"/>
  <c r="S67" i="1"/>
  <c r="R67" i="1"/>
  <c r="T67" i="1"/>
  <c r="S68" i="1"/>
  <c r="R68" i="1"/>
  <c r="T68" i="1"/>
  <c r="S69" i="1"/>
  <c r="T69" i="1"/>
  <c r="S70" i="1"/>
  <c r="R70" i="1"/>
  <c r="T70" i="1"/>
  <c r="S71" i="1"/>
  <c r="R71" i="1"/>
  <c r="T71" i="1"/>
  <c r="S72" i="1"/>
  <c r="R72" i="1"/>
  <c r="T72" i="1"/>
  <c r="S73" i="1"/>
  <c r="T73" i="1"/>
  <c r="S74" i="1"/>
  <c r="R74" i="1"/>
  <c r="T74" i="1"/>
  <c r="S75" i="1"/>
  <c r="R75" i="1"/>
  <c r="T75" i="1"/>
  <c r="S76" i="1"/>
  <c r="R76" i="1"/>
  <c r="T76" i="1"/>
  <c r="S77" i="1"/>
  <c r="R77" i="1"/>
  <c r="T77" i="1"/>
  <c r="S78" i="1"/>
  <c r="R78" i="1"/>
  <c r="T78" i="1"/>
  <c r="S79" i="1"/>
  <c r="R79" i="1"/>
  <c r="T79" i="1"/>
  <c r="S80" i="1"/>
  <c r="R80" i="1"/>
  <c r="T80" i="1"/>
  <c r="S81" i="1"/>
  <c r="R81" i="1"/>
  <c r="T81" i="1"/>
  <c r="S82" i="1"/>
  <c r="R82" i="1"/>
  <c r="T82" i="1"/>
  <c r="S83" i="1"/>
  <c r="R83" i="1"/>
  <c r="T83" i="1"/>
  <c r="S84" i="1"/>
  <c r="R84" i="1"/>
  <c r="T84" i="1"/>
  <c r="S85" i="1"/>
  <c r="R85" i="1"/>
  <c r="T85" i="1"/>
  <c r="S86" i="1"/>
  <c r="R86" i="1"/>
  <c r="T86" i="1"/>
  <c r="S87" i="1"/>
  <c r="T87" i="1"/>
  <c r="S88" i="1"/>
  <c r="R88" i="1"/>
  <c r="T88" i="1"/>
  <c r="S89" i="1"/>
  <c r="R89" i="1"/>
  <c r="T89" i="1"/>
  <c r="S90" i="1"/>
  <c r="R90" i="1"/>
  <c r="T90" i="1"/>
  <c r="S91" i="1"/>
  <c r="R91" i="1"/>
  <c r="T91" i="1"/>
  <c r="S92" i="1"/>
  <c r="R92" i="1"/>
  <c r="T92" i="1"/>
  <c r="S93" i="1"/>
  <c r="R93" i="1"/>
  <c r="T93" i="1"/>
  <c r="S94" i="1"/>
  <c r="R94" i="1"/>
  <c r="T94" i="1"/>
  <c r="S95" i="1"/>
  <c r="R95" i="1"/>
  <c r="T95" i="1"/>
  <c r="S96" i="1"/>
  <c r="R96" i="1"/>
  <c r="T96" i="1"/>
  <c r="S97" i="1"/>
  <c r="R97" i="1"/>
  <c r="T97" i="1"/>
  <c r="S98" i="1"/>
  <c r="R98" i="1"/>
  <c r="T98" i="1"/>
  <c r="S99" i="1"/>
  <c r="T99" i="1"/>
  <c r="S100" i="1"/>
  <c r="R100" i="1"/>
  <c r="T100" i="1"/>
  <c r="S101" i="1"/>
  <c r="R101" i="1"/>
  <c r="T101" i="1"/>
  <c r="S102" i="1"/>
  <c r="R102" i="1"/>
  <c r="T102" i="1"/>
  <c r="S103" i="1"/>
  <c r="R103" i="1"/>
  <c r="T103" i="1"/>
  <c r="S104" i="1"/>
  <c r="R104" i="1"/>
  <c r="T104" i="1"/>
  <c r="S105" i="1"/>
  <c r="R105" i="1"/>
  <c r="T105" i="1"/>
  <c r="S106" i="1"/>
  <c r="R106" i="1"/>
  <c r="T106" i="1"/>
  <c r="S107" i="1"/>
  <c r="R107" i="1"/>
  <c r="T107" i="1"/>
  <c r="S108" i="1"/>
  <c r="R108" i="1"/>
  <c r="T108" i="1"/>
  <c r="S109" i="1"/>
  <c r="R109" i="1"/>
  <c r="T109" i="1"/>
  <c r="S110" i="1"/>
  <c r="R110" i="1"/>
  <c r="T110" i="1"/>
  <c r="S111" i="1"/>
  <c r="R111" i="1"/>
  <c r="T111" i="1"/>
  <c r="S112" i="1"/>
  <c r="R112" i="1"/>
  <c r="T112" i="1"/>
  <c r="S113" i="1"/>
  <c r="R113" i="1"/>
  <c r="T113" i="1"/>
  <c r="S114" i="1"/>
  <c r="R114" i="1"/>
  <c r="T114" i="1"/>
  <c r="S115" i="1"/>
  <c r="R115" i="1"/>
  <c r="T115" i="1"/>
  <c r="S116" i="1"/>
  <c r="R116" i="1"/>
  <c r="T116" i="1"/>
  <c r="S117" i="1"/>
  <c r="R117" i="1"/>
  <c r="T117" i="1"/>
  <c r="S118" i="1"/>
  <c r="R118" i="1"/>
  <c r="T118" i="1"/>
  <c r="S119" i="1"/>
  <c r="R119" i="1"/>
  <c r="T119" i="1"/>
  <c r="S120" i="1"/>
  <c r="R120" i="1"/>
  <c r="T120" i="1"/>
  <c r="S121" i="1"/>
  <c r="R121" i="1"/>
  <c r="T121" i="1"/>
  <c r="S122" i="1"/>
  <c r="R122" i="1"/>
  <c r="T122" i="1"/>
  <c r="S123" i="1"/>
  <c r="R123" i="1"/>
  <c r="T123" i="1"/>
  <c r="S124" i="1"/>
  <c r="R124" i="1"/>
  <c r="T124" i="1"/>
  <c r="S125" i="1"/>
  <c r="R125" i="1"/>
  <c r="T125" i="1"/>
  <c r="S126" i="1"/>
  <c r="R126" i="1"/>
  <c r="T126" i="1"/>
  <c r="S127" i="1"/>
  <c r="R127" i="1"/>
  <c r="T127" i="1"/>
  <c r="S128" i="1"/>
  <c r="R128" i="1"/>
  <c r="T128" i="1"/>
  <c r="S129" i="1"/>
  <c r="R129" i="1"/>
  <c r="T129" i="1"/>
  <c r="S130" i="1"/>
  <c r="R130" i="1"/>
  <c r="T130" i="1"/>
  <c r="S131" i="1"/>
  <c r="R131" i="1"/>
  <c r="T131" i="1"/>
  <c r="S132" i="1"/>
  <c r="R132" i="1"/>
  <c r="T132" i="1"/>
  <c r="S133" i="1"/>
  <c r="R133" i="1"/>
  <c r="T133" i="1"/>
  <c r="S134" i="1"/>
  <c r="R134" i="1"/>
  <c r="T134" i="1"/>
  <c r="S135" i="1"/>
  <c r="R135" i="1"/>
  <c r="T135" i="1"/>
  <c r="S136" i="1"/>
  <c r="R136" i="1"/>
  <c r="T136" i="1"/>
  <c r="S137" i="1"/>
  <c r="R137" i="1"/>
  <c r="T137" i="1"/>
  <c r="S138" i="1"/>
  <c r="R138" i="1"/>
  <c r="T138" i="1"/>
  <c r="S139" i="1"/>
  <c r="R139" i="1"/>
  <c r="T139" i="1"/>
  <c r="S140" i="1"/>
  <c r="R140" i="1"/>
  <c r="T140" i="1"/>
  <c r="S141" i="1"/>
  <c r="R141" i="1"/>
  <c r="T141" i="1"/>
  <c r="S142" i="1"/>
  <c r="R142" i="1"/>
  <c r="T142" i="1"/>
  <c r="S143" i="1"/>
  <c r="R143" i="1"/>
  <c r="T143" i="1"/>
  <c r="S144" i="1"/>
  <c r="R144" i="1"/>
  <c r="T144" i="1"/>
  <c r="S145" i="1"/>
  <c r="T145" i="1"/>
  <c r="S146" i="1"/>
  <c r="R146" i="1"/>
  <c r="T146" i="1"/>
  <c r="S147" i="1"/>
  <c r="R147" i="1"/>
  <c r="T147" i="1"/>
  <c r="S148" i="1"/>
  <c r="R148" i="1"/>
  <c r="T148" i="1"/>
  <c r="S149" i="1"/>
  <c r="R149" i="1"/>
  <c r="T149" i="1"/>
  <c r="S150" i="1"/>
  <c r="R150" i="1"/>
  <c r="T150" i="1"/>
  <c r="S151" i="1"/>
  <c r="R151" i="1"/>
  <c r="T151" i="1"/>
  <c r="S152" i="1"/>
  <c r="R152" i="1"/>
  <c r="T152" i="1"/>
  <c r="S153" i="1"/>
  <c r="R153" i="1"/>
  <c r="T153" i="1"/>
  <c r="S154" i="1"/>
  <c r="T154" i="1"/>
  <c r="S155" i="1"/>
  <c r="R155" i="1"/>
  <c r="T155" i="1"/>
  <c r="S156" i="1"/>
  <c r="R156" i="1"/>
  <c r="T156" i="1"/>
  <c r="S157" i="1"/>
  <c r="R157" i="1"/>
  <c r="T157" i="1"/>
  <c r="S158" i="1"/>
  <c r="R158" i="1"/>
  <c r="T158" i="1"/>
  <c r="S159" i="1"/>
  <c r="R159" i="1"/>
  <c r="T159" i="1"/>
  <c r="S160" i="1"/>
  <c r="R160" i="1"/>
  <c r="T160" i="1"/>
  <c r="S161" i="1"/>
  <c r="R161" i="1"/>
  <c r="T161" i="1"/>
  <c r="S162" i="1"/>
  <c r="R162" i="1"/>
  <c r="T162" i="1"/>
  <c r="S163" i="1"/>
  <c r="R163" i="1"/>
  <c r="T163" i="1"/>
  <c r="S164" i="1"/>
  <c r="R164" i="1"/>
  <c r="T164" i="1"/>
  <c r="S165" i="1"/>
  <c r="R165" i="1"/>
  <c r="T165" i="1"/>
  <c r="S166" i="1"/>
  <c r="T166" i="1"/>
  <c r="S167" i="1"/>
  <c r="T167" i="1"/>
  <c r="S168" i="1"/>
  <c r="R168" i="1"/>
  <c r="T168" i="1"/>
  <c r="S169" i="1"/>
  <c r="R169" i="1"/>
  <c r="T169" i="1"/>
  <c r="S170" i="1"/>
  <c r="R170" i="1"/>
  <c r="T170" i="1"/>
  <c r="S171" i="1"/>
  <c r="R171" i="1"/>
  <c r="T171" i="1"/>
  <c r="S172" i="1"/>
  <c r="R172" i="1"/>
  <c r="T172" i="1"/>
  <c r="S173" i="1"/>
  <c r="T173" i="1"/>
  <c r="S174" i="1"/>
  <c r="R174" i="1"/>
  <c r="T174" i="1"/>
  <c r="S175" i="1"/>
  <c r="R175" i="1"/>
  <c r="T175" i="1"/>
  <c r="S176" i="1"/>
  <c r="R176" i="1"/>
  <c r="T176" i="1"/>
  <c r="S177" i="1"/>
  <c r="R177" i="1"/>
  <c r="T177" i="1"/>
  <c r="S178" i="1"/>
  <c r="R178" i="1"/>
  <c r="T178" i="1"/>
  <c r="S179" i="1"/>
  <c r="R179" i="1"/>
  <c r="T179" i="1"/>
  <c r="S180" i="1"/>
  <c r="R180" i="1"/>
  <c r="T180" i="1"/>
  <c r="S181" i="1"/>
  <c r="R181" i="1"/>
  <c r="T181" i="1"/>
  <c r="S182" i="1"/>
  <c r="R182" i="1"/>
  <c r="T182" i="1"/>
  <c r="S183" i="1"/>
  <c r="R183" i="1"/>
  <c r="T183" i="1"/>
  <c r="S184" i="1"/>
  <c r="R184" i="1"/>
  <c r="T184" i="1"/>
  <c r="S185" i="1"/>
  <c r="R185" i="1"/>
  <c r="T185" i="1"/>
  <c r="S186" i="1"/>
  <c r="R186" i="1"/>
  <c r="T186" i="1"/>
  <c r="S187" i="1"/>
  <c r="R187" i="1"/>
  <c r="T187" i="1"/>
  <c r="S188" i="1"/>
  <c r="R188" i="1"/>
  <c r="T188" i="1"/>
  <c r="S189" i="1"/>
  <c r="R189" i="1"/>
  <c r="T189" i="1"/>
  <c r="S190" i="1"/>
  <c r="R190" i="1"/>
  <c r="T190" i="1"/>
  <c r="S191" i="1"/>
  <c r="R191" i="1"/>
  <c r="T191" i="1"/>
  <c r="S192" i="1"/>
  <c r="R192" i="1"/>
  <c r="T192" i="1"/>
  <c r="S193" i="1"/>
  <c r="R193" i="1"/>
  <c r="T193" i="1"/>
  <c r="S194" i="1"/>
  <c r="T194" i="1"/>
  <c r="S195" i="1"/>
  <c r="R195" i="1"/>
  <c r="T195" i="1"/>
  <c r="S196" i="1"/>
  <c r="R196" i="1"/>
  <c r="T196" i="1"/>
  <c r="S197" i="1"/>
  <c r="R197" i="1"/>
  <c r="T197" i="1"/>
  <c r="S198" i="1"/>
  <c r="R198" i="1"/>
  <c r="T198" i="1"/>
  <c r="S199" i="1"/>
  <c r="R199" i="1"/>
  <c r="T199" i="1"/>
  <c r="S200" i="1"/>
  <c r="R200" i="1"/>
  <c r="T200" i="1"/>
  <c r="S201" i="1"/>
  <c r="R201" i="1"/>
  <c r="T201" i="1"/>
  <c r="S202" i="1"/>
  <c r="R202" i="1"/>
  <c r="T202" i="1"/>
  <c r="S203" i="1"/>
  <c r="R203" i="1"/>
  <c r="T203" i="1"/>
  <c r="S4" i="1"/>
  <c r="T4" i="1"/>
  <c r="AF4" i="2"/>
  <c r="AF5" i="2"/>
  <c r="P5" i="1"/>
  <c r="Q5" i="1"/>
  <c r="P6" i="1"/>
  <c r="Q6" i="1"/>
  <c r="P7" i="1"/>
  <c r="Q7" i="1"/>
  <c r="Q7" i="2"/>
  <c r="AF7" i="2"/>
  <c r="P8" i="1"/>
  <c r="Q8" i="1"/>
  <c r="Q8" i="2"/>
  <c r="AF8" i="2"/>
  <c r="P9" i="1"/>
  <c r="Q9" i="1"/>
  <c r="P10" i="1"/>
  <c r="O10" i="1"/>
  <c r="Q10" i="1"/>
  <c r="P11" i="1"/>
  <c r="O11" i="1"/>
  <c r="Q11" i="1"/>
  <c r="Q9" i="2"/>
  <c r="AF9" i="2"/>
  <c r="P12" i="1"/>
  <c r="O12" i="1"/>
  <c r="Q12" i="1"/>
  <c r="P13" i="1"/>
  <c r="O13" i="1"/>
  <c r="Q13" i="1"/>
  <c r="AF10" i="2"/>
  <c r="P14" i="1"/>
  <c r="O14" i="1"/>
  <c r="Q14" i="1"/>
  <c r="P15" i="1"/>
  <c r="Q15" i="1"/>
  <c r="AF11" i="2"/>
  <c r="P16" i="1"/>
  <c r="O16" i="1"/>
  <c r="Q16" i="1"/>
  <c r="P17" i="1"/>
  <c r="Q17" i="1"/>
  <c r="AF12" i="2"/>
  <c r="P18" i="1"/>
  <c r="O18" i="1"/>
  <c r="Q18" i="1"/>
  <c r="P19" i="1"/>
  <c r="O19" i="1"/>
  <c r="Q19" i="1"/>
  <c r="AF13" i="2"/>
  <c r="P20" i="1"/>
  <c r="O20" i="1"/>
  <c r="Q20" i="1"/>
  <c r="P21" i="1"/>
  <c r="Q21" i="1"/>
  <c r="AF14" i="2"/>
  <c r="P22" i="1"/>
  <c r="O22" i="1"/>
  <c r="Q22" i="1"/>
  <c r="P23" i="1"/>
  <c r="Q23" i="1"/>
  <c r="AF15" i="2"/>
  <c r="P24" i="1"/>
  <c r="O24" i="1"/>
  <c r="Q24" i="1"/>
  <c r="P25" i="1"/>
  <c r="O25" i="1"/>
  <c r="Q25" i="1"/>
  <c r="AF16" i="2"/>
  <c r="P26" i="1"/>
  <c r="O26" i="1"/>
  <c r="Q26" i="1"/>
  <c r="P27" i="1"/>
  <c r="O27" i="1"/>
  <c r="Q27" i="1"/>
  <c r="AF17" i="2"/>
  <c r="P28" i="1"/>
  <c r="O28" i="1"/>
  <c r="Q28" i="1"/>
  <c r="P29" i="1"/>
  <c r="O29" i="1"/>
  <c r="Q29" i="1"/>
  <c r="AF18" i="2"/>
  <c r="P30" i="1"/>
  <c r="O30" i="1"/>
  <c r="Q30" i="1"/>
  <c r="P31" i="1"/>
  <c r="O31" i="1"/>
  <c r="Q31" i="1"/>
  <c r="AF19" i="2"/>
  <c r="P32" i="1"/>
  <c r="O32" i="1"/>
  <c r="Q32" i="1"/>
  <c r="P33" i="1"/>
  <c r="O33" i="1"/>
  <c r="Q33" i="1"/>
  <c r="AF20" i="2"/>
  <c r="P34" i="1"/>
  <c r="O34" i="1"/>
  <c r="Q34" i="1"/>
  <c r="P35" i="1"/>
  <c r="O35" i="1"/>
  <c r="Q35" i="1"/>
  <c r="AF21" i="2"/>
  <c r="P36" i="1"/>
  <c r="O36" i="1"/>
  <c r="Q36" i="1"/>
  <c r="P37" i="1"/>
  <c r="O37" i="1"/>
  <c r="Q37" i="1"/>
  <c r="AF22" i="2"/>
  <c r="P38" i="1"/>
  <c r="O38" i="1"/>
  <c r="Q38" i="1"/>
  <c r="P39" i="1"/>
  <c r="O39" i="1"/>
  <c r="Q39" i="1"/>
  <c r="AF23" i="2"/>
  <c r="P40" i="1"/>
  <c r="O40" i="1"/>
  <c r="Q40" i="1"/>
  <c r="P41" i="1"/>
  <c r="O41" i="1"/>
  <c r="Q41" i="1"/>
  <c r="AF24" i="2"/>
  <c r="P42" i="1"/>
  <c r="O42" i="1"/>
  <c r="Q42" i="1"/>
  <c r="P43" i="1"/>
  <c r="O43" i="1"/>
  <c r="Q43" i="1"/>
  <c r="AF25" i="2"/>
  <c r="P44" i="1"/>
  <c r="O44" i="1"/>
  <c r="Q44" i="1"/>
  <c r="P45" i="1"/>
  <c r="Q45" i="1"/>
  <c r="AF26" i="2"/>
  <c r="P46" i="1"/>
  <c r="O46" i="1"/>
  <c r="Q46" i="1"/>
  <c r="P47" i="1"/>
  <c r="O47" i="1"/>
  <c r="Q47" i="1"/>
  <c r="AF27" i="2"/>
  <c r="P48" i="1"/>
  <c r="O48" i="1"/>
  <c r="Q48" i="1"/>
  <c r="P49" i="1"/>
  <c r="O49" i="1"/>
  <c r="Q49" i="1"/>
  <c r="AF28" i="2"/>
  <c r="P50" i="1"/>
  <c r="O50" i="1"/>
  <c r="Q50" i="1"/>
  <c r="P51" i="1"/>
  <c r="O51" i="1"/>
  <c r="Q51" i="1"/>
  <c r="AF29" i="2"/>
  <c r="P52" i="1"/>
  <c r="O52" i="1"/>
  <c r="Q52" i="1"/>
  <c r="AF30" i="2"/>
  <c r="AF31" i="2"/>
  <c r="AF32" i="2"/>
  <c r="AF33" i="2"/>
  <c r="AF34" i="2"/>
  <c r="AF35" i="2"/>
  <c r="AF36" i="2"/>
  <c r="AF37" i="2"/>
  <c r="AF38" i="2"/>
  <c r="AF39" i="2"/>
  <c r="AF40" i="2"/>
  <c r="AF41" i="2"/>
  <c r="AF42" i="2"/>
  <c r="AF43" i="2"/>
  <c r="AF44" i="2"/>
  <c r="AF45" i="2"/>
  <c r="AF46" i="2"/>
  <c r="AF47" i="2"/>
  <c r="Q48" i="2"/>
  <c r="AF48" i="2"/>
  <c r="Q49" i="2"/>
  <c r="AF49" i="2"/>
  <c r="Q50" i="2"/>
  <c r="AF50" i="2"/>
  <c r="Q51" i="2"/>
  <c r="AF51" i="2"/>
  <c r="Q52" i="2"/>
  <c r="AF52" i="2"/>
  <c r="Q53" i="2"/>
  <c r="AF53" i="2"/>
  <c r="P53" i="1"/>
  <c r="O53" i="1"/>
  <c r="Q53" i="1"/>
  <c r="P54" i="1"/>
  <c r="O54" i="1"/>
  <c r="Q54" i="1"/>
  <c r="P55" i="1"/>
  <c r="O55" i="1"/>
  <c r="Q55" i="1"/>
  <c r="P56" i="1"/>
  <c r="O56" i="1"/>
  <c r="Q56" i="1"/>
  <c r="P57" i="1"/>
  <c r="Q57" i="1"/>
  <c r="P58" i="1"/>
  <c r="O58" i="1"/>
  <c r="Q58" i="1"/>
  <c r="P59" i="1"/>
  <c r="O59" i="1"/>
  <c r="Q59" i="1"/>
  <c r="P60" i="1"/>
  <c r="O60" i="1"/>
  <c r="Q60" i="1"/>
  <c r="P61" i="1"/>
  <c r="O61" i="1"/>
  <c r="Q61" i="1"/>
  <c r="P62" i="1"/>
  <c r="O62" i="1"/>
  <c r="Q62" i="1"/>
  <c r="P63" i="1"/>
  <c r="O63" i="1"/>
  <c r="Q63" i="1"/>
  <c r="P64" i="1"/>
  <c r="O64" i="1"/>
  <c r="Q64" i="1"/>
  <c r="P65" i="1"/>
  <c r="O65" i="1"/>
  <c r="Q65" i="1"/>
  <c r="P66" i="1"/>
  <c r="O66" i="1"/>
  <c r="Q66" i="1"/>
  <c r="P67" i="1"/>
  <c r="O67" i="1"/>
  <c r="Q67" i="1"/>
  <c r="P68" i="1"/>
  <c r="O68" i="1"/>
  <c r="Q68" i="1"/>
  <c r="P69" i="1"/>
  <c r="Q69" i="1"/>
  <c r="P70" i="1"/>
  <c r="O70" i="1"/>
  <c r="Q70" i="1"/>
  <c r="P71" i="1"/>
  <c r="O71" i="1"/>
  <c r="Q71" i="1"/>
  <c r="P72" i="1"/>
  <c r="O72" i="1"/>
  <c r="Q72" i="1"/>
  <c r="P73" i="1"/>
  <c r="Q73" i="1"/>
  <c r="P74" i="1"/>
  <c r="O74" i="1"/>
  <c r="Q74" i="1"/>
  <c r="P75" i="1"/>
  <c r="O75" i="1"/>
  <c r="Q75" i="1"/>
  <c r="P76" i="1"/>
  <c r="O76" i="1"/>
  <c r="Q76" i="1"/>
  <c r="P77" i="1"/>
  <c r="O77" i="1"/>
  <c r="Q77" i="1"/>
  <c r="P78" i="1"/>
  <c r="O78" i="1"/>
  <c r="Q78" i="1"/>
  <c r="P79" i="1"/>
  <c r="O79" i="1"/>
  <c r="Q79" i="1"/>
  <c r="P80" i="1"/>
  <c r="O80" i="1"/>
  <c r="Q80" i="1"/>
  <c r="P81" i="1"/>
  <c r="O81" i="1"/>
  <c r="Q81" i="1"/>
  <c r="P82" i="1"/>
  <c r="O82" i="1"/>
  <c r="Q82" i="1"/>
  <c r="P83" i="1"/>
  <c r="O83" i="1"/>
  <c r="Q83" i="1"/>
  <c r="P84" i="1"/>
  <c r="O84" i="1"/>
  <c r="Q84" i="1"/>
  <c r="P85" i="1"/>
  <c r="O85" i="1"/>
  <c r="Q85" i="1"/>
  <c r="P86" i="1"/>
  <c r="O86" i="1"/>
  <c r="Q86" i="1"/>
  <c r="P87" i="1"/>
  <c r="Q87" i="1"/>
  <c r="P88" i="1"/>
  <c r="O88" i="1"/>
  <c r="Q88" i="1"/>
  <c r="P89" i="1"/>
  <c r="O89" i="1"/>
  <c r="Q89" i="1"/>
  <c r="P90" i="1"/>
  <c r="O90" i="1"/>
  <c r="Q90" i="1"/>
  <c r="P91" i="1"/>
  <c r="O91" i="1"/>
  <c r="Q91" i="1"/>
  <c r="P92" i="1"/>
  <c r="O92" i="1"/>
  <c r="Q92" i="1"/>
  <c r="P93" i="1"/>
  <c r="O93" i="1"/>
  <c r="Q93" i="1"/>
  <c r="P94" i="1"/>
  <c r="O94" i="1"/>
  <c r="Q94" i="1"/>
  <c r="P95" i="1"/>
  <c r="O95" i="1"/>
  <c r="Q95" i="1"/>
  <c r="P96" i="1"/>
  <c r="O96" i="1"/>
  <c r="Q96" i="1"/>
  <c r="P97" i="1"/>
  <c r="O97" i="1"/>
  <c r="Q97" i="1"/>
  <c r="P98" i="1"/>
  <c r="O98" i="1"/>
  <c r="Q98" i="1"/>
  <c r="P99" i="1"/>
  <c r="Q99" i="1"/>
  <c r="P100" i="1"/>
  <c r="O100" i="1"/>
  <c r="Q100" i="1"/>
  <c r="P101" i="1"/>
  <c r="O101" i="1"/>
  <c r="Q101" i="1"/>
  <c r="P102" i="1"/>
  <c r="O102" i="1"/>
  <c r="Q102" i="1"/>
  <c r="P103" i="1"/>
  <c r="O103" i="1"/>
  <c r="Q103" i="1"/>
  <c r="P104" i="1"/>
  <c r="O104" i="1"/>
  <c r="Q104" i="1"/>
  <c r="P105" i="1"/>
  <c r="O105" i="1"/>
  <c r="Q105" i="1"/>
  <c r="P106" i="1"/>
  <c r="O106" i="1"/>
  <c r="Q106" i="1"/>
  <c r="P107" i="1"/>
  <c r="O107" i="1"/>
  <c r="Q107" i="1"/>
  <c r="P108" i="1"/>
  <c r="O108" i="1"/>
  <c r="Q108" i="1"/>
  <c r="P109" i="1"/>
  <c r="O109" i="1"/>
  <c r="Q109" i="1"/>
  <c r="P110" i="1"/>
  <c r="O110" i="1"/>
  <c r="Q110" i="1"/>
  <c r="P111" i="1"/>
  <c r="O111" i="1"/>
  <c r="Q111" i="1"/>
  <c r="P112" i="1"/>
  <c r="O112" i="1"/>
  <c r="Q112" i="1"/>
  <c r="P113" i="1"/>
  <c r="O113" i="1"/>
  <c r="Q113" i="1"/>
  <c r="P114" i="1"/>
  <c r="O114" i="1"/>
  <c r="Q114" i="1"/>
  <c r="P115" i="1"/>
  <c r="O115" i="1"/>
  <c r="Q115" i="1"/>
  <c r="P116" i="1"/>
  <c r="O116" i="1"/>
  <c r="Q116" i="1"/>
  <c r="P117" i="1"/>
  <c r="O117" i="1"/>
  <c r="Q117" i="1"/>
  <c r="P118" i="1"/>
  <c r="O118" i="1"/>
  <c r="Q118" i="1"/>
  <c r="P119" i="1"/>
  <c r="O119" i="1"/>
  <c r="Q119" i="1"/>
  <c r="P120" i="1"/>
  <c r="O120" i="1"/>
  <c r="Q120" i="1"/>
  <c r="P121" i="1"/>
  <c r="O121" i="1"/>
  <c r="Q121" i="1"/>
  <c r="P122" i="1"/>
  <c r="O122" i="1"/>
  <c r="Q122" i="1"/>
  <c r="P123" i="1"/>
  <c r="O123" i="1"/>
  <c r="Q123" i="1"/>
  <c r="P124" i="1"/>
  <c r="O124" i="1"/>
  <c r="Q124" i="1"/>
  <c r="P125" i="1"/>
  <c r="O125" i="1"/>
  <c r="Q125" i="1"/>
  <c r="P126" i="1"/>
  <c r="O126" i="1"/>
  <c r="Q126" i="1"/>
  <c r="P127" i="1"/>
  <c r="O127" i="1"/>
  <c r="Q127" i="1"/>
  <c r="P128" i="1"/>
  <c r="O128" i="1"/>
  <c r="Q128" i="1"/>
  <c r="P129" i="1"/>
  <c r="O129" i="1"/>
  <c r="Q129" i="1"/>
  <c r="P130" i="1"/>
  <c r="O130" i="1"/>
  <c r="Q130" i="1"/>
  <c r="P131" i="1"/>
  <c r="O131" i="1"/>
  <c r="Q131" i="1"/>
  <c r="P132" i="1"/>
  <c r="O132" i="1"/>
  <c r="Q132" i="1"/>
  <c r="P133" i="1"/>
  <c r="O133" i="1"/>
  <c r="Q133" i="1"/>
  <c r="P134" i="1"/>
  <c r="O134" i="1"/>
  <c r="Q134" i="1"/>
  <c r="P135" i="1"/>
  <c r="O135" i="1"/>
  <c r="Q135" i="1"/>
  <c r="P136" i="1"/>
  <c r="O136" i="1"/>
  <c r="Q136" i="1"/>
  <c r="P137" i="1"/>
  <c r="O137" i="1"/>
  <c r="Q137" i="1"/>
  <c r="P138" i="1"/>
  <c r="O138" i="1"/>
  <c r="Q138" i="1"/>
  <c r="P139" i="1"/>
  <c r="O139" i="1"/>
  <c r="Q139" i="1"/>
  <c r="P140" i="1"/>
  <c r="O140" i="1"/>
  <c r="Q140" i="1"/>
  <c r="P141" i="1"/>
  <c r="O141" i="1"/>
  <c r="Q141" i="1"/>
  <c r="P142" i="1"/>
  <c r="O142" i="1"/>
  <c r="Q142" i="1"/>
  <c r="P143" i="1"/>
  <c r="O143" i="1"/>
  <c r="Q143" i="1"/>
  <c r="P144" i="1"/>
  <c r="O144" i="1"/>
  <c r="Q144" i="1"/>
  <c r="P145" i="1"/>
  <c r="Q145" i="1"/>
  <c r="P146" i="1"/>
  <c r="O146" i="1"/>
  <c r="Q146" i="1"/>
  <c r="P147" i="1"/>
  <c r="O147" i="1"/>
  <c r="Q147" i="1"/>
  <c r="P148" i="1"/>
  <c r="O148" i="1"/>
  <c r="Q148" i="1"/>
  <c r="P149" i="1"/>
  <c r="O149" i="1"/>
  <c r="Q149" i="1"/>
  <c r="P150" i="1"/>
  <c r="O150" i="1"/>
  <c r="Q150" i="1"/>
  <c r="P151" i="1"/>
  <c r="O151" i="1"/>
  <c r="Q151" i="1"/>
  <c r="P152" i="1"/>
  <c r="O152" i="1"/>
  <c r="Q152" i="1"/>
  <c r="P153" i="1"/>
  <c r="O153" i="1"/>
  <c r="Q153" i="1"/>
  <c r="P154" i="1"/>
  <c r="Q154" i="1"/>
  <c r="P155" i="1"/>
  <c r="O155" i="1"/>
  <c r="Q155" i="1"/>
  <c r="P156" i="1"/>
  <c r="O156" i="1"/>
  <c r="Q156" i="1"/>
  <c r="P157" i="1"/>
  <c r="O157" i="1"/>
  <c r="Q157" i="1"/>
  <c r="P158" i="1"/>
  <c r="O158" i="1"/>
  <c r="Q158" i="1"/>
  <c r="P159" i="1"/>
  <c r="O159" i="1"/>
  <c r="Q159" i="1"/>
  <c r="P160" i="1"/>
  <c r="O160" i="1"/>
  <c r="Q160" i="1"/>
  <c r="P161" i="1"/>
  <c r="O161" i="1"/>
  <c r="Q161" i="1"/>
  <c r="P162" i="1"/>
  <c r="O162" i="1"/>
  <c r="Q162" i="1"/>
  <c r="P163" i="1"/>
  <c r="O163" i="1"/>
  <c r="Q163" i="1"/>
  <c r="P164" i="1"/>
  <c r="O164" i="1"/>
  <c r="Q164" i="1"/>
  <c r="P165" i="1"/>
  <c r="O165" i="1"/>
  <c r="Q165" i="1"/>
  <c r="P166" i="1"/>
  <c r="Q166" i="1"/>
  <c r="P167" i="1"/>
  <c r="Q167" i="1"/>
  <c r="P168" i="1"/>
  <c r="O168" i="1"/>
  <c r="Q168" i="1"/>
  <c r="P169" i="1"/>
  <c r="O169" i="1"/>
  <c r="Q169" i="1"/>
  <c r="P170" i="1"/>
  <c r="O170" i="1"/>
  <c r="Q170" i="1"/>
  <c r="P171" i="1"/>
  <c r="O171" i="1"/>
  <c r="Q171" i="1"/>
  <c r="P172" i="1"/>
  <c r="O172" i="1"/>
  <c r="Q172" i="1"/>
  <c r="P173" i="1"/>
  <c r="Q173" i="1"/>
  <c r="P174" i="1"/>
  <c r="O174" i="1"/>
  <c r="Q174" i="1"/>
  <c r="P175" i="1"/>
  <c r="O175" i="1"/>
  <c r="Q175" i="1"/>
  <c r="P176" i="1"/>
  <c r="O176" i="1"/>
  <c r="Q176" i="1"/>
  <c r="P177" i="1"/>
  <c r="O177" i="1"/>
  <c r="Q177" i="1"/>
  <c r="P178" i="1"/>
  <c r="O178" i="1"/>
  <c r="Q178" i="1"/>
  <c r="P179" i="1"/>
  <c r="O179" i="1"/>
  <c r="Q179" i="1"/>
  <c r="P180" i="1"/>
  <c r="O180" i="1"/>
  <c r="Q180" i="1"/>
  <c r="P181" i="1"/>
  <c r="O181" i="1"/>
  <c r="Q181" i="1"/>
  <c r="P182" i="1"/>
  <c r="O182" i="1"/>
  <c r="Q182" i="1"/>
  <c r="P183" i="1"/>
  <c r="O183" i="1"/>
  <c r="Q183" i="1"/>
  <c r="P184" i="1"/>
  <c r="O184" i="1"/>
  <c r="Q184" i="1"/>
  <c r="P185" i="1"/>
  <c r="O185" i="1"/>
  <c r="Q185" i="1"/>
  <c r="P186" i="1"/>
  <c r="O186" i="1"/>
  <c r="Q186" i="1"/>
  <c r="P187" i="1"/>
  <c r="O187" i="1"/>
  <c r="Q187" i="1"/>
  <c r="P188" i="1"/>
  <c r="O188" i="1"/>
  <c r="Q188" i="1"/>
  <c r="P189" i="1"/>
  <c r="O189" i="1"/>
  <c r="Q189" i="1"/>
  <c r="P190" i="1"/>
  <c r="O190" i="1"/>
  <c r="Q190" i="1"/>
  <c r="P191" i="1"/>
  <c r="O191" i="1"/>
  <c r="Q191" i="1"/>
  <c r="P192" i="1"/>
  <c r="O192" i="1"/>
  <c r="Q192" i="1"/>
  <c r="P193" i="1"/>
  <c r="O193" i="1"/>
  <c r="Q193" i="1"/>
  <c r="P194" i="1"/>
  <c r="Q194" i="1"/>
  <c r="P195" i="1"/>
  <c r="O195" i="1"/>
  <c r="Q195" i="1"/>
  <c r="P196" i="1"/>
  <c r="O196" i="1"/>
  <c r="Q196" i="1"/>
  <c r="P197" i="1"/>
  <c r="O197" i="1"/>
  <c r="Q197" i="1"/>
  <c r="P198" i="1"/>
  <c r="O198" i="1"/>
  <c r="Q198" i="1"/>
  <c r="P199" i="1"/>
  <c r="O199" i="1"/>
  <c r="Q199" i="1"/>
  <c r="P200" i="1"/>
  <c r="O200" i="1"/>
  <c r="Q200" i="1"/>
  <c r="P201" i="1"/>
  <c r="O201" i="1"/>
  <c r="Q201" i="1"/>
  <c r="P202" i="1"/>
  <c r="O202" i="1"/>
  <c r="Q202" i="1"/>
  <c r="P203" i="1"/>
  <c r="O203" i="1"/>
  <c r="Q203" i="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2" i="10"/>
  <c r="E3" i="13"/>
  <c r="W4" i="3"/>
  <c r="W5" i="3"/>
  <c r="W6" i="3"/>
  <c r="W7" i="3"/>
  <c r="W8" i="3"/>
  <c r="W9" i="3"/>
  <c r="W10" i="3"/>
  <c r="W11" i="3"/>
  <c r="W12" i="3"/>
  <c r="W13" i="3"/>
  <c r="W14" i="3"/>
  <c r="W15" i="3"/>
  <c r="W16" i="3"/>
  <c r="W17" i="3"/>
  <c r="Z7" i="2"/>
  <c r="AE7" i="2"/>
  <c r="Z8" i="2"/>
  <c r="AE8" i="2"/>
  <c r="Z9" i="2"/>
  <c r="AE9" i="2"/>
  <c r="Z10" i="2"/>
  <c r="AE10" i="2"/>
  <c r="Z11" i="2"/>
  <c r="AE11" i="2"/>
  <c r="Z12" i="2"/>
  <c r="AE12" i="2"/>
  <c r="Z13" i="2"/>
  <c r="AE13" i="2"/>
  <c r="Z14" i="2"/>
  <c r="AE14" i="2"/>
  <c r="Z15" i="2"/>
  <c r="AE15" i="2"/>
  <c r="Z16" i="2"/>
  <c r="AE16" i="2"/>
  <c r="Z17" i="2"/>
  <c r="AE17" i="2"/>
  <c r="Z18" i="2"/>
  <c r="AE18" i="2"/>
  <c r="Z19" i="2"/>
  <c r="AE19" i="2"/>
  <c r="Z20" i="2"/>
  <c r="AE20" i="2"/>
  <c r="Z21" i="2"/>
  <c r="AE21" i="2"/>
  <c r="Z22" i="2"/>
  <c r="AE22" i="2"/>
  <c r="Z23" i="2"/>
  <c r="AE23" i="2"/>
  <c r="Z24" i="2"/>
  <c r="AE24" i="2"/>
  <c r="Z25" i="2"/>
  <c r="AE25" i="2"/>
  <c r="Z26" i="2"/>
  <c r="AE26" i="2"/>
  <c r="Z27" i="2"/>
  <c r="AE27" i="2"/>
  <c r="Z28" i="2"/>
  <c r="AE28" i="2"/>
  <c r="Z29" i="2"/>
  <c r="AE29" i="2"/>
  <c r="Z30" i="2"/>
  <c r="AE30" i="2"/>
  <c r="Z31" i="2"/>
  <c r="AE31" i="2"/>
  <c r="Z32" i="2"/>
  <c r="AE32" i="2"/>
  <c r="Z33" i="2"/>
  <c r="AE33" i="2"/>
  <c r="Z34" i="2"/>
  <c r="AE34" i="2"/>
  <c r="Z35" i="2"/>
  <c r="AE35" i="2"/>
  <c r="Z36" i="2"/>
  <c r="AE36" i="2"/>
  <c r="Z37" i="2"/>
  <c r="AE37" i="2"/>
  <c r="Z38" i="2"/>
  <c r="AE38" i="2"/>
  <c r="Z39" i="2"/>
  <c r="AE39" i="2"/>
  <c r="Z40" i="2"/>
  <c r="AE40" i="2"/>
  <c r="Z41" i="2"/>
  <c r="AE41" i="2"/>
  <c r="Z42" i="2"/>
  <c r="AE42" i="2"/>
  <c r="Z43" i="2"/>
  <c r="AE43" i="2"/>
  <c r="Z44" i="2"/>
  <c r="AE44" i="2"/>
  <c r="Z45" i="2"/>
  <c r="AE45" i="2"/>
  <c r="Z46" i="2"/>
  <c r="AE46" i="2"/>
  <c r="Z47" i="2"/>
  <c r="AE47" i="2"/>
  <c r="Z48" i="2"/>
  <c r="AE48" i="2"/>
  <c r="Z49" i="2"/>
  <c r="AE49" i="2"/>
  <c r="Z50" i="2"/>
  <c r="AE50" i="2"/>
  <c r="Z51" i="2"/>
  <c r="AE51" i="2"/>
  <c r="Z52" i="2"/>
  <c r="AE52" i="2"/>
  <c r="Z53" i="2"/>
  <c r="AE53" i="2"/>
  <c r="A28" i="16"/>
  <c r="C28" i="16"/>
  <c r="A29" i="16"/>
  <c r="C29" i="16"/>
  <c r="F29" i="16"/>
  <c r="A30" i="16"/>
  <c r="C30" i="16"/>
  <c r="F30" i="16"/>
  <c r="A31" i="16"/>
  <c r="C31" i="16"/>
  <c r="F31" i="16"/>
  <c r="A32" i="16"/>
  <c r="C32" i="16"/>
  <c r="F32" i="16"/>
  <c r="F28" i="16"/>
  <c r="A33" i="16"/>
  <c r="C33" i="16"/>
  <c r="F33" i="16"/>
  <c r="E33" i="16"/>
  <c r="E29" i="16"/>
  <c r="E30" i="16"/>
  <c r="E31" i="16"/>
  <c r="E32" i="16"/>
  <c r="E28" i="16"/>
  <c r="D33" i="16"/>
  <c r="D32" i="16"/>
  <c r="D31" i="16"/>
  <c r="D30" i="16"/>
  <c r="D29" i="16"/>
  <c r="D28" i="16"/>
  <c r="D14" i="16"/>
  <c r="D13" i="16"/>
  <c r="D12" i="16"/>
  <c r="D11" i="16"/>
  <c r="D10" i="16"/>
  <c r="A7" i="16"/>
  <c r="D7" i="16"/>
  <c r="D15" i="16"/>
  <c r="A3" i="16"/>
  <c r="D3" i="16"/>
  <c r="A4" i="16"/>
  <c r="D4" i="16"/>
  <c r="A5" i="16"/>
  <c r="D5" i="16"/>
  <c r="A6" i="16"/>
  <c r="D6" i="16"/>
  <c r="D2" i="16"/>
  <c r="C35" i="16"/>
  <c r="C10" i="16"/>
  <c r="F35" i="16"/>
  <c r="E35" i="16"/>
  <c r="B34" i="16"/>
  <c r="A34" i="16"/>
  <c r="C34" i="16"/>
  <c r="F34" i="16"/>
  <c r="E34" i="16"/>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S4" i="2"/>
  <c r="S5" i="2"/>
  <c r="U6" i="2"/>
  <c r="U4" i="2"/>
  <c r="U5" i="2"/>
  <c r="W4" i="2"/>
  <c r="W5" i="2"/>
  <c r="I6" i="1"/>
  <c r="S7" i="2"/>
  <c r="U7" i="2"/>
  <c r="I7" i="1"/>
  <c r="S8" i="2"/>
  <c r="U8" i="2"/>
  <c r="S9"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V4" i="2"/>
  <c r="Q4" i="5"/>
  <c r="Q5" i="5"/>
  <c r="Q6" i="5"/>
  <c r="Q7"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8"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4" i="5"/>
  <c r="C7" i="10"/>
  <c r="D7" i="10"/>
  <c r="F7" i="10"/>
  <c r="C8" i="10"/>
  <c r="D8" i="10"/>
  <c r="F8" i="10"/>
  <c r="C9" i="10"/>
  <c r="D9" i="10"/>
  <c r="F9" i="10"/>
  <c r="C10" i="10"/>
  <c r="D10" i="10"/>
  <c r="F10" i="10"/>
  <c r="C11" i="10"/>
  <c r="D11" i="10"/>
  <c r="F11" i="10"/>
  <c r="C12" i="10"/>
  <c r="D12" i="10"/>
  <c r="F12" i="10"/>
  <c r="C13" i="10"/>
  <c r="D13" i="10"/>
  <c r="F13" i="10"/>
  <c r="C14" i="10"/>
  <c r="D14" i="10"/>
  <c r="F14" i="10"/>
  <c r="C15" i="10"/>
  <c r="D15" i="10"/>
  <c r="F15" i="10"/>
  <c r="C16" i="10"/>
  <c r="D16" i="10"/>
  <c r="F16" i="10"/>
  <c r="C17" i="10"/>
  <c r="D17" i="10"/>
  <c r="F17" i="10"/>
  <c r="C18" i="10"/>
  <c r="D18" i="10"/>
  <c r="F18" i="10"/>
  <c r="C19" i="10"/>
  <c r="D19" i="10"/>
  <c r="F19" i="10"/>
  <c r="C20" i="10"/>
  <c r="D20" i="10"/>
  <c r="F20" i="10"/>
  <c r="C21" i="10"/>
  <c r="D21" i="10"/>
  <c r="F21" i="10"/>
  <c r="C22" i="10"/>
  <c r="D22" i="10"/>
  <c r="F22" i="10"/>
  <c r="C23" i="10"/>
  <c r="D23" i="10"/>
  <c r="F23" i="10"/>
  <c r="C24" i="10"/>
  <c r="D24" i="10"/>
  <c r="F24" i="10"/>
  <c r="C25" i="10"/>
  <c r="D25" i="10"/>
  <c r="F25" i="10"/>
  <c r="C26" i="10"/>
  <c r="D26" i="10"/>
  <c r="F26" i="10"/>
  <c r="C27" i="10"/>
  <c r="D27" i="10"/>
  <c r="F27" i="10"/>
  <c r="C28" i="10"/>
  <c r="D28" i="10"/>
  <c r="F28" i="10"/>
  <c r="C29" i="10"/>
  <c r="D29" i="10"/>
  <c r="F29" i="10"/>
  <c r="C30" i="10"/>
  <c r="D30" i="10"/>
  <c r="F30" i="10"/>
  <c r="C31" i="10"/>
  <c r="D31" i="10"/>
  <c r="F31" i="10"/>
  <c r="C32" i="10"/>
  <c r="D32" i="10"/>
  <c r="F32" i="10"/>
  <c r="C33" i="10"/>
  <c r="D33" i="10"/>
  <c r="F33" i="10"/>
  <c r="C34" i="10"/>
  <c r="D34" i="10"/>
  <c r="F34" i="10"/>
  <c r="C35" i="10"/>
  <c r="D35" i="10"/>
  <c r="F35" i="10"/>
  <c r="C36" i="10"/>
  <c r="D36" i="10"/>
  <c r="F36" i="10"/>
  <c r="C37" i="10"/>
  <c r="D37" i="10"/>
  <c r="F37" i="10"/>
  <c r="C38" i="10"/>
  <c r="D38" i="10"/>
  <c r="F38" i="10"/>
  <c r="C39" i="10"/>
  <c r="D39" i="10"/>
  <c r="F39" i="10"/>
  <c r="C40" i="10"/>
  <c r="D40" i="10"/>
  <c r="F40" i="10"/>
  <c r="C41" i="10"/>
  <c r="D41" i="10"/>
  <c r="F41" i="10"/>
  <c r="C42" i="10"/>
  <c r="D42" i="10"/>
  <c r="F42" i="10"/>
  <c r="C43" i="10"/>
  <c r="D43" i="10"/>
  <c r="F43" i="10"/>
  <c r="C44" i="10"/>
  <c r="D44" i="10"/>
  <c r="F44" i="10"/>
  <c r="C45" i="10"/>
  <c r="D45" i="10"/>
  <c r="F45" i="10"/>
  <c r="C46" i="10"/>
  <c r="D46" i="10"/>
  <c r="F46" i="10"/>
  <c r="C47" i="10"/>
  <c r="D47" i="10"/>
  <c r="F47" i="10"/>
  <c r="C48" i="10"/>
  <c r="D48" i="10"/>
  <c r="F48" i="10"/>
  <c r="C49" i="10"/>
  <c r="D49" i="10"/>
  <c r="F49" i="10"/>
  <c r="C50" i="10"/>
  <c r="D50" i="10"/>
  <c r="F50" i="10"/>
  <c r="C51" i="10"/>
  <c r="D51" i="10"/>
  <c r="F51" i="10"/>
  <c r="C52" i="10"/>
  <c r="D52" i="10"/>
  <c r="F52" i="10"/>
  <c r="C53" i="10"/>
  <c r="D53" i="10"/>
  <c r="F53" i="10"/>
  <c r="C54" i="10"/>
  <c r="D54" i="10"/>
  <c r="F54" i="10"/>
  <c r="C55" i="10"/>
  <c r="D55" i="10"/>
  <c r="F55" i="10"/>
  <c r="C56" i="10"/>
  <c r="D56" i="10"/>
  <c r="F56" i="10"/>
  <c r="C57" i="10"/>
  <c r="D57" i="10"/>
  <c r="F57" i="10"/>
  <c r="C58" i="10"/>
  <c r="D58" i="10"/>
  <c r="F58" i="10"/>
  <c r="C59" i="10"/>
  <c r="D59" i="10"/>
  <c r="F59" i="10"/>
  <c r="C60" i="10"/>
  <c r="D60" i="10"/>
  <c r="F60" i="10"/>
  <c r="C61" i="10"/>
  <c r="D61" i="10"/>
  <c r="F61" i="10"/>
  <c r="C62" i="10"/>
  <c r="D62" i="10"/>
  <c r="F62" i="10"/>
  <c r="C63" i="10"/>
  <c r="D63" i="10"/>
  <c r="F63" i="10"/>
  <c r="C64" i="10"/>
  <c r="D64" i="10"/>
  <c r="F64" i="10"/>
  <c r="C65" i="10"/>
  <c r="D65" i="10"/>
  <c r="F65" i="10"/>
  <c r="C66" i="10"/>
  <c r="D66" i="10"/>
  <c r="F66" i="10"/>
  <c r="C67" i="10"/>
  <c r="D67" i="10"/>
  <c r="F67" i="10"/>
  <c r="C68" i="10"/>
  <c r="D68" i="10"/>
  <c r="F68" i="10"/>
  <c r="C69" i="10"/>
  <c r="D69" i="10"/>
  <c r="F69" i="10"/>
  <c r="C70" i="10"/>
  <c r="D70" i="10"/>
  <c r="F70" i="10"/>
  <c r="C71" i="10"/>
  <c r="D71" i="10"/>
  <c r="F71" i="10"/>
  <c r="C72" i="10"/>
  <c r="D72" i="10"/>
  <c r="F72" i="10"/>
  <c r="C73" i="10"/>
  <c r="D73" i="10"/>
  <c r="F73" i="10"/>
  <c r="C74" i="10"/>
  <c r="D74" i="10"/>
  <c r="F74" i="10"/>
  <c r="C75" i="10"/>
  <c r="D75" i="10"/>
  <c r="F75" i="10"/>
  <c r="C76" i="10"/>
  <c r="D76" i="10"/>
  <c r="F76" i="10"/>
  <c r="C77" i="10"/>
  <c r="D77" i="10"/>
  <c r="F77" i="10"/>
  <c r="C78" i="10"/>
  <c r="D78" i="10"/>
  <c r="F78" i="10"/>
  <c r="C79" i="10"/>
  <c r="D79" i="10"/>
  <c r="F79" i="10"/>
  <c r="C80" i="10"/>
  <c r="D80" i="10"/>
  <c r="F80" i="10"/>
  <c r="C81" i="10"/>
  <c r="D81" i="10"/>
  <c r="F81" i="10"/>
  <c r="C82" i="10"/>
  <c r="D82" i="10"/>
  <c r="F82" i="10"/>
  <c r="C83" i="10"/>
  <c r="D83" i="10"/>
  <c r="F83" i="10"/>
  <c r="C84" i="10"/>
  <c r="D84" i="10"/>
  <c r="F84" i="10"/>
  <c r="C85" i="10"/>
  <c r="D85" i="10"/>
  <c r="F85" i="10"/>
  <c r="C86" i="10"/>
  <c r="D86" i="10"/>
  <c r="F86" i="10"/>
  <c r="C87" i="10"/>
  <c r="D87" i="10"/>
  <c r="F87" i="10"/>
  <c r="C88" i="10"/>
  <c r="D88" i="10"/>
  <c r="F88" i="10"/>
  <c r="C89" i="10"/>
  <c r="D89" i="10"/>
  <c r="F89" i="10"/>
  <c r="C90" i="10"/>
  <c r="D90" i="10"/>
  <c r="F90" i="10"/>
  <c r="C91" i="10"/>
  <c r="D91" i="10"/>
  <c r="F91" i="10"/>
  <c r="C92" i="10"/>
  <c r="D92" i="10"/>
  <c r="F92" i="10"/>
  <c r="C93" i="10"/>
  <c r="D93" i="10"/>
  <c r="F93" i="10"/>
  <c r="C94" i="10"/>
  <c r="D94" i="10"/>
  <c r="F94" i="10"/>
  <c r="C95" i="10"/>
  <c r="D95" i="10"/>
  <c r="F95" i="10"/>
  <c r="C96" i="10"/>
  <c r="D96" i="10"/>
  <c r="F96" i="10"/>
  <c r="C97" i="10"/>
  <c r="D97" i="10"/>
  <c r="F97" i="10"/>
  <c r="C98" i="10"/>
  <c r="D98" i="10"/>
  <c r="F98" i="10"/>
  <c r="C99" i="10"/>
  <c r="D99" i="10"/>
  <c r="F99" i="10"/>
  <c r="C100" i="10"/>
  <c r="D100" i="10"/>
  <c r="F100" i="10"/>
  <c r="C101" i="10"/>
  <c r="D101" i="10"/>
  <c r="F101" i="10"/>
  <c r="C102" i="10"/>
  <c r="D102" i="10"/>
  <c r="F102" i="10"/>
  <c r="C103" i="10"/>
  <c r="D103" i="10"/>
  <c r="F103" i="10"/>
  <c r="C104" i="10"/>
  <c r="D104" i="10"/>
  <c r="F104" i="10"/>
  <c r="C105" i="10"/>
  <c r="D105" i="10"/>
  <c r="F105" i="10"/>
  <c r="C106" i="10"/>
  <c r="D106" i="10"/>
  <c r="F106" i="10"/>
  <c r="C107" i="10"/>
  <c r="D107" i="10"/>
  <c r="F107" i="10"/>
  <c r="C108" i="10"/>
  <c r="D108" i="10"/>
  <c r="F108" i="10"/>
  <c r="C109" i="10"/>
  <c r="D109" i="10"/>
  <c r="F109" i="10"/>
  <c r="C110" i="10"/>
  <c r="D110" i="10"/>
  <c r="F110" i="10"/>
  <c r="C111" i="10"/>
  <c r="D111" i="10"/>
  <c r="F111" i="10"/>
  <c r="C112" i="10"/>
  <c r="D112" i="10"/>
  <c r="F112" i="10"/>
  <c r="C113" i="10"/>
  <c r="D113" i="10"/>
  <c r="F113" i="10"/>
  <c r="C114" i="10"/>
  <c r="D114" i="10"/>
  <c r="F114" i="10"/>
  <c r="C115" i="10"/>
  <c r="D115" i="10"/>
  <c r="F115" i="10"/>
  <c r="C116" i="10"/>
  <c r="D116" i="10"/>
  <c r="F116" i="10"/>
  <c r="C117" i="10"/>
  <c r="D117" i="10"/>
  <c r="F117" i="10"/>
  <c r="C118" i="10"/>
  <c r="D118" i="10"/>
  <c r="F118" i="10"/>
  <c r="C119" i="10"/>
  <c r="D119" i="10"/>
  <c r="F119" i="10"/>
  <c r="C120" i="10"/>
  <c r="D120" i="10"/>
  <c r="F120" i="10"/>
  <c r="C121" i="10"/>
  <c r="D121" i="10"/>
  <c r="F121" i="10"/>
  <c r="C122" i="10"/>
  <c r="D122" i="10"/>
  <c r="F122" i="10"/>
  <c r="C123" i="10"/>
  <c r="D123" i="10"/>
  <c r="F123" i="10"/>
  <c r="C124" i="10"/>
  <c r="D124" i="10"/>
  <c r="F124" i="10"/>
  <c r="C6" i="10"/>
  <c r="D6" i="10"/>
  <c r="F6" i="10"/>
  <c r="C4" i="10"/>
  <c r="D4" i="10"/>
  <c r="C3" i="10"/>
  <c r="D3" i="10"/>
  <c r="I4" i="10"/>
  <c r="J4" i="10"/>
  <c r="F4" i="10"/>
  <c r="F3" i="10"/>
  <c r="K4" i="10"/>
  <c r="C5" i="10"/>
  <c r="D5" i="10"/>
  <c r="I5" i="10"/>
  <c r="J5" i="10"/>
  <c r="F5" i="10"/>
  <c r="K5" i="10"/>
  <c r="I6" i="10"/>
  <c r="J6" i="10"/>
  <c r="K6" i="10"/>
  <c r="I7" i="10"/>
  <c r="J7" i="10"/>
  <c r="K7" i="10"/>
  <c r="I8" i="10"/>
  <c r="J8" i="10"/>
  <c r="K8" i="10"/>
  <c r="I9" i="10"/>
  <c r="J9" i="10"/>
  <c r="K9" i="10"/>
  <c r="I10" i="10"/>
  <c r="J10" i="10"/>
  <c r="K10" i="10"/>
  <c r="I11" i="10"/>
  <c r="J11" i="10"/>
  <c r="K11" i="10"/>
  <c r="I12" i="10"/>
  <c r="J12" i="10"/>
  <c r="K12" i="10"/>
  <c r="I13" i="10"/>
  <c r="J13" i="10"/>
  <c r="K13" i="10"/>
  <c r="I14" i="10"/>
  <c r="J14" i="10"/>
  <c r="K14" i="10"/>
  <c r="I15" i="10"/>
  <c r="J15" i="10"/>
  <c r="K15" i="10"/>
  <c r="I16" i="10"/>
  <c r="J16" i="10"/>
  <c r="K16" i="10"/>
  <c r="I17" i="10"/>
  <c r="J17" i="10"/>
  <c r="K17" i="10"/>
  <c r="I18" i="10"/>
  <c r="J18" i="10"/>
  <c r="K18" i="10"/>
  <c r="I19" i="10"/>
  <c r="J19" i="10"/>
  <c r="K19" i="10"/>
  <c r="I20" i="10"/>
  <c r="J20" i="10"/>
  <c r="K20" i="10"/>
  <c r="I21" i="10"/>
  <c r="J21" i="10"/>
  <c r="K21" i="10"/>
  <c r="I22" i="10"/>
  <c r="J22" i="10"/>
  <c r="K22" i="10"/>
  <c r="I23" i="10"/>
  <c r="J23" i="10"/>
  <c r="K23" i="10"/>
  <c r="I24" i="10"/>
  <c r="J24" i="10"/>
  <c r="K24" i="10"/>
  <c r="I25" i="10"/>
  <c r="J25" i="10"/>
  <c r="K25" i="10"/>
  <c r="I26" i="10"/>
  <c r="J26" i="10"/>
  <c r="K26" i="10"/>
  <c r="I27" i="10"/>
  <c r="J27" i="10"/>
  <c r="K27" i="10"/>
  <c r="I28" i="10"/>
  <c r="J28" i="10"/>
  <c r="K28" i="10"/>
  <c r="I29" i="10"/>
  <c r="J29" i="10"/>
  <c r="K29" i="10"/>
  <c r="I30" i="10"/>
  <c r="J30" i="10"/>
  <c r="K30" i="10"/>
  <c r="I31" i="10"/>
  <c r="J31" i="10"/>
  <c r="K31" i="10"/>
  <c r="I32" i="10"/>
  <c r="J32" i="10"/>
  <c r="K32" i="10"/>
  <c r="I33" i="10"/>
  <c r="J33" i="10"/>
  <c r="K33" i="10"/>
  <c r="I34" i="10"/>
  <c r="J34" i="10"/>
  <c r="K34" i="10"/>
  <c r="I35" i="10"/>
  <c r="J35" i="10"/>
  <c r="K35" i="10"/>
  <c r="I36" i="10"/>
  <c r="J36" i="10"/>
  <c r="K36" i="10"/>
  <c r="I37" i="10"/>
  <c r="J37" i="10"/>
  <c r="K37" i="10"/>
  <c r="I38" i="10"/>
  <c r="J38" i="10"/>
  <c r="K38" i="10"/>
  <c r="I39" i="10"/>
  <c r="J39" i="10"/>
  <c r="K39" i="10"/>
  <c r="I40" i="10"/>
  <c r="J40" i="10"/>
  <c r="K40" i="10"/>
  <c r="I41" i="10"/>
  <c r="J41" i="10"/>
  <c r="K41" i="10"/>
  <c r="I42" i="10"/>
  <c r="J42" i="10"/>
  <c r="K42" i="10"/>
  <c r="I43" i="10"/>
  <c r="J43" i="10"/>
  <c r="K43" i="10"/>
  <c r="I44" i="10"/>
  <c r="J44" i="10"/>
  <c r="K44" i="10"/>
  <c r="I45" i="10"/>
  <c r="J45" i="10"/>
  <c r="K45" i="10"/>
  <c r="I46" i="10"/>
  <c r="J46" i="10"/>
  <c r="K46" i="10"/>
  <c r="I47" i="10"/>
  <c r="J47" i="10"/>
  <c r="K47" i="10"/>
  <c r="I48" i="10"/>
  <c r="J48" i="10"/>
  <c r="K48" i="10"/>
  <c r="I49" i="10"/>
  <c r="J49" i="10"/>
  <c r="K49" i="10"/>
  <c r="I50" i="10"/>
  <c r="J50" i="10"/>
  <c r="K50" i="10"/>
  <c r="I51" i="10"/>
  <c r="J51" i="10"/>
  <c r="K51" i="10"/>
  <c r="I52" i="10"/>
  <c r="J52" i="10"/>
  <c r="K52" i="10"/>
  <c r="I53" i="10"/>
  <c r="J53" i="10"/>
  <c r="K53" i="10"/>
  <c r="I54" i="10"/>
  <c r="J54" i="10"/>
  <c r="K54" i="10"/>
  <c r="I55" i="10"/>
  <c r="J55" i="10"/>
  <c r="K55" i="10"/>
  <c r="I56" i="10"/>
  <c r="J56" i="10"/>
  <c r="K56" i="10"/>
  <c r="I57" i="10"/>
  <c r="J57" i="10"/>
  <c r="K57" i="10"/>
  <c r="I58" i="10"/>
  <c r="J58" i="10"/>
  <c r="K58" i="10"/>
  <c r="I59" i="10"/>
  <c r="J59" i="10"/>
  <c r="K59" i="10"/>
  <c r="I60" i="10"/>
  <c r="J60" i="10"/>
  <c r="K60" i="10"/>
  <c r="I61" i="10"/>
  <c r="J61" i="10"/>
  <c r="K61" i="10"/>
  <c r="I62" i="10"/>
  <c r="J62" i="10"/>
  <c r="K62" i="10"/>
  <c r="I63" i="10"/>
  <c r="J63" i="10"/>
  <c r="K63" i="10"/>
  <c r="I64" i="10"/>
  <c r="J64" i="10"/>
  <c r="K64" i="10"/>
  <c r="I65" i="10"/>
  <c r="J65" i="10"/>
  <c r="K65" i="10"/>
  <c r="I66" i="10"/>
  <c r="J66" i="10"/>
  <c r="K66" i="10"/>
  <c r="I67" i="10"/>
  <c r="J67" i="10"/>
  <c r="K67" i="10"/>
  <c r="I68" i="10"/>
  <c r="J68" i="10"/>
  <c r="K68" i="10"/>
  <c r="I69" i="10"/>
  <c r="J69" i="10"/>
  <c r="K69" i="10"/>
  <c r="I70" i="10"/>
  <c r="J70" i="10"/>
  <c r="K70" i="10"/>
  <c r="I71" i="10"/>
  <c r="J71" i="10"/>
  <c r="K71" i="10"/>
  <c r="I72" i="10"/>
  <c r="J72" i="10"/>
  <c r="K72" i="10"/>
  <c r="I73" i="10"/>
  <c r="J73" i="10"/>
  <c r="K73" i="10"/>
  <c r="I74" i="10"/>
  <c r="J74" i="10"/>
  <c r="K74" i="10"/>
  <c r="I75" i="10"/>
  <c r="J75" i="10"/>
  <c r="K75" i="10"/>
  <c r="I76" i="10"/>
  <c r="J76" i="10"/>
  <c r="K76" i="10"/>
  <c r="I77" i="10"/>
  <c r="J77" i="10"/>
  <c r="K77" i="10"/>
  <c r="I78" i="10"/>
  <c r="J78" i="10"/>
  <c r="K78" i="10"/>
  <c r="I79" i="10"/>
  <c r="J79" i="10"/>
  <c r="K79" i="10"/>
  <c r="I80" i="10"/>
  <c r="J80" i="10"/>
  <c r="K80" i="10"/>
  <c r="I81" i="10"/>
  <c r="J81" i="10"/>
  <c r="K81" i="10"/>
  <c r="I82" i="10"/>
  <c r="J82" i="10"/>
  <c r="K82" i="10"/>
  <c r="I83" i="10"/>
  <c r="J83" i="10"/>
  <c r="K83" i="10"/>
  <c r="I84" i="10"/>
  <c r="J84" i="10"/>
  <c r="K84" i="10"/>
  <c r="I85" i="10"/>
  <c r="J85" i="10"/>
  <c r="K85" i="10"/>
  <c r="I86" i="10"/>
  <c r="J86" i="10"/>
  <c r="K86" i="10"/>
  <c r="I87" i="10"/>
  <c r="J87" i="10"/>
  <c r="K87" i="10"/>
  <c r="I88" i="10"/>
  <c r="J88" i="10"/>
  <c r="K88" i="10"/>
  <c r="I89" i="10"/>
  <c r="J89" i="10"/>
  <c r="K89" i="10"/>
  <c r="I90" i="10"/>
  <c r="J90" i="10"/>
  <c r="K90" i="10"/>
  <c r="I91" i="10"/>
  <c r="J91" i="10"/>
  <c r="K91" i="10"/>
  <c r="I92" i="10"/>
  <c r="J92" i="10"/>
  <c r="K92" i="10"/>
  <c r="I93" i="10"/>
  <c r="J93" i="10"/>
  <c r="K93" i="10"/>
  <c r="I94" i="10"/>
  <c r="J94" i="10"/>
  <c r="K94" i="10"/>
  <c r="I95" i="10"/>
  <c r="J95" i="10"/>
  <c r="K95" i="10"/>
  <c r="I96" i="10"/>
  <c r="J96" i="10"/>
  <c r="K96" i="10"/>
  <c r="I97" i="10"/>
  <c r="J97" i="10"/>
  <c r="K97" i="10"/>
  <c r="I98" i="10"/>
  <c r="J98" i="10"/>
  <c r="K98" i="10"/>
  <c r="I99" i="10"/>
  <c r="J99" i="10"/>
  <c r="K99" i="10"/>
  <c r="I100" i="10"/>
  <c r="J100" i="10"/>
  <c r="K100" i="10"/>
  <c r="I101" i="10"/>
  <c r="J101" i="10"/>
  <c r="K101" i="10"/>
  <c r="I102" i="10"/>
  <c r="J102" i="10"/>
  <c r="K102" i="10"/>
  <c r="I103" i="10"/>
  <c r="J103" i="10"/>
  <c r="K103" i="10"/>
  <c r="I104" i="10"/>
  <c r="J104" i="10"/>
  <c r="K104" i="10"/>
  <c r="I105" i="10"/>
  <c r="J105" i="10"/>
  <c r="K105" i="10"/>
  <c r="I106" i="10"/>
  <c r="J106" i="10"/>
  <c r="K106" i="10"/>
  <c r="I107" i="10"/>
  <c r="J107" i="10"/>
  <c r="K107" i="10"/>
  <c r="I108" i="10"/>
  <c r="J108" i="10"/>
  <c r="K108" i="10"/>
  <c r="I109" i="10"/>
  <c r="J109" i="10"/>
  <c r="K109" i="10"/>
  <c r="I110" i="10"/>
  <c r="J110" i="10"/>
  <c r="K110" i="10"/>
  <c r="I111" i="10"/>
  <c r="J111" i="10"/>
  <c r="K111" i="10"/>
  <c r="I112" i="10"/>
  <c r="J112" i="10"/>
  <c r="K112" i="10"/>
  <c r="I113" i="10"/>
  <c r="J113" i="10"/>
  <c r="K113" i="10"/>
  <c r="I114" i="10"/>
  <c r="J114" i="10"/>
  <c r="K114" i="10"/>
  <c r="I115" i="10"/>
  <c r="J115" i="10"/>
  <c r="K115" i="10"/>
  <c r="I116" i="10"/>
  <c r="J116" i="10"/>
  <c r="K116" i="10"/>
  <c r="I117" i="10"/>
  <c r="J117" i="10"/>
  <c r="K117" i="10"/>
  <c r="I118" i="10"/>
  <c r="J118" i="10"/>
  <c r="K118" i="10"/>
  <c r="I119" i="10"/>
  <c r="J119" i="10"/>
  <c r="K119" i="10"/>
  <c r="I120" i="10"/>
  <c r="J120" i="10"/>
  <c r="K120" i="10"/>
  <c r="I121" i="10"/>
  <c r="J121" i="10"/>
  <c r="K121" i="10"/>
  <c r="I122" i="10"/>
  <c r="J122" i="10"/>
  <c r="K122" i="10"/>
  <c r="I123" i="10"/>
  <c r="J123" i="10"/>
  <c r="K123" i="10"/>
  <c r="I124" i="10"/>
  <c r="J124" i="10"/>
  <c r="K124" i="10"/>
  <c r="C2" i="10"/>
  <c r="D2" i="10"/>
  <c r="I3" i="10"/>
  <c r="F2" i="10"/>
  <c r="K3" i="10"/>
  <c r="J3" i="10"/>
  <c r="C15" i="16"/>
  <c r="P2" i="10"/>
  <c r="P3" i="10"/>
  <c r="S3" i="10"/>
  <c r="P4" i="10"/>
  <c r="S4" i="10"/>
  <c r="P5" i="10"/>
  <c r="S5" i="10"/>
  <c r="P6" i="10"/>
  <c r="S6" i="10"/>
  <c r="P7" i="10"/>
  <c r="S7" i="10"/>
  <c r="P8" i="10"/>
  <c r="S8" i="10"/>
  <c r="P9" i="10"/>
  <c r="S9" i="10"/>
  <c r="P10" i="10"/>
  <c r="S10" i="10"/>
  <c r="P11" i="10"/>
  <c r="S11" i="10"/>
  <c r="P12" i="10"/>
  <c r="S12" i="10"/>
  <c r="P13" i="10"/>
  <c r="S13" i="10"/>
  <c r="P14" i="10"/>
  <c r="S14" i="10"/>
  <c r="P15" i="10"/>
  <c r="S15" i="10"/>
  <c r="P16" i="10"/>
  <c r="S16" i="10"/>
  <c r="P17" i="10"/>
  <c r="S17" i="10"/>
  <c r="P18" i="10"/>
  <c r="S18" i="10"/>
  <c r="P19" i="10"/>
  <c r="S19" i="10"/>
  <c r="P20" i="10"/>
  <c r="S20" i="10"/>
  <c r="P21" i="10"/>
  <c r="S21" i="10"/>
  <c r="P22" i="10"/>
  <c r="S22" i="10"/>
  <c r="P23" i="10"/>
  <c r="S23" i="10"/>
  <c r="P24" i="10"/>
  <c r="S24" i="10"/>
  <c r="P25" i="10"/>
  <c r="S25" i="10"/>
  <c r="P26" i="10"/>
  <c r="S26" i="10"/>
  <c r="P27" i="10"/>
  <c r="S27" i="10"/>
  <c r="P28" i="10"/>
  <c r="S28" i="10"/>
  <c r="P29" i="10"/>
  <c r="S29" i="10"/>
  <c r="P30" i="10"/>
  <c r="S30" i="10"/>
  <c r="P31" i="10"/>
  <c r="S31" i="10"/>
  <c r="P32" i="10"/>
  <c r="S32" i="10"/>
  <c r="P33" i="10"/>
  <c r="S33" i="10"/>
  <c r="P34" i="10"/>
  <c r="S34" i="10"/>
  <c r="P35" i="10"/>
  <c r="S35" i="10"/>
  <c r="P36" i="10"/>
  <c r="S36" i="10"/>
  <c r="P37" i="10"/>
  <c r="S37" i="10"/>
  <c r="P38" i="10"/>
  <c r="S38" i="10"/>
  <c r="P39" i="10"/>
  <c r="S39" i="10"/>
  <c r="P40" i="10"/>
  <c r="S40" i="10"/>
  <c r="P41" i="10"/>
  <c r="S41" i="10"/>
  <c r="P42" i="10"/>
  <c r="S42" i="10"/>
  <c r="P43" i="10"/>
  <c r="S43" i="10"/>
  <c r="P44" i="10"/>
  <c r="S44" i="10"/>
  <c r="P45" i="10"/>
  <c r="S45" i="10"/>
  <c r="P46" i="10"/>
  <c r="S46" i="10"/>
  <c r="P47" i="10"/>
  <c r="S47" i="10"/>
  <c r="P48" i="10"/>
  <c r="S48" i="10"/>
  <c r="P49" i="10"/>
  <c r="S49" i="10"/>
  <c r="P50" i="10"/>
  <c r="S50" i="10"/>
  <c r="P51" i="10"/>
  <c r="S51" i="10"/>
  <c r="P52" i="10"/>
  <c r="S52" i="10"/>
  <c r="P53" i="10"/>
  <c r="S53" i="10"/>
  <c r="P54" i="10"/>
  <c r="S54" i="10"/>
  <c r="P55" i="10"/>
  <c r="S55" i="10"/>
  <c r="P56" i="10"/>
  <c r="S56" i="10"/>
  <c r="P57" i="10"/>
  <c r="S57" i="10"/>
  <c r="P58" i="10"/>
  <c r="S58" i="10"/>
  <c r="P59" i="10"/>
  <c r="S59" i="10"/>
  <c r="P60" i="10"/>
  <c r="S60" i="10"/>
  <c r="P61" i="10"/>
  <c r="S61" i="10"/>
  <c r="P62" i="10"/>
  <c r="S62" i="10"/>
  <c r="P63" i="10"/>
  <c r="S63" i="10"/>
  <c r="P64" i="10"/>
  <c r="S64" i="10"/>
  <c r="P65" i="10"/>
  <c r="S65" i="10"/>
  <c r="P66" i="10"/>
  <c r="S66" i="10"/>
  <c r="P67" i="10"/>
  <c r="S67" i="10"/>
  <c r="P68" i="10"/>
  <c r="S68" i="10"/>
  <c r="P69" i="10"/>
  <c r="S69" i="10"/>
  <c r="P70" i="10"/>
  <c r="S70" i="10"/>
  <c r="P71" i="10"/>
  <c r="S71" i="10"/>
  <c r="P72" i="10"/>
  <c r="S72" i="10"/>
  <c r="P73" i="10"/>
  <c r="S73" i="10"/>
  <c r="P74" i="10"/>
  <c r="S74" i="10"/>
  <c r="P75" i="10"/>
  <c r="S75" i="10"/>
  <c r="P76" i="10"/>
  <c r="S76" i="10"/>
  <c r="P77" i="10"/>
  <c r="S77" i="10"/>
  <c r="P78" i="10"/>
  <c r="S78" i="10"/>
  <c r="P79" i="10"/>
  <c r="S79" i="10"/>
  <c r="P80" i="10"/>
  <c r="S80" i="10"/>
  <c r="P81" i="10"/>
  <c r="S81" i="10"/>
  <c r="P82" i="10"/>
  <c r="S82" i="10"/>
  <c r="P83" i="10"/>
  <c r="S83" i="10"/>
  <c r="P84" i="10"/>
  <c r="S84" i="10"/>
  <c r="P85" i="10"/>
  <c r="S85" i="10"/>
  <c r="P86" i="10"/>
  <c r="S86" i="10"/>
  <c r="P87" i="10"/>
  <c r="S87" i="10"/>
  <c r="P88" i="10"/>
  <c r="S88" i="10"/>
  <c r="P89" i="10"/>
  <c r="S89" i="10"/>
  <c r="P90" i="10"/>
  <c r="S90" i="10"/>
  <c r="P91" i="10"/>
  <c r="S91" i="10"/>
  <c r="P92" i="10"/>
  <c r="S92" i="10"/>
  <c r="P93" i="10"/>
  <c r="S93" i="10"/>
  <c r="P94" i="10"/>
  <c r="S94" i="10"/>
  <c r="P95" i="10"/>
  <c r="S95" i="10"/>
  <c r="P96" i="10"/>
  <c r="S96" i="10"/>
  <c r="P97" i="10"/>
  <c r="S97" i="10"/>
  <c r="P98" i="10"/>
  <c r="S98" i="10"/>
  <c r="P99" i="10"/>
  <c r="S99" i="10"/>
  <c r="P100" i="10"/>
  <c r="S100" i="10"/>
  <c r="P101" i="10"/>
  <c r="S101" i="10"/>
  <c r="P102" i="10"/>
  <c r="S102" i="10"/>
  <c r="P103" i="10"/>
  <c r="S103" i="10"/>
  <c r="P104" i="10"/>
  <c r="S104" i="10"/>
  <c r="P105" i="10"/>
  <c r="S105" i="10"/>
  <c r="P106" i="10"/>
  <c r="S106" i="10"/>
  <c r="P107" i="10"/>
  <c r="S107" i="10"/>
  <c r="P108" i="10"/>
  <c r="S108" i="10"/>
  <c r="P109" i="10"/>
  <c r="S109" i="10"/>
  <c r="P110" i="10"/>
  <c r="S110" i="10"/>
  <c r="P111" i="10"/>
  <c r="S111" i="10"/>
  <c r="P112" i="10"/>
  <c r="S112" i="10"/>
  <c r="P113" i="10"/>
  <c r="S113" i="10"/>
  <c r="P114" i="10"/>
  <c r="S114" i="10"/>
  <c r="P115" i="10"/>
  <c r="S115" i="10"/>
  <c r="P116" i="10"/>
  <c r="S116" i="10"/>
  <c r="P117" i="10"/>
  <c r="S117" i="10"/>
  <c r="P118" i="10"/>
  <c r="S118" i="10"/>
  <c r="P119" i="10"/>
  <c r="S119" i="10"/>
  <c r="P120" i="10"/>
  <c r="S120" i="10"/>
  <c r="P121" i="10"/>
  <c r="S121" i="10"/>
  <c r="P122" i="10"/>
  <c r="S122" i="10"/>
  <c r="P123" i="10"/>
  <c r="S123" i="10"/>
  <c r="P124" i="10"/>
  <c r="S124" i="10"/>
  <c r="S2" i="10"/>
  <c r="L2" i="10"/>
  <c r="L3" i="10"/>
  <c r="O3" i="10"/>
  <c r="L4" i="10"/>
  <c r="O4" i="10"/>
  <c r="L5" i="10"/>
  <c r="O5" i="10"/>
  <c r="L6" i="10"/>
  <c r="O6" i="10"/>
  <c r="L7" i="10"/>
  <c r="O7" i="10"/>
  <c r="L8" i="10"/>
  <c r="O8" i="10"/>
  <c r="L9" i="10"/>
  <c r="O9" i="10"/>
  <c r="L10" i="10"/>
  <c r="O10" i="10"/>
  <c r="L11" i="10"/>
  <c r="O11" i="10"/>
  <c r="L12" i="10"/>
  <c r="O12" i="10"/>
  <c r="L13" i="10"/>
  <c r="O13" i="10"/>
  <c r="L14" i="10"/>
  <c r="O14" i="10"/>
  <c r="L15" i="10"/>
  <c r="O15" i="10"/>
  <c r="L16" i="10"/>
  <c r="O16" i="10"/>
  <c r="L17" i="10"/>
  <c r="O17" i="10"/>
  <c r="L18" i="10"/>
  <c r="O18" i="10"/>
  <c r="L19" i="10"/>
  <c r="O19" i="10"/>
  <c r="L20" i="10"/>
  <c r="O20" i="10"/>
  <c r="L21" i="10"/>
  <c r="O21" i="10"/>
  <c r="L22" i="10"/>
  <c r="O22" i="10"/>
  <c r="L23" i="10"/>
  <c r="O23" i="10"/>
  <c r="L24" i="10"/>
  <c r="O24" i="10"/>
  <c r="L25" i="10"/>
  <c r="O25" i="10"/>
  <c r="L26" i="10"/>
  <c r="O26" i="10"/>
  <c r="L27" i="10"/>
  <c r="O27" i="10"/>
  <c r="L28" i="10"/>
  <c r="O28" i="10"/>
  <c r="L29" i="10"/>
  <c r="O29" i="10"/>
  <c r="L30" i="10"/>
  <c r="O30" i="10"/>
  <c r="L31" i="10"/>
  <c r="O31" i="10"/>
  <c r="L32" i="10"/>
  <c r="O32" i="10"/>
  <c r="L33" i="10"/>
  <c r="O33" i="10"/>
  <c r="L34" i="10"/>
  <c r="O34" i="10"/>
  <c r="L35" i="10"/>
  <c r="O35" i="10"/>
  <c r="L36" i="10"/>
  <c r="O36" i="10"/>
  <c r="L37" i="10"/>
  <c r="O37" i="10"/>
  <c r="L38" i="10"/>
  <c r="O38" i="10"/>
  <c r="L39" i="10"/>
  <c r="O39" i="10"/>
  <c r="L40" i="10"/>
  <c r="O40" i="10"/>
  <c r="L41" i="10"/>
  <c r="O41" i="10"/>
  <c r="L42" i="10"/>
  <c r="O42" i="10"/>
  <c r="L43" i="10"/>
  <c r="O43" i="10"/>
  <c r="L44" i="10"/>
  <c r="O44" i="10"/>
  <c r="L45" i="10"/>
  <c r="O45" i="10"/>
  <c r="L46" i="10"/>
  <c r="O46" i="10"/>
  <c r="L47" i="10"/>
  <c r="O47" i="10"/>
  <c r="L48" i="10"/>
  <c r="O48" i="10"/>
  <c r="L49" i="10"/>
  <c r="O49" i="10"/>
  <c r="L50" i="10"/>
  <c r="O50" i="10"/>
  <c r="L51" i="10"/>
  <c r="O51" i="10"/>
  <c r="L52" i="10"/>
  <c r="O52" i="10"/>
  <c r="L53" i="10"/>
  <c r="O53" i="10"/>
  <c r="L54" i="10"/>
  <c r="O54" i="10"/>
  <c r="L55" i="10"/>
  <c r="O55" i="10"/>
  <c r="L56" i="10"/>
  <c r="O56" i="10"/>
  <c r="L57" i="10"/>
  <c r="O57" i="10"/>
  <c r="L58" i="10"/>
  <c r="O58" i="10"/>
  <c r="L59" i="10"/>
  <c r="O59" i="10"/>
  <c r="L60" i="10"/>
  <c r="O60" i="10"/>
  <c r="L61" i="10"/>
  <c r="O61" i="10"/>
  <c r="L62" i="10"/>
  <c r="O62" i="10"/>
  <c r="L63" i="10"/>
  <c r="O63" i="10"/>
  <c r="L64" i="10"/>
  <c r="O64" i="10"/>
  <c r="L65" i="10"/>
  <c r="O65" i="10"/>
  <c r="L66" i="10"/>
  <c r="O66" i="10"/>
  <c r="L67" i="10"/>
  <c r="O67" i="10"/>
  <c r="L68" i="10"/>
  <c r="O68" i="10"/>
  <c r="L69" i="10"/>
  <c r="O69" i="10"/>
  <c r="L70" i="10"/>
  <c r="O70" i="10"/>
  <c r="L71" i="10"/>
  <c r="O71" i="10"/>
  <c r="L72" i="10"/>
  <c r="O72" i="10"/>
  <c r="L73" i="10"/>
  <c r="O73" i="10"/>
  <c r="L74" i="10"/>
  <c r="O74" i="10"/>
  <c r="L75" i="10"/>
  <c r="O75" i="10"/>
  <c r="L76" i="10"/>
  <c r="O76" i="10"/>
  <c r="L77" i="10"/>
  <c r="O77" i="10"/>
  <c r="L78" i="10"/>
  <c r="O78" i="10"/>
  <c r="L79" i="10"/>
  <c r="O79" i="10"/>
  <c r="L80" i="10"/>
  <c r="O80" i="10"/>
  <c r="L81" i="10"/>
  <c r="O81" i="10"/>
  <c r="L82" i="10"/>
  <c r="O82" i="10"/>
  <c r="L83" i="10"/>
  <c r="O83" i="10"/>
  <c r="L84" i="10"/>
  <c r="O84" i="10"/>
  <c r="L85" i="10"/>
  <c r="O85" i="10"/>
  <c r="L86" i="10"/>
  <c r="O86" i="10"/>
  <c r="L87" i="10"/>
  <c r="O87" i="10"/>
  <c r="L88" i="10"/>
  <c r="O88" i="10"/>
  <c r="L89" i="10"/>
  <c r="O89" i="10"/>
  <c r="L90" i="10"/>
  <c r="O90" i="10"/>
  <c r="L91" i="10"/>
  <c r="O91" i="10"/>
  <c r="L92" i="10"/>
  <c r="O92" i="10"/>
  <c r="L93" i="10"/>
  <c r="O93" i="10"/>
  <c r="L94" i="10"/>
  <c r="O94" i="10"/>
  <c r="L95" i="10"/>
  <c r="O95" i="10"/>
  <c r="L96" i="10"/>
  <c r="O96" i="10"/>
  <c r="L97" i="10"/>
  <c r="O97" i="10"/>
  <c r="L98" i="10"/>
  <c r="O98" i="10"/>
  <c r="L99" i="10"/>
  <c r="O99" i="10"/>
  <c r="L100" i="10"/>
  <c r="O100" i="10"/>
  <c r="L101" i="10"/>
  <c r="O101" i="10"/>
  <c r="L102" i="10"/>
  <c r="O102" i="10"/>
  <c r="L103" i="10"/>
  <c r="O103" i="10"/>
  <c r="L104" i="10"/>
  <c r="O104" i="10"/>
  <c r="L105" i="10"/>
  <c r="O105" i="10"/>
  <c r="L106" i="10"/>
  <c r="O106" i="10"/>
  <c r="L107" i="10"/>
  <c r="O107" i="10"/>
  <c r="L108" i="10"/>
  <c r="O108" i="10"/>
  <c r="L109" i="10"/>
  <c r="O109" i="10"/>
  <c r="L110" i="10"/>
  <c r="O110" i="10"/>
  <c r="L111" i="10"/>
  <c r="O111" i="10"/>
  <c r="L112" i="10"/>
  <c r="O112" i="10"/>
  <c r="L113" i="10"/>
  <c r="O113" i="10"/>
  <c r="L114" i="10"/>
  <c r="O114" i="10"/>
  <c r="L115" i="10"/>
  <c r="O115" i="10"/>
  <c r="L116" i="10"/>
  <c r="O116" i="10"/>
  <c r="L117" i="10"/>
  <c r="O117" i="10"/>
  <c r="L118" i="10"/>
  <c r="O118" i="10"/>
  <c r="L119" i="10"/>
  <c r="O119" i="10"/>
  <c r="L120" i="10"/>
  <c r="O120" i="10"/>
  <c r="L121" i="10"/>
  <c r="O121" i="10"/>
  <c r="L122" i="10"/>
  <c r="O122" i="10"/>
  <c r="L123" i="10"/>
  <c r="O123" i="10"/>
  <c r="L124" i="10"/>
  <c r="O124" i="10"/>
  <c r="O2"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3" i="10"/>
  <c r="B25" i="16"/>
  <c r="B24" i="16"/>
  <c r="B23" i="16"/>
  <c r="C11" i="16"/>
  <c r="C12" i="16"/>
  <c r="C13" i="16"/>
  <c r="C14" i="16"/>
  <c r="C17" i="16"/>
  <c r="F17" i="16"/>
  <c r="E17" i="16"/>
  <c r="B16" i="16"/>
  <c r="A16" i="16"/>
  <c r="C16" i="16"/>
  <c r="F16" i="16"/>
  <c r="E16" i="16"/>
  <c r="F15" i="16"/>
  <c r="E15" i="16"/>
  <c r="F14" i="16"/>
  <c r="E14" i="16"/>
  <c r="F13" i="16"/>
  <c r="E13" i="16"/>
  <c r="F12" i="16"/>
  <c r="E12" i="16"/>
  <c r="F11" i="16"/>
  <c r="E11" i="16"/>
  <c r="F10" i="16"/>
  <c r="E10" i="16"/>
  <c r="M7" i="16"/>
  <c r="C7" i="16"/>
  <c r="F7" i="16"/>
  <c r="M6" i="16"/>
  <c r="C6" i="16"/>
  <c r="F6" i="16"/>
  <c r="M5" i="16"/>
  <c r="C5" i="16"/>
  <c r="F5" i="16"/>
  <c r="M4" i="16"/>
  <c r="C4" i="16"/>
  <c r="F4" i="16"/>
  <c r="M3" i="16"/>
  <c r="C3" i="16"/>
  <c r="F3" i="16"/>
  <c r="M2" i="16"/>
  <c r="C2" i="16"/>
  <c r="F2" i="16"/>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M5" i="2"/>
  <c r="AN5" i="2"/>
  <c r="AM6" i="2"/>
  <c r="AN6"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N4" i="2"/>
  <c r="AM4" i="2"/>
  <c r="H5" i="7"/>
  <c r="H6" i="7"/>
  <c r="H7" i="7"/>
  <c r="H8" i="7"/>
  <c r="H9" i="7"/>
  <c r="H10" i="7"/>
  <c r="H11" i="7"/>
  <c r="H12" i="7"/>
  <c r="H13" i="7"/>
  <c r="H14" i="7"/>
  <c r="H15" i="7"/>
  <c r="H16" i="7"/>
  <c r="H17" i="7"/>
  <c r="H18" i="7"/>
  <c r="H19" i="7"/>
  <c r="H4" i="7"/>
  <c r="V6" i="10"/>
  <c r="Q3" i="10"/>
  <c r="R3" i="10"/>
  <c r="Q4" i="10"/>
  <c r="R4" i="10"/>
  <c r="Q5" i="10"/>
  <c r="R5" i="10"/>
  <c r="Q6" i="10"/>
  <c r="R6" i="10"/>
  <c r="Q7" i="10"/>
  <c r="R7" i="10"/>
  <c r="Q8" i="10"/>
  <c r="R8" i="10"/>
  <c r="Q9" i="10"/>
  <c r="R9" i="10"/>
  <c r="Q10" i="10"/>
  <c r="R10" i="10"/>
  <c r="Q11" i="10"/>
  <c r="R11" i="10"/>
  <c r="Q12" i="10"/>
  <c r="R12" i="10"/>
  <c r="Q13" i="10"/>
  <c r="R13" i="10"/>
  <c r="Q14" i="10"/>
  <c r="R14" i="10"/>
  <c r="Q15" i="10"/>
  <c r="R15" i="10"/>
  <c r="Q16" i="10"/>
  <c r="R16" i="10"/>
  <c r="Q17" i="10"/>
  <c r="R17" i="10"/>
  <c r="Q18" i="10"/>
  <c r="R18" i="10"/>
  <c r="Q19" i="10"/>
  <c r="R19" i="10"/>
  <c r="Q20" i="10"/>
  <c r="R20" i="10"/>
  <c r="Q21" i="10"/>
  <c r="R21" i="10"/>
  <c r="Q22" i="10"/>
  <c r="R22" i="10"/>
  <c r="Q23" i="10"/>
  <c r="R23" i="10"/>
  <c r="Q24" i="10"/>
  <c r="R24" i="10"/>
  <c r="Q25" i="10"/>
  <c r="R25" i="10"/>
  <c r="Q26" i="10"/>
  <c r="R26" i="10"/>
  <c r="Q27" i="10"/>
  <c r="R27" i="10"/>
  <c r="Q28" i="10"/>
  <c r="R28" i="10"/>
  <c r="Q29" i="10"/>
  <c r="R29" i="10"/>
  <c r="Q30" i="10"/>
  <c r="R30" i="10"/>
  <c r="Q31" i="10"/>
  <c r="R31" i="10"/>
  <c r="Q32" i="10"/>
  <c r="R32" i="10"/>
  <c r="Q33" i="10"/>
  <c r="R33" i="10"/>
  <c r="Q34" i="10"/>
  <c r="R34" i="10"/>
  <c r="Q35" i="10"/>
  <c r="R35" i="10"/>
  <c r="Q36" i="10"/>
  <c r="R36" i="10"/>
  <c r="Q37" i="10"/>
  <c r="R37" i="10"/>
  <c r="Q38" i="10"/>
  <c r="R38" i="10"/>
  <c r="Q39" i="10"/>
  <c r="R39" i="10"/>
  <c r="Q40" i="10"/>
  <c r="R40" i="10"/>
  <c r="Q41" i="10"/>
  <c r="R41" i="10"/>
  <c r="Q42" i="10"/>
  <c r="R42" i="10"/>
  <c r="Q43" i="10"/>
  <c r="R43" i="10"/>
  <c r="Q44" i="10"/>
  <c r="R44" i="10"/>
  <c r="Q45" i="10"/>
  <c r="R45" i="10"/>
  <c r="Q46" i="10"/>
  <c r="R46" i="10"/>
  <c r="Q47" i="10"/>
  <c r="R47" i="10"/>
  <c r="Q48" i="10"/>
  <c r="R48" i="10"/>
  <c r="Q49" i="10"/>
  <c r="R49" i="10"/>
  <c r="Q50" i="10"/>
  <c r="R50" i="10"/>
  <c r="Q51" i="10"/>
  <c r="R51" i="10"/>
  <c r="Q52" i="10"/>
  <c r="R52" i="10"/>
  <c r="Q53" i="10"/>
  <c r="R53" i="10"/>
  <c r="Q54" i="10"/>
  <c r="R54" i="10"/>
  <c r="Q55" i="10"/>
  <c r="R55" i="10"/>
  <c r="Q56" i="10"/>
  <c r="R56" i="10"/>
  <c r="Q57" i="10"/>
  <c r="R57" i="10"/>
  <c r="Q58" i="10"/>
  <c r="R58" i="10"/>
  <c r="Q59" i="10"/>
  <c r="R59" i="10"/>
  <c r="Q60" i="10"/>
  <c r="R60" i="10"/>
  <c r="Q61" i="10"/>
  <c r="R61" i="10"/>
  <c r="Q62" i="10"/>
  <c r="R62" i="10"/>
  <c r="Q63" i="10"/>
  <c r="R63" i="10"/>
  <c r="Q64" i="10"/>
  <c r="R64" i="10"/>
  <c r="Q65" i="10"/>
  <c r="R65" i="10"/>
  <c r="Q66" i="10"/>
  <c r="R66" i="10"/>
  <c r="Q67" i="10"/>
  <c r="R67" i="10"/>
  <c r="Q68" i="10"/>
  <c r="R68" i="10"/>
  <c r="Q69" i="10"/>
  <c r="R69" i="10"/>
  <c r="Q70" i="10"/>
  <c r="R70" i="10"/>
  <c r="Q71" i="10"/>
  <c r="R71" i="10"/>
  <c r="Q72" i="10"/>
  <c r="R72" i="10"/>
  <c r="Q73" i="10"/>
  <c r="R73" i="10"/>
  <c r="Q74" i="10"/>
  <c r="R74" i="10"/>
  <c r="Q75" i="10"/>
  <c r="R75" i="10"/>
  <c r="Q76" i="10"/>
  <c r="R76" i="10"/>
  <c r="Q77" i="10"/>
  <c r="R77" i="10"/>
  <c r="Q78" i="10"/>
  <c r="R78" i="10"/>
  <c r="Q79" i="10"/>
  <c r="R79" i="10"/>
  <c r="Q80" i="10"/>
  <c r="R80" i="10"/>
  <c r="Q81" i="10"/>
  <c r="R81" i="10"/>
  <c r="Q82" i="10"/>
  <c r="R82" i="10"/>
  <c r="Q83" i="10"/>
  <c r="R83" i="10"/>
  <c r="Q84" i="10"/>
  <c r="R84" i="10"/>
  <c r="Q85" i="10"/>
  <c r="R85" i="10"/>
  <c r="Q86" i="10"/>
  <c r="R86" i="10"/>
  <c r="Q87" i="10"/>
  <c r="R87" i="10"/>
  <c r="Q88" i="10"/>
  <c r="R88" i="10"/>
  <c r="Q89" i="10"/>
  <c r="R89" i="10"/>
  <c r="Q90" i="10"/>
  <c r="R90" i="10"/>
  <c r="Q91" i="10"/>
  <c r="R91" i="10"/>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Q108" i="10"/>
  <c r="R108" i="10"/>
  <c r="Q109" i="10"/>
  <c r="R109" i="10"/>
  <c r="Q110" i="10"/>
  <c r="R110" i="10"/>
  <c r="Q111" i="10"/>
  <c r="R111" i="10"/>
  <c r="Q112" i="10"/>
  <c r="R112" i="10"/>
  <c r="Q113" i="10"/>
  <c r="R113" i="10"/>
  <c r="Q114" i="10"/>
  <c r="R114" i="10"/>
  <c r="Q115" i="10"/>
  <c r="R115" i="10"/>
  <c r="Q116" i="10"/>
  <c r="R116" i="10"/>
  <c r="Q117" i="10"/>
  <c r="R117" i="10"/>
  <c r="Q118" i="10"/>
  <c r="R118" i="10"/>
  <c r="Q119" i="10"/>
  <c r="R119" i="10"/>
  <c r="Q120" i="10"/>
  <c r="R120" i="10"/>
  <c r="Q121" i="10"/>
  <c r="R121" i="10"/>
  <c r="Q122" i="10"/>
  <c r="R122" i="10"/>
  <c r="Q123" i="10"/>
  <c r="R123" i="10"/>
  <c r="Q124" i="10"/>
  <c r="R124" i="10"/>
  <c r="R2" i="10"/>
  <c r="Q2" i="10"/>
  <c r="M3" i="10"/>
  <c r="N3" i="10"/>
  <c r="M4" i="10"/>
  <c r="N4" i="10"/>
  <c r="M5" i="10"/>
  <c r="N5" i="10"/>
  <c r="M6" i="10"/>
  <c r="N6" i="10"/>
  <c r="M7" i="10"/>
  <c r="N7" i="10"/>
  <c r="M8" i="10"/>
  <c r="N8" i="10"/>
  <c r="M9" i="10"/>
  <c r="N9" i="10"/>
  <c r="M10" i="10"/>
  <c r="N10" i="10"/>
  <c r="M11" i="10"/>
  <c r="N11" i="10"/>
  <c r="M12" i="10"/>
  <c r="N12" i="10"/>
  <c r="M13" i="10"/>
  <c r="N13" i="10"/>
  <c r="M14" i="10"/>
  <c r="N14" i="10"/>
  <c r="M15" i="10"/>
  <c r="N15" i="10"/>
  <c r="M16" i="10"/>
  <c r="N16" i="10"/>
  <c r="M17" i="10"/>
  <c r="N17" i="10"/>
  <c r="M18" i="10"/>
  <c r="N18" i="10"/>
  <c r="M19" i="10"/>
  <c r="N19" i="10"/>
  <c r="M20" i="10"/>
  <c r="N20" i="10"/>
  <c r="M21" i="10"/>
  <c r="N21" i="10"/>
  <c r="M22" i="10"/>
  <c r="N22" i="10"/>
  <c r="M23" i="10"/>
  <c r="N23" i="10"/>
  <c r="M24" i="10"/>
  <c r="N24" i="10"/>
  <c r="M25" i="10"/>
  <c r="N25" i="10"/>
  <c r="M26" i="10"/>
  <c r="N26" i="10"/>
  <c r="M27" i="10"/>
  <c r="N27" i="10"/>
  <c r="M28" i="10"/>
  <c r="N28" i="10"/>
  <c r="M29" i="10"/>
  <c r="N29" i="10"/>
  <c r="M30" i="10"/>
  <c r="N30" i="10"/>
  <c r="M31" i="10"/>
  <c r="N31" i="10"/>
  <c r="M32" i="10"/>
  <c r="N32" i="10"/>
  <c r="M33" i="10"/>
  <c r="N33" i="10"/>
  <c r="M34" i="10"/>
  <c r="N34" i="10"/>
  <c r="M35" i="10"/>
  <c r="N35" i="10"/>
  <c r="M36" i="10"/>
  <c r="N36" i="10"/>
  <c r="M37" i="10"/>
  <c r="N37" i="10"/>
  <c r="M38" i="10"/>
  <c r="N38" i="10"/>
  <c r="M39" i="10"/>
  <c r="N39" i="10"/>
  <c r="M40" i="10"/>
  <c r="N40" i="10"/>
  <c r="M41" i="10"/>
  <c r="N41" i="10"/>
  <c r="M42" i="10"/>
  <c r="N42" i="10"/>
  <c r="M43" i="10"/>
  <c r="N43" i="10"/>
  <c r="M44" i="10"/>
  <c r="N44" i="10"/>
  <c r="M45" i="10"/>
  <c r="N45" i="10"/>
  <c r="M46" i="10"/>
  <c r="N46" i="10"/>
  <c r="M47" i="10"/>
  <c r="N47" i="10"/>
  <c r="M48" i="10"/>
  <c r="N48" i="10"/>
  <c r="M49" i="10"/>
  <c r="N49" i="10"/>
  <c r="M50" i="10"/>
  <c r="N50" i="10"/>
  <c r="M51" i="10"/>
  <c r="N51" i="10"/>
  <c r="M52" i="10"/>
  <c r="N52" i="10"/>
  <c r="M53" i="10"/>
  <c r="N53" i="10"/>
  <c r="M54" i="10"/>
  <c r="N54" i="10"/>
  <c r="M55" i="10"/>
  <c r="N55" i="10"/>
  <c r="M56" i="10"/>
  <c r="N56" i="10"/>
  <c r="M57" i="10"/>
  <c r="N57" i="10"/>
  <c r="M58" i="10"/>
  <c r="N58" i="10"/>
  <c r="M59" i="10"/>
  <c r="N59" i="10"/>
  <c r="M60" i="10"/>
  <c r="N60" i="10"/>
  <c r="M61" i="10"/>
  <c r="N61" i="10"/>
  <c r="M62" i="10"/>
  <c r="N62" i="10"/>
  <c r="M63" i="10"/>
  <c r="N63" i="10"/>
  <c r="M64" i="10"/>
  <c r="N64" i="10"/>
  <c r="M65" i="10"/>
  <c r="N65" i="10"/>
  <c r="M66" i="10"/>
  <c r="N66" i="10"/>
  <c r="M67" i="10"/>
  <c r="N67" i="10"/>
  <c r="M68" i="10"/>
  <c r="N68" i="10"/>
  <c r="M69" i="10"/>
  <c r="N69" i="10"/>
  <c r="M70" i="10"/>
  <c r="N70" i="10"/>
  <c r="M71" i="10"/>
  <c r="N71" i="10"/>
  <c r="M72" i="10"/>
  <c r="N72" i="10"/>
  <c r="M73" i="10"/>
  <c r="N73" i="10"/>
  <c r="M74" i="10"/>
  <c r="N74" i="10"/>
  <c r="M75" i="10"/>
  <c r="N75" i="10"/>
  <c r="M76" i="10"/>
  <c r="N76" i="10"/>
  <c r="M77" i="10"/>
  <c r="N77" i="10"/>
  <c r="M78" i="10"/>
  <c r="N78" i="10"/>
  <c r="M79" i="10"/>
  <c r="N79" i="10"/>
  <c r="M80" i="10"/>
  <c r="N80" i="10"/>
  <c r="M81" i="10"/>
  <c r="N81" i="10"/>
  <c r="M82" i="10"/>
  <c r="N82" i="10"/>
  <c r="M83" i="10"/>
  <c r="N83" i="10"/>
  <c r="M84" i="10"/>
  <c r="N84" i="10"/>
  <c r="M85" i="10"/>
  <c r="N85" i="10"/>
  <c r="M86" i="10"/>
  <c r="N86" i="10"/>
  <c r="M87" i="10"/>
  <c r="N87" i="10"/>
  <c r="M88" i="10"/>
  <c r="N88" i="10"/>
  <c r="M89" i="10"/>
  <c r="N89" i="10"/>
  <c r="M90" i="10"/>
  <c r="N90" i="10"/>
  <c r="M91" i="10"/>
  <c r="N91" i="10"/>
  <c r="M92" i="10"/>
  <c r="N92" i="10"/>
  <c r="M93" i="10"/>
  <c r="N93" i="10"/>
  <c r="M94" i="10"/>
  <c r="N94" i="10"/>
  <c r="M95" i="10"/>
  <c r="N95" i="10"/>
  <c r="M96" i="10"/>
  <c r="N96" i="10"/>
  <c r="M97" i="10"/>
  <c r="N97" i="10"/>
  <c r="M98" i="10"/>
  <c r="N98" i="10"/>
  <c r="M99" i="10"/>
  <c r="N99" i="10"/>
  <c r="M100" i="10"/>
  <c r="N100" i="10"/>
  <c r="M101" i="10"/>
  <c r="N101" i="10"/>
  <c r="M102" i="10"/>
  <c r="N102" i="10"/>
  <c r="M103" i="10"/>
  <c r="N103" i="10"/>
  <c r="M104" i="10"/>
  <c r="N104" i="10"/>
  <c r="M105" i="10"/>
  <c r="N105" i="10"/>
  <c r="M106" i="10"/>
  <c r="N106" i="10"/>
  <c r="M107" i="10"/>
  <c r="N107" i="10"/>
  <c r="M108" i="10"/>
  <c r="N108" i="10"/>
  <c r="M109" i="10"/>
  <c r="N109" i="10"/>
  <c r="M110" i="10"/>
  <c r="N110" i="10"/>
  <c r="M111" i="10"/>
  <c r="N111" i="10"/>
  <c r="M112" i="10"/>
  <c r="N112" i="10"/>
  <c r="M113" i="10"/>
  <c r="N113" i="10"/>
  <c r="M114" i="10"/>
  <c r="N114" i="10"/>
  <c r="M115" i="10"/>
  <c r="N115" i="10"/>
  <c r="M116" i="10"/>
  <c r="N116" i="10"/>
  <c r="M117" i="10"/>
  <c r="N117" i="10"/>
  <c r="M118" i="10"/>
  <c r="N118" i="10"/>
  <c r="M119" i="10"/>
  <c r="N119" i="10"/>
  <c r="M120" i="10"/>
  <c r="N120" i="10"/>
  <c r="M121" i="10"/>
  <c r="N121" i="10"/>
  <c r="M122" i="10"/>
  <c r="N122" i="10"/>
  <c r="M123" i="10"/>
  <c r="N123" i="10"/>
  <c r="M124" i="10"/>
  <c r="N124" i="10"/>
  <c r="N2" i="10"/>
  <c r="M2" i="10"/>
  <c r="G16" i="14"/>
  <c r="H16" i="14"/>
  <c r="I16" i="14"/>
  <c r="J16" i="14"/>
  <c r="J17" i="14"/>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4" i="2"/>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3" i="10"/>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G13" i="14"/>
  <c r="H13" i="14"/>
  <c r="J13" i="14"/>
  <c r="G14" i="14"/>
  <c r="H14" i="14"/>
  <c r="I14" i="14"/>
  <c r="J14" i="14"/>
  <c r="G15" i="14"/>
  <c r="H15" i="14"/>
  <c r="I15" i="14"/>
  <c r="J15" i="14"/>
  <c r="L16" i="14"/>
  <c r="L15" i="14"/>
  <c r="L14" i="14"/>
  <c r="L13" i="14"/>
  <c r="G4" i="14"/>
  <c r="H4" i="14"/>
  <c r="J4" i="14"/>
  <c r="G5" i="14"/>
  <c r="H5" i="14"/>
  <c r="I5" i="14"/>
  <c r="J5" i="14"/>
  <c r="G6" i="14"/>
  <c r="H6" i="14"/>
  <c r="I6" i="14"/>
  <c r="J6" i="14"/>
  <c r="G7" i="14"/>
  <c r="H7" i="14"/>
  <c r="I7" i="14"/>
  <c r="J7" i="14"/>
  <c r="J8" i="14"/>
  <c r="L7" i="14"/>
  <c r="L6" i="14"/>
  <c r="L5" i="14"/>
  <c r="L4" i="14"/>
  <c r="V8" i="10"/>
  <c r="V7" i="10"/>
  <c r="AC4" i="2"/>
  <c r="AC5" i="2"/>
  <c r="Y6" i="2"/>
  <c r="AC6" i="2"/>
  <c r="AD4" i="2"/>
  <c r="AD5" i="2"/>
  <c r="AD6" i="2"/>
  <c r="Y7" i="2"/>
  <c r="AC7" i="2"/>
  <c r="AD7" i="2"/>
  <c r="Y8" i="2"/>
  <c r="AC8" i="2"/>
  <c r="AD8" i="2"/>
  <c r="Y9" i="2"/>
  <c r="AC9" i="2"/>
  <c r="AD9" i="2"/>
  <c r="Y10" i="2"/>
  <c r="AC10" i="2"/>
  <c r="AD10" i="2"/>
  <c r="Y11" i="2"/>
  <c r="AC11" i="2"/>
  <c r="AD11" i="2"/>
  <c r="Y12" i="2"/>
  <c r="AC12" i="2"/>
  <c r="AD12" i="2"/>
  <c r="Y13" i="2"/>
  <c r="AC13" i="2"/>
  <c r="AD13" i="2"/>
  <c r="Y14" i="2"/>
  <c r="AC14" i="2"/>
  <c r="AD14" i="2"/>
  <c r="Y15" i="2"/>
  <c r="AC15" i="2"/>
  <c r="AD15" i="2"/>
  <c r="Y16" i="2"/>
  <c r="AC16" i="2"/>
  <c r="AD16" i="2"/>
  <c r="Y17" i="2"/>
  <c r="AC17" i="2"/>
  <c r="AD17" i="2"/>
  <c r="Y18" i="2"/>
  <c r="AC18" i="2"/>
  <c r="AD18" i="2"/>
  <c r="Y19" i="2"/>
  <c r="AC19" i="2"/>
  <c r="AD19" i="2"/>
  <c r="Y20" i="2"/>
  <c r="AC20" i="2"/>
  <c r="AD20" i="2"/>
  <c r="Y21" i="2"/>
  <c r="AC21" i="2"/>
  <c r="AD21" i="2"/>
  <c r="Y22" i="2"/>
  <c r="AC22" i="2"/>
  <c r="AD22" i="2"/>
  <c r="Y23" i="2"/>
  <c r="AC23" i="2"/>
  <c r="AD23" i="2"/>
  <c r="Y24" i="2"/>
  <c r="AC24" i="2"/>
  <c r="AD24" i="2"/>
  <c r="Y25" i="2"/>
  <c r="AC25" i="2"/>
  <c r="AD25" i="2"/>
  <c r="Y26" i="2"/>
  <c r="AC26" i="2"/>
  <c r="AD26" i="2"/>
  <c r="Y27" i="2"/>
  <c r="AC27" i="2"/>
  <c r="AD27" i="2"/>
  <c r="Y28" i="2"/>
  <c r="AC28" i="2"/>
  <c r="AD28" i="2"/>
  <c r="Y29" i="2"/>
  <c r="AC29" i="2"/>
  <c r="AD29" i="2"/>
  <c r="Y30" i="2"/>
  <c r="AC30" i="2"/>
  <c r="AD30" i="2"/>
  <c r="Y31" i="2"/>
  <c r="AC31" i="2"/>
  <c r="AD31" i="2"/>
  <c r="Y32" i="2"/>
  <c r="AC32" i="2"/>
  <c r="AD32" i="2"/>
  <c r="Y33" i="2"/>
  <c r="AC33" i="2"/>
  <c r="AD33" i="2"/>
  <c r="Y34" i="2"/>
  <c r="AC34" i="2"/>
  <c r="AD34" i="2"/>
  <c r="Y35" i="2"/>
  <c r="AC35" i="2"/>
  <c r="AD35" i="2"/>
  <c r="Y36" i="2"/>
  <c r="AC36" i="2"/>
  <c r="AD36" i="2"/>
  <c r="Y37" i="2"/>
  <c r="AC37" i="2"/>
  <c r="AD37" i="2"/>
  <c r="Y38" i="2"/>
  <c r="AC38" i="2"/>
  <c r="AD38" i="2"/>
  <c r="Y39" i="2"/>
  <c r="AC39" i="2"/>
  <c r="AD39" i="2"/>
  <c r="Y40" i="2"/>
  <c r="AC40" i="2"/>
  <c r="AD40" i="2"/>
  <c r="Y41" i="2"/>
  <c r="AC41" i="2"/>
  <c r="AD41" i="2"/>
  <c r="Y42" i="2"/>
  <c r="AC42" i="2"/>
  <c r="AD42" i="2"/>
  <c r="Y43" i="2"/>
  <c r="AC43" i="2"/>
  <c r="AD43" i="2"/>
  <c r="Y44" i="2"/>
  <c r="AC44" i="2"/>
  <c r="AD44" i="2"/>
  <c r="Y45" i="2"/>
  <c r="AC45" i="2"/>
  <c r="AD45" i="2"/>
  <c r="Y46" i="2"/>
  <c r="AC46" i="2"/>
  <c r="AD46" i="2"/>
  <c r="Y47" i="2"/>
  <c r="AC47" i="2"/>
  <c r="AD47" i="2"/>
  <c r="Y48" i="2"/>
  <c r="AC48" i="2"/>
  <c r="AD48" i="2"/>
  <c r="Y49" i="2"/>
  <c r="AC49" i="2"/>
  <c r="AD49" i="2"/>
  <c r="Y50" i="2"/>
  <c r="AC50" i="2"/>
  <c r="AD50" i="2"/>
  <c r="Y51" i="2"/>
  <c r="AC51" i="2"/>
  <c r="AD51" i="2"/>
  <c r="Y52" i="2"/>
  <c r="AC52" i="2"/>
  <c r="AD52" i="2"/>
  <c r="Y53" i="2"/>
  <c r="AC53" i="2"/>
  <c r="AD53" i="2"/>
  <c r="AA5" i="2"/>
  <c r="AB5" i="2"/>
  <c r="AA6" i="2"/>
  <c r="AB6" i="2"/>
  <c r="AA7" i="2"/>
  <c r="AB7" i="2"/>
  <c r="AA8" i="2"/>
  <c r="AB8" i="2"/>
  <c r="AA9" i="2"/>
  <c r="AB9" i="2"/>
  <c r="AA10" i="2"/>
  <c r="AB10" i="2"/>
  <c r="AA11" i="2"/>
  <c r="AB11" i="2"/>
  <c r="AA12" i="2"/>
  <c r="AB12" i="2"/>
  <c r="AA13" i="2"/>
  <c r="AB13" i="2"/>
  <c r="AA14" i="2"/>
  <c r="AB14" i="2"/>
  <c r="AA15" i="2"/>
  <c r="AB15" i="2"/>
  <c r="AA16" i="2"/>
  <c r="AB16" i="2"/>
  <c r="AA17" i="2"/>
  <c r="AB17" i="2"/>
  <c r="AA18" i="2"/>
  <c r="AB18" i="2"/>
  <c r="AA19" i="2"/>
  <c r="AB19" i="2"/>
  <c r="AA20" i="2"/>
  <c r="AB20" i="2"/>
  <c r="AA21" i="2"/>
  <c r="AB21" i="2"/>
  <c r="AA22" i="2"/>
  <c r="AB22" i="2"/>
  <c r="AA23" i="2"/>
  <c r="AB23" i="2"/>
  <c r="AA24" i="2"/>
  <c r="AB24" i="2"/>
  <c r="AA25" i="2"/>
  <c r="AB25" i="2"/>
  <c r="AA26" i="2"/>
  <c r="AB26" i="2"/>
  <c r="AA27" i="2"/>
  <c r="AB27" i="2"/>
  <c r="AA28" i="2"/>
  <c r="AB28" i="2"/>
  <c r="AA29" i="2"/>
  <c r="AB29" i="2"/>
  <c r="AA30" i="2"/>
  <c r="AB30" i="2"/>
  <c r="AA31" i="2"/>
  <c r="AB31" i="2"/>
  <c r="AA32" i="2"/>
  <c r="AB32" i="2"/>
  <c r="AA33" i="2"/>
  <c r="AB33" i="2"/>
  <c r="AA34" i="2"/>
  <c r="AB34" i="2"/>
  <c r="AA35" i="2"/>
  <c r="AB35" i="2"/>
  <c r="AA36" i="2"/>
  <c r="AB36" i="2"/>
  <c r="AA37" i="2"/>
  <c r="AB37" i="2"/>
  <c r="AA38" i="2"/>
  <c r="AB38" i="2"/>
  <c r="AA39" i="2"/>
  <c r="AB39" i="2"/>
  <c r="AA40" i="2"/>
  <c r="AB40" i="2"/>
  <c r="AA41" i="2"/>
  <c r="AB41" i="2"/>
  <c r="AA42" i="2"/>
  <c r="AB42" i="2"/>
  <c r="AA43" i="2"/>
  <c r="AB43" i="2"/>
  <c r="AA44" i="2"/>
  <c r="AB44" i="2"/>
  <c r="AA45" i="2"/>
  <c r="AB45" i="2"/>
  <c r="AA46" i="2"/>
  <c r="AB46" i="2"/>
  <c r="AA47" i="2"/>
  <c r="AB47" i="2"/>
  <c r="AA48" i="2"/>
  <c r="AB48" i="2"/>
  <c r="AA49" i="2"/>
  <c r="AB49" i="2"/>
  <c r="AA50" i="2"/>
  <c r="AB50" i="2"/>
  <c r="AA51" i="2"/>
  <c r="AB51" i="2"/>
  <c r="AA52" i="2"/>
  <c r="AB52" i="2"/>
  <c r="AA53" i="2"/>
  <c r="AB53" i="2"/>
  <c r="AB4" i="2"/>
  <c r="S48" i="2"/>
  <c r="U48" i="2"/>
  <c r="T48" i="2"/>
  <c r="V48" i="2"/>
  <c r="W48" i="2"/>
  <c r="X48" i="2"/>
  <c r="S49" i="2"/>
  <c r="U49" i="2"/>
  <c r="T49" i="2"/>
  <c r="V49" i="2"/>
  <c r="W49" i="2"/>
  <c r="X49" i="2"/>
  <c r="S50" i="2"/>
  <c r="U50" i="2"/>
  <c r="T50" i="2"/>
  <c r="V50" i="2"/>
  <c r="W50" i="2"/>
  <c r="X50" i="2"/>
  <c r="S51" i="2"/>
  <c r="U51" i="2"/>
  <c r="T51" i="2"/>
  <c r="V51" i="2"/>
  <c r="W51" i="2"/>
  <c r="X51" i="2"/>
  <c r="S52" i="2"/>
  <c r="U52" i="2"/>
  <c r="T52" i="2"/>
  <c r="V52" i="2"/>
  <c r="W52" i="2"/>
  <c r="X52" i="2"/>
  <c r="S53" i="2"/>
  <c r="U53" i="2"/>
  <c r="T53" i="2"/>
  <c r="V53" i="2"/>
  <c r="W53" i="2"/>
  <c r="X53" i="2"/>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5" i="5"/>
  <c r="O4" i="5"/>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B29" i="8"/>
  <c r="A19" i="9"/>
  <c r="A10" i="9"/>
  <c r="A1" i="9"/>
  <c r="D1" i="9"/>
  <c r="D10" i="9"/>
  <c r="D19" i="9"/>
  <c r="G10" i="9"/>
  <c r="G1" i="9"/>
  <c r="H12" i="9"/>
  <c r="H11" i="9"/>
  <c r="B12" i="9"/>
  <c r="B21" i="9"/>
  <c r="B11" i="9"/>
  <c r="B20" i="9"/>
  <c r="E12" i="9"/>
  <c r="E21" i="9"/>
  <c r="E11" i="9"/>
  <c r="E20" i="9"/>
  <c r="C20" i="8"/>
  <c r="B17" i="8"/>
  <c r="B14" i="8"/>
  <c r="B11" i="8"/>
  <c r="I5" i="1"/>
  <c r="E9" i="1"/>
  <c r="E10" i="1"/>
  <c r="E12" i="1"/>
  <c r="E13" i="1"/>
  <c r="E14" i="1"/>
  <c r="E16" i="1"/>
  <c r="E17" i="1"/>
  <c r="E20" i="1"/>
  <c r="E21" i="1"/>
  <c r="E24" i="1"/>
  <c r="E26" i="1"/>
  <c r="E28" i="1"/>
  <c r="E34" i="1"/>
  <c r="E40" i="1"/>
  <c r="E42" i="1"/>
  <c r="E45" i="1"/>
  <c r="E48" i="1"/>
  <c r="E52" i="1"/>
  <c r="E56" i="1"/>
  <c r="E61" i="1"/>
  <c r="E66" i="1"/>
  <c r="E68" i="1"/>
  <c r="E69" i="1"/>
  <c r="E76" i="1"/>
  <c r="E77" i="1"/>
  <c r="E80" i="1"/>
  <c r="E82" i="1"/>
  <c r="E84" i="1"/>
  <c r="E90" i="1"/>
  <c r="E96" i="1"/>
  <c r="E98" i="1"/>
  <c r="E101" i="1"/>
  <c r="E104" i="1"/>
  <c r="E108" i="1"/>
  <c r="E112" i="1"/>
  <c r="E117" i="1"/>
  <c r="E122" i="1"/>
  <c r="E124" i="1"/>
  <c r="E125" i="1"/>
  <c r="E128" i="1"/>
  <c r="E130" i="1"/>
  <c r="E132" i="1"/>
  <c r="E133" i="1"/>
  <c r="E136" i="1"/>
  <c r="E138"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7" i="1"/>
  <c r="E6" i="1"/>
  <c r="H7" i="1"/>
  <c r="H8" i="1"/>
  <c r="I9" i="1"/>
  <c r="H9" i="1"/>
  <c r="I10" i="1"/>
  <c r="H10" i="1"/>
  <c r="I11" i="1"/>
  <c r="H11" i="1"/>
  <c r="I12" i="1"/>
  <c r="H12" i="1"/>
  <c r="I13" i="1"/>
  <c r="H13" i="1"/>
  <c r="I14" i="1"/>
  <c r="H14" i="1"/>
  <c r="I15" i="1"/>
  <c r="H15" i="1"/>
  <c r="I16" i="1"/>
  <c r="H16" i="1"/>
  <c r="I17" i="1"/>
  <c r="H17" i="1"/>
  <c r="I18" i="1"/>
  <c r="H18" i="1"/>
  <c r="I19" i="1"/>
  <c r="H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I61" i="1"/>
  <c r="H61" i="1"/>
  <c r="I62" i="1"/>
  <c r="H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H93" i="1"/>
  <c r="I94" i="1"/>
  <c r="H94" i="1"/>
  <c r="I95" i="1"/>
  <c r="H95" i="1"/>
  <c r="I96" i="1"/>
  <c r="H96" i="1"/>
  <c r="I97" i="1"/>
  <c r="H97" i="1"/>
  <c r="I98" i="1"/>
  <c r="H98" i="1"/>
  <c r="I99" i="1"/>
  <c r="H99" i="1"/>
  <c r="I100" i="1"/>
  <c r="H100" i="1"/>
  <c r="I101" i="1"/>
  <c r="H101" i="1"/>
  <c r="I102" i="1"/>
  <c r="H102" i="1"/>
  <c r="I103" i="1"/>
  <c r="H103" i="1"/>
  <c r="I104" i="1"/>
  <c r="H104" i="1"/>
  <c r="I105" i="1"/>
  <c r="H105" i="1"/>
  <c r="I106" i="1"/>
  <c r="H106" i="1"/>
  <c r="I107" i="1"/>
  <c r="H107" i="1"/>
  <c r="I108" i="1"/>
  <c r="H108" i="1"/>
  <c r="I109" i="1"/>
  <c r="H109" i="1"/>
  <c r="I110" i="1"/>
  <c r="H110" i="1"/>
  <c r="I111" i="1"/>
  <c r="H111" i="1"/>
  <c r="I112" i="1"/>
  <c r="H112" i="1"/>
  <c r="I113" i="1"/>
  <c r="H113" i="1"/>
  <c r="I114" i="1"/>
  <c r="H114" i="1"/>
  <c r="I115" i="1"/>
  <c r="H115" i="1"/>
  <c r="I116" i="1"/>
  <c r="H116" i="1"/>
  <c r="I117" i="1"/>
  <c r="H117" i="1"/>
  <c r="I118" i="1"/>
  <c r="H118" i="1"/>
  <c r="I119" i="1"/>
  <c r="H119" i="1"/>
  <c r="I120" i="1"/>
  <c r="H120" i="1"/>
  <c r="I121" i="1"/>
  <c r="H121" i="1"/>
  <c r="I122" i="1"/>
  <c r="H122" i="1"/>
  <c r="I123" i="1"/>
  <c r="H123" i="1"/>
  <c r="I124" i="1"/>
  <c r="H124" i="1"/>
  <c r="I125" i="1"/>
  <c r="H125" i="1"/>
  <c r="I126" i="1"/>
  <c r="H126" i="1"/>
  <c r="I127" i="1"/>
  <c r="H127" i="1"/>
  <c r="I128" i="1"/>
  <c r="H128" i="1"/>
  <c r="I129" i="1"/>
  <c r="H129" i="1"/>
  <c r="I130" i="1"/>
  <c r="H130" i="1"/>
  <c r="I131" i="1"/>
  <c r="H131" i="1"/>
  <c r="I132" i="1"/>
  <c r="H132" i="1"/>
  <c r="I133" i="1"/>
  <c r="H133" i="1"/>
  <c r="I134" i="1"/>
  <c r="H134" i="1"/>
  <c r="I135" i="1"/>
  <c r="H135" i="1"/>
  <c r="I136" i="1"/>
  <c r="H136" i="1"/>
  <c r="I137" i="1"/>
  <c r="H137" i="1"/>
  <c r="I138" i="1"/>
  <c r="H138" i="1"/>
  <c r="I139" i="1"/>
  <c r="H139" i="1"/>
  <c r="I140" i="1"/>
  <c r="H140" i="1"/>
  <c r="I141" i="1"/>
  <c r="H141" i="1"/>
  <c r="I142" i="1"/>
  <c r="H142" i="1"/>
  <c r="I143" i="1"/>
  <c r="H143" i="1"/>
  <c r="I144" i="1"/>
  <c r="H144" i="1"/>
  <c r="I145" i="1"/>
  <c r="H145" i="1"/>
  <c r="I146" i="1"/>
  <c r="H146" i="1"/>
  <c r="I147" i="1"/>
  <c r="H147" i="1"/>
  <c r="I148" i="1"/>
  <c r="H148" i="1"/>
  <c r="I149" i="1"/>
  <c r="H149" i="1"/>
  <c r="I150" i="1"/>
  <c r="H150" i="1"/>
  <c r="I151" i="1"/>
  <c r="H151" i="1"/>
  <c r="I152" i="1"/>
  <c r="H152" i="1"/>
  <c r="I153" i="1"/>
  <c r="H153" i="1"/>
  <c r="I154" i="1"/>
  <c r="H154" i="1"/>
  <c r="I155" i="1"/>
  <c r="H155" i="1"/>
  <c r="I156" i="1"/>
  <c r="H156" i="1"/>
  <c r="I157" i="1"/>
  <c r="H157" i="1"/>
  <c r="I158" i="1"/>
  <c r="H158" i="1"/>
  <c r="I159" i="1"/>
  <c r="H159" i="1"/>
  <c r="I160" i="1"/>
  <c r="H160" i="1"/>
  <c r="I161" i="1"/>
  <c r="H161" i="1"/>
  <c r="I162" i="1"/>
  <c r="H162" i="1"/>
  <c r="I163" i="1"/>
  <c r="H163" i="1"/>
  <c r="I164" i="1"/>
  <c r="H164" i="1"/>
  <c r="I165" i="1"/>
  <c r="H165" i="1"/>
  <c r="I166" i="1"/>
  <c r="H166" i="1"/>
  <c r="I167" i="1"/>
  <c r="H167" i="1"/>
  <c r="I168" i="1"/>
  <c r="H168" i="1"/>
  <c r="I169" i="1"/>
  <c r="H169" i="1"/>
  <c r="I170" i="1"/>
  <c r="H170" i="1"/>
  <c r="I171" i="1"/>
  <c r="H171" i="1"/>
  <c r="I172" i="1"/>
  <c r="H172" i="1"/>
  <c r="I173" i="1"/>
  <c r="H173" i="1"/>
  <c r="I174" i="1"/>
  <c r="H174" i="1"/>
  <c r="I175" i="1"/>
  <c r="H175" i="1"/>
  <c r="I176" i="1"/>
  <c r="H176" i="1"/>
  <c r="I177" i="1"/>
  <c r="H177" i="1"/>
  <c r="I178" i="1"/>
  <c r="H178" i="1"/>
  <c r="I179" i="1"/>
  <c r="H179" i="1"/>
  <c r="I180" i="1"/>
  <c r="H180" i="1"/>
  <c r="I181" i="1"/>
  <c r="H181" i="1"/>
  <c r="I182" i="1"/>
  <c r="H182" i="1"/>
  <c r="I183" i="1"/>
  <c r="H183" i="1"/>
  <c r="I184" i="1"/>
  <c r="H184" i="1"/>
  <c r="I185" i="1"/>
  <c r="H185" i="1"/>
  <c r="I186" i="1"/>
  <c r="H186" i="1"/>
  <c r="I187" i="1"/>
  <c r="H187" i="1"/>
  <c r="I188" i="1"/>
  <c r="H188" i="1"/>
  <c r="I189" i="1"/>
  <c r="H189" i="1"/>
  <c r="I190" i="1"/>
  <c r="H190" i="1"/>
  <c r="I191" i="1"/>
  <c r="H191" i="1"/>
  <c r="I192" i="1"/>
  <c r="H192" i="1"/>
  <c r="I193" i="1"/>
  <c r="H193" i="1"/>
  <c r="I194" i="1"/>
  <c r="H194" i="1"/>
  <c r="I195" i="1"/>
  <c r="H195" i="1"/>
  <c r="I196" i="1"/>
  <c r="H196" i="1"/>
  <c r="I197" i="1"/>
  <c r="H197" i="1"/>
  <c r="I198" i="1"/>
  <c r="H198" i="1"/>
  <c r="I199" i="1"/>
  <c r="H199" i="1"/>
  <c r="I200" i="1"/>
  <c r="H200" i="1"/>
  <c r="I201" i="1"/>
  <c r="H201" i="1"/>
  <c r="I202" i="1"/>
  <c r="H202" i="1"/>
  <c r="I203" i="1"/>
  <c r="I8"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H203" i="1"/>
  <c r="M203"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S37" i="3"/>
  <c r="J37" i="3"/>
  <c r="B14" i="9"/>
  <c r="B5" i="9"/>
  <c r="B4" i="9"/>
  <c r="B13" i="9"/>
  <c r="S8" i="3"/>
  <c r="S14" i="3"/>
  <c r="S41" i="3"/>
  <c r="S42" i="3"/>
  <c r="S46" i="3"/>
  <c r="E5" i="9"/>
  <c r="E14" i="9"/>
  <c r="E23" i="9"/>
  <c r="E32" i="9"/>
  <c r="E41" i="9"/>
  <c r="E50" i="9"/>
  <c r="E59" i="9"/>
  <c r="E68" i="9"/>
  <c r="E77" i="9"/>
  <c r="B77" i="9"/>
  <c r="B68" i="9"/>
  <c r="B59" i="9"/>
  <c r="B50" i="9"/>
  <c r="B41" i="9"/>
  <c r="B32" i="9"/>
  <c r="B23" i="9"/>
  <c r="T50" i="3"/>
  <c r="AR5" i="6"/>
  <c r="AS5" i="6"/>
  <c r="S11" i="3"/>
  <c r="T17" i="3"/>
  <c r="S25" i="3"/>
  <c r="S44" i="3"/>
  <c r="S45" i="3"/>
  <c r="T39" i="3"/>
  <c r="T11" i="3"/>
  <c r="AO5" i="6"/>
  <c r="J6" i="6"/>
  <c r="W7" i="11"/>
  <c r="Y7" i="11"/>
  <c r="X6" i="6"/>
  <c r="AM6" i="6"/>
  <c r="AC7" i="6"/>
  <c r="AM7" i="6"/>
  <c r="AC8" i="6"/>
  <c r="AM8" i="6"/>
  <c r="W6" i="11"/>
  <c r="AO6" i="6"/>
  <c r="J7" i="6"/>
  <c r="W8" i="11"/>
  <c r="W9" i="11"/>
  <c r="AO7" i="6"/>
  <c r="J8" i="6"/>
  <c r="W10" i="11"/>
  <c r="AO8" i="6"/>
  <c r="J9" i="6"/>
  <c r="W12" i="11"/>
  <c r="Y12" i="11"/>
  <c r="X9" i="6"/>
  <c r="AC9" i="6"/>
  <c r="AM9" i="6"/>
  <c r="AC10" i="6"/>
  <c r="AM10" i="6"/>
  <c r="AC11" i="6"/>
  <c r="AM11" i="6"/>
  <c r="AC12" i="6"/>
  <c r="AM12" i="6"/>
  <c r="W11" i="11"/>
  <c r="AO9" i="6"/>
  <c r="J10" i="6"/>
  <c r="W13" i="11"/>
  <c r="W14" i="11"/>
  <c r="AO10" i="6"/>
  <c r="J11" i="6"/>
  <c r="W15" i="11"/>
  <c r="W17" i="11"/>
  <c r="W16" i="11"/>
  <c r="AO11" i="6"/>
  <c r="J12" i="6"/>
  <c r="W18" i="11"/>
  <c r="W19" i="11"/>
  <c r="AO12" i="6"/>
  <c r="J13" i="6"/>
  <c r="W21" i="11"/>
  <c r="Y21" i="11"/>
  <c r="W22" i="11"/>
  <c r="Y22" i="11"/>
  <c r="X13" i="6"/>
  <c r="AC13" i="6"/>
  <c r="AM13" i="6"/>
  <c r="AC14" i="6"/>
  <c r="AM14" i="6"/>
  <c r="AC15" i="6"/>
  <c r="AM15" i="6"/>
  <c r="W20" i="11"/>
  <c r="AO13" i="6"/>
  <c r="J14" i="6"/>
  <c r="W23" i="11"/>
  <c r="W24" i="11"/>
  <c r="W25" i="11"/>
  <c r="AO14" i="6"/>
  <c r="J15" i="6"/>
  <c r="W26" i="11"/>
  <c r="W27" i="11"/>
  <c r="W28" i="11"/>
  <c r="AO15" i="6"/>
  <c r="J16" i="6"/>
  <c r="W30" i="11"/>
  <c r="Y30" i="11"/>
  <c r="W31" i="11"/>
  <c r="Y31" i="11"/>
  <c r="X16" i="6"/>
  <c r="AC16" i="6"/>
  <c r="AM16" i="6"/>
  <c r="AC17" i="6"/>
  <c r="AM17" i="6"/>
  <c r="W29" i="11"/>
  <c r="AO16" i="6"/>
  <c r="J17" i="6"/>
  <c r="W32" i="11"/>
  <c r="W33" i="11"/>
  <c r="AO17" i="6"/>
  <c r="AQ5" i="6"/>
  <c r="F4" i="1"/>
  <c r="K4" i="1"/>
  <c r="AQ6" i="6"/>
  <c r="AQ7" i="6"/>
  <c r="AQ8" i="6"/>
  <c r="AQ9" i="6"/>
  <c r="AQ10" i="6"/>
  <c r="F5" i="1"/>
  <c r="K5" i="1"/>
  <c r="L5" i="1"/>
  <c r="I3" i="19"/>
  <c r="J3" i="19"/>
  <c r="AQ11" i="6"/>
  <c r="AQ12" i="6"/>
  <c r="AQ13" i="6"/>
  <c r="AQ14" i="6"/>
  <c r="AQ15" i="6"/>
  <c r="F6" i="1"/>
  <c r="K6" i="1"/>
  <c r="B4" i="19"/>
  <c r="H4" i="19"/>
  <c r="L6" i="1"/>
  <c r="I4" i="19"/>
  <c r="J4" i="19"/>
  <c r="AC18" i="6"/>
  <c r="AM18" i="6"/>
  <c r="J18" i="6"/>
  <c r="W34" i="11"/>
  <c r="W35" i="11"/>
  <c r="AO18" i="6"/>
  <c r="J19" i="6"/>
  <c r="W36" i="11"/>
  <c r="Y36" i="11"/>
  <c r="X19" i="6"/>
  <c r="AC19" i="6"/>
  <c r="AM19" i="6"/>
  <c r="W37" i="11"/>
  <c r="AO19" i="6"/>
  <c r="AC20" i="6"/>
  <c r="AM20" i="6"/>
  <c r="J20" i="6"/>
  <c r="W38" i="11"/>
  <c r="W39" i="11"/>
  <c r="W40" i="11"/>
  <c r="AO20" i="6"/>
  <c r="AC21" i="6"/>
  <c r="AM21" i="6"/>
  <c r="J21" i="6"/>
  <c r="W41" i="11"/>
  <c r="W42" i="11"/>
  <c r="AO21" i="6"/>
  <c r="AP5" i="6"/>
  <c r="AP6" i="6"/>
  <c r="AP7" i="6"/>
  <c r="AP8" i="6"/>
  <c r="AP9" i="6"/>
  <c r="AP10" i="6"/>
  <c r="AP11" i="6"/>
  <c r="AP12" i="6"/>
  <c r="AP13" i="6"/>
  <c r="AP14" i="6"/>
  <c r="AP15" i="6"/>
  <c r="AP16" i="6"/>
  <c r="AQ16" i="6"/>
  <c r="AP17" i="6"/>
  <c r="AQ17" i="6"/>
  <c r="AP18" i="6"/>
  <c r="AQ18" i="6"/>
  <c r="AP19" i="6"/>
  <c r="AQ19" i="6"/>
  <c r="AP20" i="6"/>
  <c r="AQ20" i="6"/>
  <c r="AP21" i="6"/>
  <c r="AQ21" i="6"/>
  <c r="F7" i="1"/>
  <c r="K7" i="1"/>
  <c r="B5" i="19"/>
  <c r="H5" i="19"/>
  <c r="L7" i="1"/>
  <c r="I5" i="19"/>
  <c r="J5" i="19"/>
  <c r="F8" i="1"/>
  <c r="K8" i="1"/>
  <c r="B6" i="19"/>
  <c r="H6" i="19"/>
  <c r="L8" i="1"/>
  <c r="I6" i="19"/>
  <c r="J6" i="19"/>
  <c r="F9" i="1"/>
  <c r="K9" i="1"/>
  <c r="B7" i="19"/>
  <c r="H7" i="19"/>
  <c r="L9" i="1"/>
  <c r="I7" i="19"/>
  <c r="J7" i="19"/>
  <c r="F10" i="1"/>
  <c r="K10" i="1"/>
  <c r="B8" i="19"/>
  <c r="H8" i="19"/>
  <c r="L10" i="1"/>
  <c r="I8" i="19"/>
  <c r="J8" i="19"/>
  <c r="F11" i="1"/>
  <c r="K11" i="1"/>
  <c r="B9" i="19"/>
  <c r="H9" i="19"/>
  <c r="L11" i="1"/>
  <c r="I9" i="19"/>
  <c r="J9" i="19"/>
  <c r="F12" i="1"/>
  <c r="K12" i="1"/>
  <c r="B10" i="19"/>
  <c r="H10" i="19"/>
  <c r="L12" i="1"/>
  <c r="I10" i="19"/>
  <c r="J10" i="19"/>
  <c r="F13" i="1"/>
  <c r="K13" i="1"/>
  <c r="B11" i="19"/>
  <c r="H11" i="19"/>
  <c r="L13" i="1"/>
  <c r="I11" i="19"/>
  <c r="J11" i="19"/>
  <c r="F14" i="1"/>
  <c r="K14" i="1"/>
  <c r="B12" i="19"/>
  <c r="H12" i="19"/>
  <c r="L14" i="1"/>
  <c r="I12" i="19"/>
  <c r="J12" i="19"/>
  <c r="F15" i="1"/>
  <c r="K15" i="1"/>
  <c r="B13" i="19"/>
  <c r="H13" i="19"/>
  <c r="L15" i="1"/>
  <c r="I13" i="19"/>
  <c r="J13" i="19"/>
  <c r="F16" i="1"/>
  <c r="K16" i="1"/>
  <c r="B14" i="19"/>
  <c r="H14" i="19"/>
  <c r="L16" i="1"/>
  <c r="I14" i="19"/>
  <c r="J14" i="19"/>
  <c r="F17" i="1"/>
  <c r="K17" i="1"/>
  <c r="B15" i="19"/>
  <c r="H15" i="19"/>
  <c r="L17" i="1"/>
  <c r="I15" i="19"/>
  <c r="J15" i="19"/>
  <c r="F18" i="1"/>
  <c r="K18" i="1"/>
  <c r="B16" i="19"/>
  <c r="H16" i="19"/>
  <c r="L18" i="1"/>
  <c r="I16" i="19"/>
  <c r="J16" i="19"/>
  <c r="F19" i="1"/>
  <c r="K19" i="1"/>
  <c r="B17" i="19"/>
  <c r="H17" i="19"/>
  <c r="L19" i="1"/>
  <c r="I17" i="19"/>
  <c r="J17" i="19"/>
  <c r="F20" i="1"/>
  <c r="K20" i="1"/>
  <c r="B18" i="19"/>
  <c r="H18" i="19"/>
  <c r="L20" i="1"/>
  <c r="I18" i="19"/>
  <c r="J18" i="19"/>
  <c r="F21" i="1"/>
  <c r="K21" i="1"/>
  <c r="B19" i="19"/>
  <c r="H19" i="19"/>
  <c r="L21" i="1"/>
  <c r="I19" i="19"/>
  <c r="J19" i="19"/>
  <c r="F22" i="1"/>
  <c r="K22" i="1"/>
  <c r="B20" i="19"/>
  <c r="H20" i="19"/>
  <c r="L22" i="1"/>
  <c r="I20" i="19"/>
  <c r="J20" i="19"/>
  <c r="F23" i="1"/>
  <c r="K23" i="1"/>
  <c r="B21" i="19"/>
  <c r="H21" i="19"/>
  <c r="L23" i="1"/>
  <c r="I21" i="19"/>
  <c r="J21" i="19"/>
  <c r="F24" i="1"/>
  <c r="K24" i="1"/>
  <c r="B22" i="19"/>
  <c r="H22" i="19"/>
  <c r="L24" i="1"/>
  <c r="I22" i="19"/>
  <c r="J22" i="19"/>
  <c r="F25" i="1"/>
  <c r="K25" i="1"/>
  <c r="B23" i="19"/>
  <c r="H23" i="19"/>
  <c r="L25" i="1"/>
  <c r="I23" i="19"/>
  <c r="J23" i="19"/>
  <c r="F26" i="1"/>
  <c r="K26" i="1"/>
  <c r="B24" i="19"/>
  <c r="H24" i="19"/>
  <c r="L26" i="1"/>
  <c r="I24" i="19"/>
  <c r="J24" i="19"/>
  <c r="F27" i="1"/>
  <c r="K27" i="1"/>
  <c r="B25" i="19"/>
  <c r="H25" i="19"/>
  <c r="L27" i="1"/>
  <c r="I25" i="19"/>
  <c r="J25" i="19"/>
  <c r="F28" i="1"/>
  <c r="K28" i="1"/>
  <c r="B26" i="19"/>
  <c r="H26" i="19"/>
  <c r="L28" i="1"/>
  <c r="I26" i="19"/>
  <c r="J26" i="19"/>
  <c r="F29" i="1"/>
  <c r="K29" i="1"/>
  <c r="B27" i="19"/>
  <c r="H27" i="19"/>
  <c r="L29" i="1"/>
  <c r="I27" i="19"/>
  <c r="J27" i="19"/>
  <c r="F30" i="1"/>
  <c r="K30" i="1"/>
  <c r="B28" i="19"/>
  <c r="H28" i="19"/>
  <c r="L30" i="1"/>
  <c r="I28" i="19"/>
  <c r="J28" i="19"/>
  <c r="F31" i="1"/>
  <c r="K31" i="1"/>
  <c r="B29" i="19"/>
  <c r="H29" i="19"/>
  <c r="L31" i="1"/>
  <c r="I29" i="19"/>
  <c r="J29" i="19"/>
  <c r="F32" i="1"/>
  <c r="K32" i="1"/>
  <c r="B30" i="19"/>
  <c r="H30" i="19"/>
  <c r="L32" i="1"/>
  <c r="I30" i="19"/>
  <c r="J30" i="19"/>
  <c r="F33" i="1"/>
  <c r="K33" i="1"/>
  <c r="B31" i="19"/>
  <c r="H31" i="19"/>
  <c r="L33" i="1"/>
  <c r="I31" i="19"/>
  <c r="J31" i="19"/>
  <c r="F34" i="1"/>
  <c r="K34" i="1"/>
  <c r="B32" i="19"/>
  <c r="H32" i="19"/>
  <c r="L34" i="1"/>
  <c r="I32" i="19"/>
  <c r="J32" i="19"/>
  <c r="F35" i="1"/>
  <c r="K35" i="1"/>
  <c r="B33" i="19"/>
  <c r="H33" i="19"/>
  <c r="L35" i="1"/>
  <c r="I33" i="19"/>
  <c r="J33" i="19"/>
  <c r="F36" i="1"/>
  <c r="K36" i="1"/>
  <c r="B34" i="19"/>
  <c r="H34" i="19"/>
  <c r="L36" i="1"/>
  <c r="I34" i="19"/>
  <c r="J34" i="19"/>
  <c r="F37" i="1"/>
  <c r="K37" i="1"/>
  <c r="B35" i="19"/>
  <c r="H35" i="19"/>
  <c r="L37" i="1"/>
  <c r="I35" i="19"/>
  <c r="J35" i="19"/>
  <c r="F38" i="1"/>
  <c r="K38" i="1"/>
  <c r="B36" i="19"/>
  <c r="H36" i="19"/>
  <c r="L38" i="1"/>
  <c r="I36" i="19"/>
  <c r="J36" i="19"/>
  <c r="F39" i="1"/>
  <c r="K39" i="1"/>
  <c r="B37" i="19"/>
  <c r="H37" i="19"/>
  <c r="L39" i="1"/>
  <c r="I37" i="19"/>
  <c r="J37" i="19"/>
  <c r="F40" i="1"/>
  <c r="K40" i="1"/>
  <c r="B38" i="19"/>
  <c r="H38" i="19"/>
  <c r="L40" i="1"/>
  <c r="I38" i="19"/>
  <c r="J38" i="19"/>
  <c r="F41" i="1"/>
  <c r="K41" i="1"/>
  <c r="B39" i="19"/>
  <c r="H39" i="19"/>
  <c r="L41" i="1"/>
  <c r="I39" i="19"/>
  <c r="J39" i="19"/>
  <c r="F42" i="1"/>
  <c r="K42" i="1"/>
  <c r="B40" i="19"/>
  <c r="H40" i="19"/>
  <c r="L42" i="1"/>
  <c r="I40" i="19"/>
  <c r="J40" i="19"/>
  <c r="F43" i="1"/>
  <c r="K43" i="1"/>
  <c r="B41" i="19"/>
  <c r="H41" i="19"/>
  <c r="L43" i="1"/>
  <c r="I41" i="19"/>
  <c r="J41" i="19"/>
  <c r="F44" i="1"/>
  <c r="K44" i="1"/>
  <c r="B42" i="19"/>
  <c r="H42" i="19"/>
  <c r="L44" i="1"/>
  <c r="I42" i="19"/>
  <c r="J42" i="19"/>
  <c r="F45" i="1"/>
  <c r="K45" i="1"/>
  <c r="B43" i="19"/>
  <c r="H43" i="19"/>
  <c r="L45" i="1"/>
  <c r="I43" i="19"/>
  <c r="J43" i="19"/>
  <c r="F46" i="1"/>
  <c r="K46" i="1"/>
  <c r="B44" i="19"/>
  <c r="H44" i="19"/>
  <c r="L46" i="1"/>
  <c r="I44" i="19"/>
  <c r="J44" i="19"/>
  <c r="F47" i="1"/>
  <c r="K47" i="1"/>
  <c r="B45" i="19"/>
  <c r="H45" i="19"/>
  <c r="L47" i="1"/>
  <c r="I45" i="19"/>
  <c r="J45" i="19"/>
  <c r="F48" i="1"/>
  <c r="K48" i="1"/>
  <c r="B46" i="19"/>
  <c r="H46" i="19"/>
  <c r="L48" i="1"/>
  <c r="I46" i="19"/>
  <c r="J46" i="19"/>
  <c r="F49" i="1"/>
  <c r="K49" i="1"/>
  <c r="B47" i="19"/>
  <c r="H47" i="19"/>
  <c r="L49" i="1"/>
  <c r="I47" i="19"/>
  <c r="J47" i="19"/>
  <c r="F50" i="1"/>
  <c r="K50" i="1"/>
  <c r="B48" i="19"/>
  <c r="H48" i="19"/>
  <c r="L50" i="1"/>
  <c r="I48" i="19"/>
  <c r="J48" i="19"/>
  <c r="F51" i="1"/>
  <c r="K51" i="1"/>
  <c r="B49" i="19"/>
  <c r="H49" i="19"/>
  <c r="L51" i="1"/>
  <c r="I49" i="19"/>
  <c r="J49" i="19"/>
  <c r="F52" i="1"/>
  <c r="K52" i="1"/>
  <c r="B50" i="19"/>
  <c r="H50" i="19"/>
  <c r="L52" i="1"/>
  <c r="I50" i="19"/>
  <c r="J50" i="19"/>
  <c r="F53" i="1"/>
  <c r="K53" i="1"/>
  <c r="B51" i="19"/>
  <c r="H51" i="19"/>
  <c r="L53" i="1"/>
  <c r="I51" i="19"/>
  <c r="J51" i="19"/>
  <c r="F54" i="1"/>
  <c r="K54" i="1"/>
  <c r="B52" i="19"/>
  <c r="H52" i="19"/>
  <c r="L54" i="1"/>
  <c r="I52" i="19"/>
  <c r="J52" i="19"/>
  <c r="F55" i="1"/>
  <c r="K55" i="1"/>
  <c r="B53" i="19"/>
  <c r="H53" i="19"/>
  <c r="L55" i="1"/>
  <c r="I53" i="19"/>
  <c r="J53" i="19"/>
  <c r="F56" i="1"/>
  <c r="K56" i="1"/>
  <c r="B54" i="19"/>
  <c r="H54" i="19"/>
  <c r="L56" i="1"/>
  <c r="I54" i="19"/>
  <c r="J54" i="19"/>
  <c r="F57" i="1"/>
  <c r="K57" i="1"/>
  <c r="B55" i="19"/>
  <c r="H55" i="19"/>
  <c r="L57" i="1"/>
  <c r="I55" i="19"/>
  <c r="J55" i="19"/>
  <c r="F58" i="1"/>
  <c r="K58" i="1"/>
  <c r="B56" i="19"/>
  <c r="H56" i="19"/>
  <c r="L58" i="1"/>
  <c r="I56" i="19"/>
  <c r="J56" i="19"/>
  <c r="F59" i="1"/>
  <c r="K59" i="1"/>
  <c r="B57" i="19"/>
  <c r="H57" i="19"/>
  <c r="L59" i="1"/>
  <c r="I57" i="19"/>
  <c r="J57" i="19"/>
  <c r="F60" i="1"/>
  <c r="K60" i="1"/>
  <c r="B58" i="19"/>
  <c r="H58" i="19"/>
  <c r="L60" i="1"/>
  <c r="I58" i="19"/>
  <c r="J58" i="19"/>
  <c r="F61" i="1"/>
  <c r="K61" i="1"/>
  <c r="B59" i="19"/>
  <c r="H59" i="19"/>
  <c r="L61" i="1"/>
  <c r="I59" i="19"/>
  <c r="J59" i="19"/>
  <c r="F62" i="1"/>
  <c r="K62" i="1"/>
  <c r="B60" i="19"/>
  <c r="H60" i="19"/>
  <c r="L62" i="1"/>
  <c r="I60" i="19"/>
  <c r="J60" i="19"/>
  <c r="F63" i="1"/>
  <c r="K63" i="1"/>
  <c r="B61" i="19"/>
  <c r="H61" i="19"/>
  <c r="L63" i="1"/>
  <c r="I61" i="19"/>
  <c r="J61" i="19"/>
  <c r="F64" i="1"/>
  <c r="K64" i="1"/>
  <c r="B62" i="19"/>
  <c r="H62" i="19"/>
  <c r="L64" i="1"/>
  <c r="I62" i="19"/>
  <c r="J62" i="19"/>
  <c r="F65" i="1"/>
  <c r="K65" i="1"/>
  <c r="B63" i="19"/>
  <c r="H63" i="19"/>
  <c r="L65" i="1"/>
  <c r="I63" i="19"/>
  <c r="J63" i="19"/>
  <c r="F66" i="1"/>
  <c r="K66" i="1"/>
  <c r="B64" i="19"/>
  <c r="H64" i="19"/>
  <c r="L66" i="1"/>
  <c r="I64" i="19"/>
  <c r="J64" i="19"/>
  <c r="F67" i="1"/>
  <c r="K67" i="1"/>
  <c r="B65" i="19"/>
  <c r="H65" i="19"/>
  <c r="L67" i="1"/>
  <c r="I65" i="19"/>
  <c r="J65" i="19"/>
  <c r="F68" i="1"/>
  <c r="K68" i="1"/>
  <c r="B66" i="19"/>
  <c r="H66" i="19"/>
  <c r="L68" i="1"/>
  <c r="I66" i="19"/>
  <c r="J66" i="19"/>
  <c r="F69" i="1"/>
  <c r="K69" i="1"/>
  <c r="B67" i="19"/>
  <c r="H67" i="19"/>
  <c r="L69" i="1"/>
  <c r="I67" i="19"/>
  <c r="J67" i="19"/>
  <c r="F70" i="1"/>
  <c r="K70" i="1"/>
  <c r="B68" i="19"/>
  <c r="H68" i="19"/>
  <c r="L70" i="1"/>
  <c r="I68" i="19"/>
  <c r="J68" i="19"/>
  <c r="F71" i="1"/>
  <c r="K71" i="1"/>
  <c r="B69" i="19"/>
  <c r="H69" i="19"/>
  <c r="L71" i="1"/>
  <c r="I69" i="19"/>
  <c r="J69" i="19"/>
  <c r="F72" i="1"/>
  <c r="K72" i="1"/>
  <c r="B70" i="19"/>
  <c r="H70" i="19"/>
  <c r="L72" i="1"/>
  <c r="I70" i="19"/>
  <c r="J70" i="19"/>
  <c r="F73" i="1"/>
  <c r="K73" i="1"/>
  <c r="B71" i="19"/>
  <c r="H71" i="19"/>
  <c r="L73" i="1"/>
  <c r="I71" i="19"/>
  <c r="J71" i="19"/>
  <c r="F74" i="1"/>
  <c r="K74" i="1"/>
  <c r="B72" i="19"/>
  <c r="H72" i="19"/>
  <c r="L74" i="1"/>
  <c r="I72" i="19"/>
  <c r="J72" i="19"/>
  <c r="F75" i="1"/>
  <c r="K75" i="1"/>
  <c r="B73" i="19"/>
  <c r="H73" i="19"/>
  <c r="L75" i="1"/>
  <c r="I73" i="19"/>
  <c r="J73" i="19"/>
  <c r="F76" i="1"/>
  <c r="K76" i="1"/>
  <c r="B74" i="19"/>
  <c r="H74" i="19"/>
  <c r="L76" i="1"/>
  <c r="I74" i="19"/>
  <c r="J74" i="19"/>
  <c r="F77" i="1"/>
  <c r="K77" i="1"/>
  <c r="B75" i="19"/>
  <c r="H75" i="19"/>
  <c r="L77" i="1"/>
  <c r="I75" i="19"/>
  <c r="J75" i="19"/>
  <c r="F78" i="1"/>
  <c r="K78" i="1"/>
  <c r="B76" i="19"/>
  <c r="H76" i="19"/>
  <c r="L78" i="1"/>
  <c r="I76" i="19"/>
  <c r="J76" i="19"/>
  <c r="F79" i="1"/>
  <c r="K79" i="1"/>
  <c r="B77" i="19"/>
  <c r="H77" i="19"/>
  <c r="L79" i="1"/>
  <c r="I77" i="19"/>
  <c r="J77" i="19"/>
  <c r="F80" i="1"/>
  <c r="K80" i="1"/>
  <c r="B78" i="19"/>
  <c r="H78" i="19"/>
  <c r="L80" i="1"/>
  <c r="I78" i="19"/>
  <c r="J78" i="19"/>
  <c r="F81" i="1"/>
  <c r="K81" i="1"/>
  <c r="B79" i="19"/>
  <c r="H79" i="19"/>
  <c r="L81" i="1"/>
  <c r="I79" i="19"/>
  <c r="J79" i="19"/>
  <c r="F82" i="1"/>
  <c r="K82" i="1"/>
  <c r="B80" i="19"/>
  <c r="H80" i="19"/>
  <c r="L82" i="1"/>
  <c r="I80" i="19"/>
  <c r="J80" i="19"/>
  <c r="F83" i="1"/>
  <c r="K83" i="1"/>
  <c r="B81" i="19"/>
  <c r="U25" i="3"/>
  <c r="D25" i="3"/>
  <c r="T25" i="3"/>
  <c r="U44" i="3"/>
  <c r="D44" i="3"/>
  <c r="T44" i="3"/>
  <c r="U4" i="3"/>
  <c r="D4" i="3"/>
  <c r="S4" i="3"/>
  <c r="U7" i="3"/>
  <c r="D7" i="3"/>
  <c r="S7" i="3"/>
  <c r="U9" i="3"/>
  <c r="D9" i="3"/>
  <c r="S9" i="3"/>
  <c r="U10" i="3"/>
  <c r="D10" i="3"/>
  <c r="S10" i="3"/>
  <c r="U12" i="3"/>
  <c r="D12" i="3"/>
  <c r="S12" i="3"/>
  <c r="U13" i="3"/>
  <c r="D13" i="3"/>
  <c r="S13" i="3"/>
  <c r="U15" i="3"/>
  <c r="D15" i="3"/>
  <c r="S15" i="3"/>
  <c r="U16" i="3"/>
  <c r="D16" i="3"/>
  <c r="S16" i="3"/>
  <c r="U17" i="3"/>
  <c r="D17" i="3"/>
  <c r="S17" i="3"/>
  <c r="U19" i="3"/>
  <c r="D19" i="3"/>
  <c r="S19" i="3"/>
  <c r="U20" i="3"/>
  <c r="D20" i="3"/>
  <c r="S20" i="3"/>
  <c r="U21" i="3"/>
  <c r="D21" i="3"/>
  <c r="S21" i="3"/>
  <c r="U22" i="3"/>
  <c r="D22" i="3"/>
  <c r="S22" i="3"/>
  <c r="Z22" i="3"/>
  <c r="J22" i="3"/>
  <c r="J9" i="3"/>
  <c r="J21" i="3"/>
  <c r="C5" i="19"/>
  <c r="C6" i="19"/>
  <c r="D6" i="19"/>
  <c r="U36" i="3"/>
  <c r="J36" i="3"/>
  <c r="D5" i="19"/>
  <c r="J12" i="3"/>
  <c r="D4" i="19"/>
  <c r="C4" i="19"/>
  <c r="U53" i="3"/>
  <c r="J53" i="3"/>
  <c r="E14" i="19"/>
  <c r="E15"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H81" i="19"/>
  <c r="L83" i="1"/>
  <c r="I81" i="19"/>
  <c r="J81" i="19"/>
  <c r="F84" i="1"/>
  <c r="K84" i="1"/>
  <c r="B82" i="19"/>
  <c r="E82" i="19"/>
  <c r="H82" i="19"/>
  <c r="L84" i="1"/>
  <c r="I82" i="19"/>
  <c r="J82" i="19"/>
  <c r="F85" i="1"/>
  <c r="K85" i="1"/>
  <c r="B83" i="19"/>
  <c r="E83" i="19"/>
  <c r="H83" i="19"/>
  <c r="L85" i="1"/>
  <c r="I83" i="19"/>
  <c r="J83" i="19"/>
  <c r="F86" i="1"/>
  <c r="K86" i="1"/>
  <c r="B84" i="19"/>
  <c r="E84" i="19"/>
  <c r="H84" i="19"/>
  <c r="L86" i="1"/>
  <c r="I84" i="19"/>
  <c r="J84" i="19"/>
  <c r="F87" i="1"/>
  <c r="K87" i="1"/>
  <c r="B85" i="19"/>
  <c r="E85" i="19"/>
  <c r="H85" i="19"/>
  <c r="L87" i="1"/>
  <c r="I85" i="19"/>
  <c r="J85" i="19"/>
  <c r="F88" i="1"/>
  <c r="K88" i="1"/>
  <c r="B86" i="19"/>
  <c r="E86" i="19"/>
  <c r="H86" i="19"/>
  <c r="L88" i="1"/>
  <c r="I86" i="19"/>
  <c r="J86" i="19"/>
  <c r="F89" i="1"/>
  <c r="K89" i="1"/>
  <c r="B87" i="19"/>
  <c r="E87" i="19"/>
  <c r="H87" i="19"/>
  <c r="L89" i="1"/>
  <c r="I87" i="19"/>
  <c r="J87" i="19"/>
  <c r="F90" i="1"/>
  <c r="K90" i="1"/>
  <c r="B88" i="19"/>
  <c r="E88" i="19"/>
  <c r="H88" i="19"/>
  <c r="L90" i="1"/>
  <c r="I88" i="19"/>
  <c r="J88" i="19"/>
  <c r="F91" i="1"/>
  <c r="K91" i="1"/>
  <c r="B89" i="19"/>
  <c r="E89" i="19"/>
  <c r="H89" i="19"/>
  <c r="L91" i="1"/>
  <c r="I89" i="19"/>
  <c r="J89" i="19"/>
  <c r="F92" i="1"/>
  <c r="K92" i="1"/>
  <c r="B90" i="19"/>
  <c r="E90" i="19"/>
  <c r="H90" i="19"/>
  <c r="L92" i="1"/>
  <c r="I90" i="19"/>
  <c r="J90" i="19"/>
  <c r="F93" i="1"/>
  <c r="K93" i="1"/>
  <c r="B91" i="19"/>
  <c r="E91" i="19"/>
  <c r="H91" i="19"/>
  <c r="L93" i="1"/>
  <c r="I91" i="19"/>
  <c r="J91" i="19"/>
  <c r="F94" i="1"/>
  <c r="K94" i="1"/>
  <c r="B92" i="19"/>
  <c r="E92" i="19"/>
  <c r="H92" i="19"/>
  <c r="L94" i="1"/>
  <c r="I92" i="19"/>
  <c r="J92" i="19"/>
  <c r="F95" i="1"/>
  <c r="K95" i="1"/>
  <c r="B93" i="19"/>
  <c r="E93" i="19"/>
  <c r="H93" i="19"/>
  <c r="L95" i="1"/>
  <c r="I93" i="19"/>
  <c r="J93" i="19"/>
  <c r="F96" i="1"/>
  <c r="K96" i="1"/>
  <c r="B94" i="19"/>
  <c r="E94" i="19"/>
  <c r="H94" i="19"/>
  <c r="L96" i="1"/>
  <c r="I94" i="19"/>
  <c r="J94" i="19"/>
  <c r="F97" i="1"/>
  <c r="K97" i="1"/>
  <c r="B95" i="19"/>
  <c r="E95" i="19"/>
  <c r="H95" i="19"/>
  <c r="L97" i="1"/>
  <c r="I95" i="19"/>
  <c r="J95" i="19"/>
  <c r="F98" i="1"/>
  <c r="K98" i="1"/>
  <c r="B96" i="19"/>
  <c r="E96" i="19"/>
  <c r="H96" i="19"/>
  <c r="L98" i="1"/>
  <c r="I96" i="19"/>
  <c r="J96" i="19"/>
  <c r="F99" i="1"/>
  <c r="K99" i="1"/>
  <c r="B97" i="19"/>
  <c r="E97" i="19"/>
  <c r="H97" i="19"/>
  <c r="L99" i="1"/>
  <c r="I97" i="19"/>
  <c r="J97" i="19"/>
  <c r="F100" i="1"/>
  <c r="K100" i="1"/>
  <c r="B98" i="19"/>
  <c r="E98" i="19"/>
  <c r="H98" i="19"/>
  <c r="L100" i="1"/>
  <c r="I98" i="19"/>
  <c r="J98" i="19"/>
  <c r="F101" i="1"/>
  <c r="K101" i="1"/>
  <c r="B99" i="19"/>
  <c r="H99" i="19"/>
  <c r="L101" i="1"/>
  <c r="I99" i="19"/>
  <c r="J99" i="19"/>
  <c r="F102" i="1"/>
  <c r="K102" i="1"/>
  <c r="B100" i="19"/>
  <c r="H100" i="19"/>
  <c r="L102" i="1"/>
  <c r="I100" i="19"/>
  <c r="J100" i="19"/>
  <c r="F103" i="1"/>
  <c r="K103" i="1"/>
  <c r="B101" i="19"/>
  <c r="H101" i="19"/>
  <c r="L103" i="1"/>
  <c r="I101" i="19"/>
  <c r="J101" i="19"/>
  <c r="F104" i="1"/>
  <c r="K104" i="1"/>
  <c r="B102" i="19"/>
  <c r="H102" i="19"/>
  <c r="L104" i="1"/>
  <c r="I102" i="19"/>
  <c r="J102" i="19"/>
  <c r="F105" i="1"/>
  <c r="K105" i="1"/>
  <c r="B103" i="19"/>
  <c r="H103" i="19"/>
  <c r="L105" i="1"/>
  <c r="I103" i="19"/>
  <c r="J103" i="19"/>
  <c r="F106" i="1"/>
  <c r="K106" i="1"/>
  <c r="B104" i="19"/>
  <c r="H104" i="19"/>
  <c r="L106" i="1"/>
  <c r="I104" i="19"/>
  <c r="J104" i="19"/>
  <c r="E104" i="19"/>
  <c r="B105" i="19"/>
  <c r="H105" i="19"/>
  <c r="F107" i="1"/>
  <c r="K107" i="1"/>
  <c r="L107" i="1"/>
  <c r="I105" i="19"/>
  <c r="J105" i="19"/>
  <c r="E105" i="19"/>
  <c r="B106" i="19"/>
  <c r="H106" i="19"/>
  <c r="F108" i="1"/>
  <c r="K108" i="1"/>
  <c r="L108" i="1"/>
  <c r="I106" i="19"/>
  <c r="J106" i="19"/>
  <c r="E106" i="19"/>
  <c r="B107" i="19"/>
  <c r="H107" i="19"/>
  <c r="F109" i="1"/>
  <c r="K109" i="1"/>
  <c r="L109" i="1"/>
  <c r="I107" i="19"/>
  <c r="J107" i="19"/>
  <c r="E107" i="19"/>
  <c r="B108" i="19"/>
  <c r="H108" i="19"/>
  <c r="F110" i="1"/>
  <c r="K110" i="1"/>
  <c r="L110" i="1"/>
  <c r="I108" i="19"/>
  <c r="J108" i="19"/>
  <c r="E108" i="19"/>
  <c r="B109" i="19"/>
  <c r="H109" i="19"/>
  <c r="F111" i="1"/>
  <c r="K111" i="1"/>
  <c r="L111" i="1"/>
  <c r="I109" i="19"/>
  <c r="J109" i="19"/>
  <c r="E109" i="19"/>
  <c r="B110" i="19"/>
  <c r="H110" i="19"/>
  <c r="F112" i="1"/>
  <c r="K112" i="1"/>
  <c r="L112" i="1"/>
  <c r="I110" i="19"/>
  <c r="J110" i="19"/>
  <c r="E110" i="19"/>
  <c r="B111" i="19"/>
  <c r="H111" i="19"/>
  <c r="F113" i="1"/>
  <c r="K113" i="1"/>
  <c r="L113" i="1"/>
  <c r="I111" i="19"/>
  <c r="J111" i="19"/>
  <c r="E111" i="19"/>
  <c r="B112" i="19"/>
  <c r="H112" i="19"/>
  <c r="F114" i="1"/>
  <c r="K114" i="1"/>
  <c r="L114" i="1"/>
  <c r="I112" i="19"/>
  <c r="J112" i="19"/>
  <c r="E112" i="19"/>
  <c r="B113" i="19"/>
  <c r="H113" i="19"/>
  <c r="F115" i="1"/>
  <c r="K115" i="1"/>
  <c r="L115" i="1"/>
  <c r="I113" i="19"/>
  <c r="J113" i="19"/>
  <c r="E113" i="19"/>
  <c r="B114" i="19"/>
  <c r="H114" i="19"/>
  <c r="F116" i="1"/>
  <c r="K116" i="1"/>
  <c r="L116" i="1"/>
  <c r="I114" i="19"/>
  <c r="J114" i="19"/>
  <c r="E114" i="19"/>
  <c r="B115" i="19"/>
  <c r="H115" i="19"/>
  <c r="F117" i="1"/>
  <c r="K117" i="1"/>
  <c r="L117" i="1"/>
  <c r="I115" i="19"/>
  <c r="J115" i="19"/>
  <c r="E115" i="19"/>
  <c r="B116" i="19"/>
  <c r="H116" i="19"/>
  <c r="F118" i="1"/>
  <c r="K118" i="1"/>
  <c r="L118" i="1"/>
  <c r="I116" i="19"/>
  <c r="J116" i="19"/>
  <c r="E116" i="19"/>
  <c r="B117" i="19"/>
  <c r="H117" i="19"/>
  <c r="F119" i="1"/>
  <c r="K119" i="1"/>
  <c r="L119" i="1"/>
  <c r="I117" i="19"/>
  <c r="J117" i="19"/>
  <c r="E117" i="19"/>
  <c r="B118" i="19"/>
  <c r="H118" i="19"/>
  <c r="F120" i="1"/>
  <c r="K120" i="1"/>
  <c r="L120" i="1"/>
  <c r="I118" i="19"/>
  <c r="J118" i="19"/>
  <c r="E118" i="19"/>
  <c r="B119" i="19"/>
  <c r="H119" i="19"/>
  <c r="F121" i="1"/>
  <c r="K121" i="1"/>
  <c r="L121" i="1"/>
  <c r="I119" i="19"/>
  <c r="J119" i="19"/>
  <c r="E119" i="19"/>
  <c r="B120" i="19"/>
  <c r="H120" i="19"/>
  <c r="F122" i="1"/>
  <c r="K122" i="1"/>
  <c r="L122" i="1"/>
  <c r="I120" i="19"/>
  <c r="J120" i="19"/>
  <c r="E120" i="19"/>
  <c r="B121" i="19"/>
  <c r="H121" i="19"/>
  <c r="F123" i="1"/>
  <c r="K123" i="1"/>
  <c r="L123" i="1"/>
  <c r="I121" i="19"/>
  <c r="J121" i="19"/>
  <c r="E121" i="19"/>
  <c r="B122" i="19"/>
  <c r="H122" i="19"/>
  <c r="F124" i="1"/>
  <c r="K124" i="1"/>
  <c r="L124" i="1"/>
  <c r="I122" i="19"/>
  <c r="J122" i="19"/>
  <c r="E122" i="19"/>
  <c r="B123" i="19"/>
  <c r="H123" i="19"/>
  <c r="F125" i="1"/>
  <c r="K125" i="1"/>
  <c r="L125" i="1"/>
  <c r="I123" i="19"/>
  <c r="J123" i="19"/>
  <c r="E123" i="19"/>
  <c r="B124" i="19"/>
  <c r="H124" i="19"/>
  <c r="F126" i="1"/>
  <c r="K126" i="1"/>
  <c r="L126" i="1"/>
  <c r="I124" i="19"/>
  <c r="J124" i="19"/>
  <c r="E124" i="19"/>
  <c r="B125" i="19"/>
  <c r="H125" i="19"/>
  <c r="F127" i="1"/>
  <c r="K127" i="1"/>
  <c r="L127" i="1"/>
  <c r="I125" i="19"/>
  <c r="J125" i="19"/>
  <c r="E125" i="19"/>
  <c r="B126" i="19"/>
  <c r="H126" i="19"/>
  <c r="F128" i="1"/>
  <c r="K128" i="1"/>
  <c r="L128" i="1"/>
  <c r="I126" i="19"/>
  <c r="J126" i="19"/>
  <c r="E126" i="19"/>
  <c r="B127" i="19"/>
  <c r="H127" i="19"/>
  <c r="F129" i="1"/>
  <c r="K129" i="1"/>
  <c r="L129" i="1"/>
  <c r="I127" i="19"/>
  <c r="J127" i="19"/>
  <c r="E127" i="19"/>
  <c r="B128" i="19"/>
  <c r="H128" i="19"/>
  <c r="F130" i="1"/>
  <c r="K130" i="1"/>
  <c r="L130" i="1"/>
  <c r="I128" i="19"/>
  <c r="J128" i="19"/>
  <c r="E128" i="19"/>
  <c r="B129" i="19"/>
  <c r="H129" i="19"/>
  <c r="F131" i="1"/>
  <c r="K131" i="1"/>
  <c r="L131" i="1"/>
  <c r="I129" i="19"/>
  <c r="J129" i="19"/>
  <c r="E129" i="19"/>
  <c r="B130" i="19"/>
  <c r="H130" i="19"/>
  <c r="F132" i="1"/>
  <c r="K132" i="1"/>
  <c r="L132" i="1"/>
  <c r="I130" i="19"/>
  <c r="J130" i="19"/>
  <c r="E130" i="19"/>
  <c r="B131" i="19"/>
  <c r="H131" i="19"/>
  <c r="F133" i="1"/>
  <c r="K133" i="1"/>
  <c r="L133" i="1"/>
  <c r="I131" i="19"/>
  <c r="J131" i="19"/>
  <c r="E131" i="19"/>
  <c r="B132" i="19"/>
  <c r="H132" i="19"/>
  <c r="F134" i="1"/>
  <c r="K134" i="1"/>
  <c r="L134" i="1"/>
  <c r="I132" i="19"/>
  <c r="J132" i="19"/>
  <c r="E132" i="19"/>
  <c r="B133" i="19"/>
  <c r="H133" i="19"/>
  <c r="F135" i="1"/>
  <c r="K135" i="1"/>
  <c r="L135" i="1"/>
  <c r="I133" i="19"/>
  <c r="J133" i="19"/>
  <c r="E133" i="19"/>
  <c r="B134" i="19"/>
  <c r="H134" i="19"/>
  <c r="F136" i="1"/>
  <c r="K136" i="1"/>
  <c r="L136" i="1"/>
  <c r="I134" i="19"/>
  <c r="J134" i="19"/>
  <c r="E134" i="19"/>
  <c r="B135" i="19"/>
  <c r="H135" i="19"/>
  <c r="F137" i="1"/>
  <c r="K137" i="1"/>
  <c r="L137" i="1"/>
  <c r="I135" i="19"/>
  <c r="J135" i="19"/>
  <c r="E135" i="19"/>
  <c r="B136" i="19"/>
  <c r="H136" i="19"/>
  <c r="F138" i="1"/>
  <c r="K138" i="1"/>
  <c r="L138" i="1"/>
  <c r="I136" i="19"/>
  <c r="J136" i="19"/>
  <c r="E136" i="19"/>
  <c r="B137" i="19"/>
  <c r="H137" i="19"/>
  <c r="F139" i="1"/>
  <c r="K139" i="1"/>
  <c r="L139" i="1"/>
  <c r="I137" i="19"/>
  <c r="J137" i="19"/>
  <c r="E137" i="19"/>
  <c r="B138" i="19"/>
  <c r="H138" i="19"/>
  <c r="F140" i="1"/>
  <c r="K140" i="1"/>
  <c r="L140" i="1"/>
  <c r="I138" i="19"/>
  <c r="J138" i="19"/>
  <c r="E138" i="19"/>
  <c r="B139" i="19"/>
  <c r="H139" i="19"/>
  <c r="F141" i="1"/>
  <c r="K141" i="1"/>
  <c r="L141" i="1"/>
  <c r="I139" i="19"/>
  <c r="J139" i="19"/>
  <c r="E139" i="19"/>
  <c r="B140" i="19"/>
  <c r="H140" i="19"/>
  <c r="F142" i="1"/>
  <c r="K142" i="1"/>
  <c r="L142" i="1"/>
  <c r="I140" i="19"/>
  <c r="J140" i="19"/>
  <c r="E140" i="19"/>
  <c r="B141" i="19"/>
  <c r="H141" i="19"/>
  <c r="F143" i="1"/>
  <c r="K143" i="1"/>
  <c r="L143" i="1"/>
  <c r="I141" i="19"/>
  <c r="J141" i="19"/>
  <c r="E141" i="19"/>
  <c r="B142" i="19"/>
  <c r="H142" i="19"/>
  <c r="F144" i="1"/>
  <c r="K144" i="1"/>
  <c r="L144" i="1"/>
  <c r="I142" i="19"/>
  <c r="J142" i="19"/>
  <c r="E142" i="19"/>
  <c r="B143" i="19"/>
  <c r="H143" i="19"/>
  <c r="F145" i="1"/>
  <c r="K145" i="1"/>
  <c r="L145" i="1"/>
  <c r="I143" i="19"/>
  <c r="J143" i="19"/>
  <c r="E143" i="19"/>
  <c r="B144" i="19"/>
  <c r="H144" i="19"/>
  <c r="F146" i="1"/>
  <c r="K146" i="1"/>
  <c r="L146" i="1"/>
  <c r="I144" i="19"/>
  <c r="J144" i="19"/>
  <c r="E144" i="19"/>
  <c r="B145" i="19"/>
  <c r="H145" i="19"/>
  <c r="F147" i="1"/>
  <c r="K147" i="1"/>
  <c r="L147" i="1"/>
  <c r="I145" i="19"/>
  <c r="J145" i="19"/>
  <c r="E145" i="19"/>
  <c r="B146" i="19"/>
  <c r="H146" i="19"/>
  <c r="F148" i="1"/>
  <c r="K148" i="1"/>
  <c r="L148" i="1"/>
  <c r="I146" i="19"/>
  <c r="J146" i="19"/>
  <c r="E146" i="19"/>
  <c r="B147" i="19"/>
  <c r="H147" i="19"/>
  <c r="F149" i="1"/>
  <c r="K149" i="1"/>
  <c r="L149" i="1"/>
  <c r="I147" i="19"/>
  <c r="J147" i="19"/>
  <c r="E147" i="19"/>
  <c r="B148" i="19"/>
  <c r="H148" i="19"/>
  <c r="F150" i="1"/>
  <c r="K150" i="1"/>
  <c r="L150" i="1"/>
  <c r="I148" i="19"/>
  <c r="J148" i="19"/>
  <c r="E148" i="19"/>
  <c r="B149" i="19"/>
  <c r="H149" i="19"/>
  <c r="F151" i="1"/>
  <c r="K151" i="1"/>
  <c r="L151" i="1"/>
  <c r="I149" i="19"/>
  <c r="J149" i="19"/>
  <c r="E149" i="19"/>
  <c r="B150" i="19"/>
  <c r="H150" i="19"/>
  <c r="F152" i="1"/>
  <c r="K152" i="1"/>
  <c r="L152" i="1"/>
  <c r="I150" i="19"/>
  <c r="J150" i="19"/>
  <c r="E150" i="19"/>
  <c r="B151" i="19"/>
  <c r="H151" i="19"/>
  <c r="F153" i="1"/>
  <c r="K153" i="1"/>
  <c r="L153" i="1"/>
  <c r="I151" i="19"/>
  <c r="J151" i="19"/>
  <c r="E151" i="19"/>
  <c r="B152" i="19"/>
  <c r="E152" i="19"/>
  <c r="H152" i="19"/>
  <c r="F154" i="1"/>
  <c r="K154" i="1"/>
  <c r="L154" i="1"/>
  <c r="I152" i="19"/>
  <c r="J152" i="19"/>
  <c r="F155" i="1"/>
  <c r="K155" i="1"/>
  <c r="B153" i="19"/>
  <c r="E153" i="19"/>
  <c r="H153" i="19"/>
  <c r="L155" i="1"/>
  <c r="I153" i="19"/>
  <c r="J153" i="19"/>
  <c r="F156" i="1"/>
  <c r="K156" i="1"/>
  <c r="B154" i="19"/>
  <c r="E154" i="19"/>
  <c r="H154" i="19"/>
  <c r="L156" i="1"/>
  <c r="I154" i="19"/>
  <c r="J154" i="19"/>
  <c r="F157" i="1"/>
  <c r="K157" i="1"/>
  <c r="B155" i="19"/>
  <c r="E155" i="19"/>
  <c r="H155" i="19"/>
  <c r="L157" i="1"/>
  <c r="I155" i="19"/>
  <c r="J155" i="19"/>
  <c r="F158" i="1"/>
  <c r="K158" i="1"/>
  <c r="B156" i="19"/>
  <c r="E156" i="19"/>
  <c r="H156" i="19"/>
  <c r="L158" i="1"/>
  <c r="I156" i="19"/>
  <c r="J156" i="19"/>
  <c r="F159" i="1"/>
  <c r="K159" i="1"/>
  <c r="B157" i="19"/>
  <c r="E157" i="19"/>
  <c r="H157" i="19"/>
  <c r="L159" i="1"/>
  <c r="I157" i="19"/>
  <c r="J157" i="19"/>
  <c r="F160" i="1"/>
  <c r="K160" i="1"/>
  <c r="B158" i="19"/>
  <c r="E158" i="19"/>
  <c r="H158" i="19"/>
  <c r="L160" i="1"/>
  <c r="I158" i="19"/>
  <c r="J158" i="19"/>
  <c r="F161" i="1"/>
  <c r="K161" i="1"/>
  <c r="B159" i="19"/>
  <c r="E159" i="19"/>
  <c r="H159" i="19"/>
  <c r="L161" i="1"/>
  <c r="I159" i="19"/>
  <c r="J159" i="19"/>
  <c r="F162" i="1"/>
  <c r="K162" i="1"/>
  <c r="B160" i="19"/>
  <c r="E160" i="19"/>
  <c r="H160" i="19"/>
  <c r="L162" i="1"/>
  <c r="I160" i="19"/>
  <c r="J160" i="19"/>
  <c r="F163" i="1"/>
  <c r="K163" i="1"/>
  <c r="B161" i="19"/>
  <c r="E161" i="19"/>
  <c r="H161" i="19"/>
  <c r="L163" i="1"/>
  <c r="I161" i="19"/>
  <c r="J161" i="19"/>
  <c r="F164" i="1"/>
  <c r="K164" i="1"/>
  <c r="B162" i="19"/>
  <c r="E162" i="19"/>
  <c r="H162" i="19"/>
  <c r="L164" i="1"/>
  <c r="I162" i="19"/>
  <c r="J162" i="19"/>
  <c r="F165" i="1"/>
  <c r="K165" i="1"/>
  <c r="B163" i="19"/>
  <c r="E163" i="19"/>
  <c r="H163" i="19"/>
  <c r="L165" i="1"/>
  <c r="I163" i="19"/>
  <c r="J163" i="19"/>
  <c r="F166" i="1"/>
  <c r="K166" i="1"/>
  <c r="B164" i="19"/>
  <c r="E164" i="19"/>
  <c r="H164" i="19"/>
  <c r="L166" i="1"/>
  <c r="I164" i="19"/>
  <c r="J164" i="19"/>
  <c r="F167" i="1"/>
  <c r="K167" i="1"/>
  <c r="B165" i="19"/>
  <c r="E165" i="19"/>
  <c r="H165" i="19"/>
  <c r="L167" i="1"/>
  <c r="I165" i="19"/>
  <c r="J165" i="19"/>
  <c r="F168" i="1"/>
  <c r="K168" i="1"/>
  <c r="B166" i="19"/>
  <c r="E166" i="19"/>
  <c r="H166" i="19"/>
  <c r="L168" i="1"/>
  <c r="I166" i="19"/>
  <c r="J166" i="19"/>
  <c r="F169" i="1"/>
  <c r="K169" i="1"/>
  <c r="B167" i="19"/>
  <c r="E167" i="19"/>
  <c r="H167" i="19"/>
  <c r="L169" i="1"/>
  <c r="I167" i="19"/>
  <c r="J167" i="19"/>
  <c r="F170" i="1"/>
  <c r="K170" i="1"/>
  <c r="B168" i="19"/>
  <c r="E168" i="19"/>
  <c r="H168" i="19"/>
  <c r="L170" i="1"/>
  <c r="I168" i="19"/>
  <c r="J168" i="19"/>
  <c r="F171" i="1"/>
  <c r="K171" i="1"/>
  <c r="B169" i="19"/>
  <c r="E169" i="19"/>
  <c r="H169" i="19"/>
  <c r="L171" i="1"/>
  <c r="I169" i="19"/>
  <c r="J169" i="19"/>
  <c r="F172" i="1"/>
  <c r="K172" i="1"/>
  <c r="B170" i="19"/>
  <c r="E170" i="19"/>
  <c r="H170" i="19"/>
  <c r="L172" i="1"/>
  <c r="I170" i="19"/>
  <c r="J170" i="19"/>
  <c r="F173" i="1"/>
  <c r="K173" i="1"/>
  <c r="B171" i="19"/>
  <c r="E171" i="19"/>
  <c r="H171" i="19"/>
  <c r="L173" i="1"/>
  <c r="I171" i="19"/>
  <c r="J171" i="19"/>
  <c r="F174" i="1"/>
  <c r="K174" i="1"/>
  <c r="B172" i="19"/>
  <c r="E172" i="19"/>
  <c r="H172" i="19"/>
  <c r="L174" i="1"/>
  <c r="I172" i="19"/>
  <c r="J172" i="19"/>
  <c r="F175" i="1"/>
  <c r="K175" i="1"/>
  <c r="B173" i="19"/>
  <c r="E173" i="19"/>
  <c r="H173" i="19"/>
  <c r="L175" i="1"/>
  <c r="I173" i="19"/>
  <c r="J173" i="19"/>
  <c r="F176" i="1"/>
  <c r="K176" i="1"/>
  <c r="B174" i="19"/>
  <c r="E174" i="19"/>
  <c r="H174" i="19"/>
  <c r="L176" i="1"/>
  <c r="I174" i="19"/>
  <c r="J174" i="19"/>
  <c r="F177" i="1"/>
  <c r="K177" i="1"/>
  <c r="B175" i="19"/>
  <c r="E175" i="19"/>
  <c r="H175" i="19"/>
  <c r="L177" i="1"/>
  <c r="I175" i="19"/>
  <c r="J175" i="19"/>
  <c r="F178" i="1"/>
  <c r="K178" i="1"/>
  <c r="B176" i="19"/>
  <c r="E176" i="19"/>
  <c r="H176" i="19"/>
  <c r="L178" i="1"/>
  <c r="I176" i="19"/>
  <c r="J176" i="19"/>
  <c r="F179" i="1"/>
  <c r="K179" i="1"/>
  <c r="B177" i="19"/>
  <c r="E177" i="19"/>
  <c r="H177" i="19"/>
  <c r="L179" i="1"/>
  <c r="I177" i="19"/>
  <c r="J177" i="19"/>
  <c r="F180" i="1"/>
  <c r="K180" i="1"/>
  <c r="B178" i="19"/>
  <c r="E178" i="19"/>
  <c r="H178" i="19"/>
  <c r="L180" i="1"/>
  <c r="I178" i="19"/>
  <c r="J178" i="19"/>
  <c r="F181" i="1"/>
  <c r="K181" i="1"/>
  <c r="B179" i="19"/>
  <c r="E179" i="19"/>
  <c r="H179" i="19"/>
  <c r="L181" i="1"/>
  <c r="I179" i="19"/>
  <c r="J179" i="19"/>
  <c r="F182" i="1"/>
  <c r="K182" i="1"/>
  <c r="B180" i="19"/>
  <c r="E180" i="19"/>
  <c r="H180" i="19"/>
  <c r="L182" i="1"/>
  <c r="I180" i="19"/>
  <c r="J180" i="19"/>
  <c r="F183" i="1"/>
  <c r="K183" i="1"/>
  <c r="B181" i="19"/>
  <c r="E181" i="19"/>
  <c r="H181" i="19"/>
  <c r="L183" i="1"/>
  <c r="I181" i="19"/>
  <c r="J181" i="19"/>
  <c r="F184" i="1"/>
  <c r="K184" i="1"/>
  <c r="B182" i="19"/>
  <c r="E182" i="19"/>
  <c r="H182" i="19"/>
  <c r="L184" i="1"/>
  <c r="I182" i="19"/>
  <c r="J182" i="19"/>
  <c r="F185" i="1"/>
  <c r="K185" i="1"/>
  <c r="B183" i="19"/>
  <c r="E183" i="19"/>
  <c r="H183" i="19"/>
  <c r="L185" i="1"/>
  <c r="I183" i="19"/>
  <c r="J183" i="19"/>
  <c r="F186" i="1"/>
  <c r="K186" i="1"/>
  <c r="B184" i="19"/>
  <c r="E184" i="19"/>
  <c r="H184" i="19"/>
  <c r="L186" i="1"/>
  <c r="I184" i="19"/>
  <c r="J184" i="19"/>
  <c r="F187" i="1"/>
  <c r="K187" i="1"/>
  <c r="B185" i="19"/>
  <c r="E185" i="19"/>
  <c r="H185" i="19"/>
  <c r="L187" i="1"/>
  <c r="I185" i="19"/>
  <c r="J185" i="19"/>
  <c r="F188" i="1"/>
  <c r="K188" i="1"/>
  <c r="B186" i="19"/>
  <c r="E186" i="19"/>
  <c r="H186" i="19"/>
  <c r="L188" i="1"/>
  <c r="I186" i="19"/>
  <c r="J186" i="19"/>
  <c r="F189" i="1"/>
  <c r="K189" i="1"/>
  <c r="B187" i="19"/>
  <c r="E187" i="19"/>
  <c r="H187" i="19"/>
  <c r="L189" i="1"/>
  <c r="I187" i="19"/>
  <c r="J187" i="19"/>
  <c r="F190" i="1"/>
  <c r="K190" i="1"/>
  <c r="B188" i="19"/>
  <c r="E188" i="19"/>
  <c r="H188" i="19"/>
  <c r="L190" i="1"/>
  <c r="I188" i="19"/>
  <c r="J188" i="19"/>
  <c r="F191" i="1"/>
  <c r="K191" i="1"/>
  <c r="B189" i="19"/>
  <c r="E189" i="19"/>
  <c r="H189" i="19"/>
  <c r="L191" i="1"/>
  <c r="I189" i="19"/>
  <c r="J189" i="19"/>
  <c r="F192" i="1"/>
  <c r="K192" i="1"/>
  <c r="B190" i="19"/>
  <c r="E190" i="19"/>
  <c r="H190" i="19"/>
  <c r="L192" i="1"/>
  <c r="I190" i="19"/>
  <c r="J190" i="19"/>
  <c r="F193" i="1"/>
  <c r="K193" i="1"/>
  <c r="B191" i="19"/>
  <c r="E191" i="19"/>
  <c r="H191" i="19"/>
  <c r="L193" i="1"/>
  <c r="I191" i="19"/>
  <c r="J191" i="19"/>
  <c r="F194" i="1"/>
  <c r="K194" i="1"/>
  <c r="B192" i="19"/>
  <c r="E192" i="19"/>
  <c r="H192" i="19"/>
  <c r="L194" i="1"/>
  <c r="I192" i="19"/>
  <c r="J192" i="19"/>
  <c r="F195" i="1"/>
  <c r="K195" i="1"/>
  <c r="B193" i="19"/>
  <c r="E193" i="19"/>
  <c r="H193" i="19"/>
  <c r="L195" i="1"/>
  <c r="I193" i="19"/>
  <c r="J193" i="19"/>
  <c r="F196" i="1"/>
  <c r="K196" i="1"/>
  <c r="B194" i="19"/>
  <c r="E194" i="19"/>
  <c r="H194" i="19"/>
  <c r="L196" i="1"/>
  <c r="I194" i="19"/>
  <c r="J194" i="19"/>
  <c r="F197" i="1"/>
  <c r="K197" i="1"/>
  <c r="B195" i="19"/>
  <c r="E195" i="19"/>
  <c r="H195" i="19"/>
  <c r="L197" i="1"/>
  <c r="I195" i="19"/>
  <c r="J195" i="19"/>
  <c r="F198" i="1"/>
  <c r="K198" i="1"/>
  <c r="B196" i="19"/>
  <c r="E196" i="19"/>
  <c r="H196" i="19"/>
  <c r="L198" i="1"/>
  <c r="I196" i="19"/>
  <c r="J196" i="19"/>
  <c r="F199" i="1"/>
  <c r="K199" i="1"/>
  <c r="B197" i="19"/>
  <c r="E197" i="19"/>
  <c r="H197" i="19"/>
  <c r="L199" i="1"/>
  <c r="I197" i="19"/>
  <c r="J197" i="19"/>
  <c r="F200" i="1"/>
  <c r="K200" i="1"/>
  <c r="B198" i="19"/>
  <c r="E198" i="19"/>
  <c r="H198" i="19"/>
  <c r="L200" i="1"/>
  <c r="I198" i="19"/>
  <c r="J198" i="19"/>
  <c r="F201" i="1"/>
  <c r="K201" i="1"/>
  <c r="B199" i="19"/>
  <c r="E199" i="19"/>
  <c r="AS6" i="6"/>
  <c r="AS7" i="6"/>
  <c r="AS8" i="6"/>
  <c r="AS9" i="6"/>
  <c r="AS10" i="6"/>
  <c r="AS11" i="6"/>
  <c r="AS12" i="6"/>
  <c r="AS13" i="6"/>
  <c r="AS14" i="6"/>
  <c r="AS15" i="6"/>
  <c r="AS16" i="6"/>
  <c r="AS17" i="6"/>
  <c r="AS18" i="6"/>
  <c r="AS19" i="6"/>
  <c r="AS20" i="6"/>
  <c r="AS21" i="6"/>
  <c r="X21" i="11"/>
  <c r="W13" i="6"/>
  <c r="V5" i="17"/>
  <c r="H5" i="17"/>
  <c r="C5" i="17"/>
  <c r="J5" i="17"/>
  <c r="X11" i="11"/>
  <c r="X12" i="11"/>
  <c r="W9" i="6"/>
  <c r="X7" i="11"/>
  <c r="W6" i="6"/>
  <c r="AL6" i="6"/>
  <c r="Z7" i="6"/>
  <c r="AL7" i="6"/>
  <c r="Z8" i="6"/>
  <c r="AL8" i="6"/>
  <c r="Z9" i="6"/>
  <c r="AL9" i="6"/>
  <c r="Z10" i="6"/>
  <c r="AL10" i="6"/>
  <c r="Z11" i="6"/>
  <c r="AL11" i="6"/>
  <c r="Z12" i="6"/>
  <c r="AL12" i="6"/>
  <c r="Z13" i="6"/>
  <c r="AL13" i="6"/>
  <c r="E4" i="9"/>
  <c r="Z14" i="6"/>
  <c r="AL14" i="6"/>
  <c r="E13" i="9"/>
  <c r="B76" i="9"/>
  <c r="B67" i="9"/>
  <c r="B58" i="9"/>
  <c r="B40" i="9"/>
  <c r="B31" i="9"/>
  <c r="B22" i="9"/>
  <c r="AR7" i="6"/>
  <c r="AR8" i="6"/>
  <c r="AR9" i="6"/>
  <c r="AR10" i="6"/>
  <c r="AR11" i="6"/>
  <c r="AR12" i="6"/>
  <c r="AR13" i="6"/>
  <c r="AR14" i="6"/>
  <c r="AR15" i="6"/>
  <c r="AR16" i="6"/>
  <c r="AR17" i="6"/>
  <c r="AR18" i="6"/>
  <c r="AR19" i="6"/>
  <c r="AR20" i="6"/>
  <c r="AR21" i="6"/>
  <c r="AR6" i="6"/>
  <c r="B49" i="9"/>
  <c r="F202" i="1"/>
  <c r="K202" i="1"/>
  <c r="F203" i="1"/>
  <c r="K203" i="1"/>
  <c r="L203" i="1"/>
  <c r="F4" i="19"/>
  <c r="G4" i="19"/>
  <c r="U4" i="1"/>
  <c r="Z4" i="1"/>
  <c r="F3" i="19"/>
  <c r="G3" i="19"/>
  <c r="K3" i="19"/>
  <c r="L4" i="1"/>
  <c r="I2" i="19"/>
  <c r="J2" i="19"/>
  <c r="K2" i="19"/>
  <c r="Q4" i="7"/>
  <c r="R4" i="7"/>
  <c r="U5" i="17"/>
  <c r="W5" i="17"/>
  <c r="V4" i="17"/>
  <c r="W4" i="17"/>
  <c r="T4" i="17"/>
  <c r="T5" i="17"/>
  <c r="W5" i="1"/>
  <c r="U5" i="1"/>
  <c r="Z5" i="1"/>
  <c r="H199" i="19"/>
  <c r="L201" i="1"/>
  <c r="I199" i="19"/>
  <c r="J199" i="19"/>
  <c r="B200" i="19"/>
  <c r="E200" i="19"/>
  <c r="H200" i="19"/>
  <c r="L202" i="1"/>
  <c r="I200" i="19"/>
  <c r="J200" i="19"/>
  <c r="B201" i="19"/>
  <c r="C201" i="19"/>
  <c r="D201" i="19"/>
  <c r="F201" i="19"/>
  <c r="G201" i="19"/>
  <c r="H201" i="19"/>
  <c r="I201" i="19"/>
  <c r="J201" i="19"/>
  <c r="K201" i="19"/>
  <c r="E201" i="19"/>
  <c r="B202" i="19"/>
  <c r="C202" i="19"/>
  <c r="D202" i="19"/>
  <c r="F202" i="19"/>
  <c r="G202" i="19"/>
  <c r="H202" i="19"/>
  <c r="I202" i="19"/>
  <c r="J202" i="19"/>
  <c r="K202" i="19"/>
  <c r="E202" i="19"/>
  <c r="B203" i="19"/>
  <c r="C203" i="19"/>
  <c r="D203" i="19"/>
  <c r="F203" i="19"/>
  <c r="G203" i="19"/>
  <c r="H203" i="19"/>
  <c r="I203" i="19"/>
  <c r="J203" i="19"/>
  <c r="K203" i="19"/>
  <c r="E203" i="19"/>
  <c r="B204" i="19"/>
  <c r="C204" i="19"/>
  <c r="D204" i="19"/>
  <c r="F204" i="19"/>
  <c r="G204" i="19"/>
  <c r="H204" i="19"/>
  <c r="I204" i="19"/>
  <c r="J204" i="19"/>
  <c r="K204" i="19"/>
  <c r="E204" i="19"/>
  <c r="B205" i="19"/>
  <c r="C205" i="19"/>
  <c r="D205" i="19"/>
  <c r="F205" i="19"/>
  <c r="G205" i="19"/>
  <c r="H205" i="19"/>
  <c r="I205" i="19"/>
  <c r="J205" i="19"/>
  <c r="K205" i="19"/>
  <c r="E205" i="19"/>
  <c r="B206" i="19"/>
  <c r="C206" i="19"/>
  <c r="D206" i="19"/>
  <c r="F206" i="19"/>
  <c r="G206" i="19"/>
  <c r="H206" i="19"/>
  <c r="I206" i="19"/>
  <c r="J206" i="19"/>
  <c r="K206" i="19"/>
  <c r="B207" i="19"/>
  <c r="C207" i="19"/>
  <c r="D207" i="19"/>
  <c r="F207" i="19"/>
  <c r="G207" i="19"/>
  <c r="H207" i="19"/>
  <c r="I207" i="19"/>
  <c r="J207" i="19"/>
  <c r="K207" i="19"/>
  <c r="E207" i="19"/>
  <c r="B208" i="19"/>
  <c r="C208" i="19"/>
  <c r="D208" i="19"/>
  <c r="F208" i="19"/>
  <c r="G208" i="19"/>
  <c r="H208" i="19"/>
  <c r="I208" i="19"/>
  <c r="J208" i="19"/>
  <c r="K208" i="19"/>
  <c r="E208" i="19"/>
  <c r="B209" i="19"/>
  <c r="C209" i="19"/>
  <c r="D209" i="19"/>
  <c r="F209" i="19"/>
  <c r="G209" i="19"/>
  <c r="H209" i="19"/>
  <c r="I209" i="19"/>
  <c r="J209" i="19"/>
  <c r="K209" i="19"/>
  <c r="E209" i="19"/>
  <c r="B210" i="19"/>
  <c r="C210" i="19"/>
  <c r="D210" i="19"/>
  <c r="F210" i="19"/>
  <c r="G210" i="19"/>
  <c r="H210" i="19"/>
  <c r="I210" i="19"/>
  <c r="J210" i="19"/>
  <c r="K210" i="19"/>
  <c r="E210" i="19"/>
  <c r="B211" i="19"/>
  <c r="C211" i="19"/>
  <c r="D211" i="19"/>
  <c r="F211" i="19"/>
  <c r="G211" i="19"/>
  <c r="H211" i="19"/>
  <c r="I211" i="19"/>
  <c r="J211" i="19"/>
  <c r="K211" i="19"/>
  <c r="E211" i="19"/>
  <c r="B212" i="19"/>
  <c r="C212" i="19"/>
  <c r="D212" i="19"/>
  <c r="F212" i="19"/>
  <c r="G212" i="19"/>
  <c r="H212" i="19"/>
  <c r="I212" i="19"/>
  <c r="J212" i="19"/>
  <c r="K212" i="19"/>
  <c r="E212" i="19"/>
  <c r="B213" i="19"/>
  <c r="C213" i="19"/>
  <c r="D213" i="19"/>
  <c r="F213" i="19"/>
  <c r="G213" i="19"/>
  <c r="H213" i="19"/>
  <c r="I213" i="19"/>
  <c r="J213" i="19"/>
  <c r="K213" i="19"/>
  <c r="E213" i="19"/>
  <c r="B214" i="19"/>
  <c r="C214" i="19"/>
  <c r="D214" i="19"/>
  <c r="F214" i="19"/>
  <c r="G214" i="19"/>
  <c r="H214" i="19"/>
  <c r="I214" i="19"/>
  <c r="J214" i="19"/>
  <c r="K214" i="19"/>
  <c r="E214" i="19"/>
  <c r="B215" i="19"/>
  <c r="C215" i="19"/>
  <c r="D215" i="19"/>
  <c r="F215" i="19"/>
  <c r="G215" i="19"/>
  <c r="H215" i="19"/>
  <c r="I215" i="19"/>
  <c r="J215" i="19"/>
  <c r="K215" i="19"/>
  <c r="E215" i="19"/>
  <c r="B216" i="19"/>
  <c r="C216" i="19"/>
  <c r="D216" i="19"/>
  <c r="F216" i="19"/>
  <c r="G216" i="19"/>
  <c r="H216" i="19"/>
  <c r="I216" i="19"/>
  <c r="J216" i="19"/>
  <c r="K216" i="19"/>
  <c r="E216" i="19"/>
  <c r="B217" i="19"/>
  <c r="C217" i="19"/>
  <c r="D217" i="19"/>
  <c r="F217" i="19"/>
  <c r="G217" i="19"/>
  <c r="H217" i="19"/>
  <c r="I217" i="19"/>
  <c r="J217" i="19"/>
  <c r="K217" i="19"/>
  <c r="E217" i="19"/>
  <c r="B218" i="19"/>
  <c r="C218" i="19"/>
  <c r="D218" i="19"/>
  <c r="F218" i="19"/>
  <c r="G218" i="19"/>
  <c r="H218" i="19"/>
  <c r="I218" i="19"/>
  <c r="J218" i="19"/>
  <c r="K218" i="19"/>
  <c r="E218" i="19"/>
  <c r="B219" i="19"/>
  <c r="C219" i="19"/>
  <c r="D219" i="19"/>
  <c r="F219" i="19"/>
  <c r="G219" i="19"/>
  <c r="H219" i="19"/>
  <c r="I219" i="19"/>
  <c r="J219" i="19"/>
  <c r="K219" i="19"/>
  <c r="E219" i="19"/>
  <c r="B220" i="19"/>
  <c r="C220" i="19"/>
  <c r="D220" i="19"/>
  <c r="F220" i="19"/>
  <c r="G220" i="19"/>
  <c r="H220" i="19"/>
  <c r="I220" i="19"/>
  <c r="J220" i="19"/>
  <c r="K220" i="19"/>
  <c r="E220" i="19"/>
  <c r="B221" i="19"/>
  <c r="C221" i="19"/>
  <c r="D221" i="19"/>
  <c r="F221" i="19"/>
  <c r="G221" i="19"/>
  <c r="H221" i="19"/>
  <c r="I221" i="19"/>
  <c r="J221" i="19"/>
  <c r="K221" i="19"/>
  <c r="E221" i="19"/>
  <c r="B222" i="19"/>
  <c r="C222" i="19"/>
  <c r="D222" i="19"/>
  <c r="F222" i="19"/>
  <c r="G222" i="19"/>
  <c r="H222" i="19"/>
  <c r="I222" i="19"/>
  <c r="J222" i="19"/>
  <c r="K222" i="19"/>
  <c r="E222" i="19"/>
  <c r="B223" i="19"/>
  <c r="C223" i="19"/>
  <c r="D223" i="19"/>
  <c r="F223" i="19"/>
  <c r="G223" i="19"/>
  <c r="H223" i="19"/>
  <c r="I223" i="19"/>
  <c r="J223" i="19"/>
  <c r="K223" i="19"/>
  <c r="E223" i="19"/>
  <c r="B224" i="19"/>
  <c r="C224" i="19"/>
  <c r="D224" i="19"/>
  <c r="F224" i="19"/>
  <c r="G224" i="19"/>
  <c r="H224" i="19"/>
  <c r="I224" i="19"/>
  <c r="J224" i="19"/>
  <c r="K224" i="19"/>
  <c r="E224" i="19"/>
  <c r="B225" i="19"/>
  <c r="C225" i="19"/>
  <c r="D225" i="19"/>
  <c r="F225" i="19"/>
  <c r="G225" i="19"/>
  <c r="H225" i="19"/>
  <c r="I225" i="19"/>
  <c r="J225" i="19"/>
  <c r="K225" i="19"/>
  <c r="E225" i="19"/>
  <c r="B226" i="19"/>
  <c r="C226" i="19"/>
  <c r="D226" i="19"/>
  <c r="F226" i="19"/>
  <c r="G226" i="19"/>
  <c r="H226" i="19"/>
  <c r="I226" i="19"/>
  <c r="J226" i="19"/>
  <c r="K226" i="19"/>
  <c r="E226" i="19"/>
  <c r="B227" i="19"/>
  <c r="C227" i="19"/>
  <c r="D227" i="19"/>
  <c r="F227" i="19"/>
  <c r="G227" i="19"/>
  <c r="H227" i="19"/>
  <c r="I227" i="19"/>
  <c r="J227" i="19"/>
  <c r="K227" i="19"/>
  <c r="E227" i="19"/>
  <c r="B228" i="19"/>
  <c r="C228" i="19"/>
  <c r="D228" i="19"/>
  <c r="F228" i="19"/>
  <c r="G228" i="19"/>
  <c r="H228" i="19"/>
  <c r="I228" i="19"/>
  <c r="J228" i="19"/>
  <c r="K228" i="19"/>
  <c r="E228" i="19"/>
  <c r="B229" i="19"/>
  <c r="C229" i="19"/>
  <c r="D229" i="19"/>
  <c r="F229" i="19"/>
  <c r="G229" i="19"/>
  <c r="H229" i="19"/>
  <c r="I229" i="19"/>
  <c r="J229" i="19"/>
  <c r="K229" i="19"/>
  <c r="E229" i="19"/>
  <c r="B230" i="19"/>
  <c r="C230" i="19"/>
  <c r="D230" i="19"/>
  <c r="F230" i="19"/>
  <c r="G230" i="19"/>
  <c r="H230" i="19"/>
  <c r="I230" i="19"/>
  <c r="J230" i="19"/>
  <c r="K230" i="19"/>
  <c r="E230" i="19"/>
  <c r="B231" i="19"/>
  <c r="C231" i="19"/>
  <c r="D231" i="19"/>
  <c r="F231" i="19"/>
  <c r="G231" i="19"/>
  <c r="H231" i="19"/>
  <c r="I231" i="19"/>
  <c r="J231" i="19"/>
  <c r="K231" i="19"/>
  <c r="E231" i="19"/>
  <c r="B232" i="19"/>
  <c r="C232" i="19"/>
  <c r="D232" i="19"/>
  <c r="F232" i="19"/>
  <c r="G232" i="19"/>
  <c r="H232" i="19"/>
  <c r="I232" i="19"/>
  <c r="J232" i="19"/>
  <c r="K232" i="19"/>
  <c r="E232" i="19"/>
  <c r="B233" i="19"/>
  <c r="C233" i="19"/>
  <c r="D233" i="19"/>
  <c r="F233" i="19"/>
  <c r="G233" i="19"/>
  <c r="H233" i="19"/>
  <c r="I233" i="19"/>
  <c r="J233" i="19"/>
  <c r="K233" i="19"/>
  <c r="E233" i="19"/>
  <c r="B234" i="19"/>
  <c r="C234" i="19"/>
  <c r="D234" i="19"/>
  <c r="F234" i="19"/>
  <c r="G234" i="19"/>
  <c r="H234" i="19"/>
  <c r="I234" i="19"/>
  <c r="J234" i="19"/>
  <c r="K234" i="19"/>
  <c r="E234" i="19"/>
  <c r="B235" i="19"/>
  <c r="C235" i="19"/>
  <c r="D235" i="19"/>
  <c r="F235" i="19"/>
  <c r="G235" i="19"/>
  <c r="H235" i="19"/>
  <c r="I235" i="19"/>
  <c r="J235" i="19"/>
  <c r="K235" i="19"/>
  <c r="E235" i="19"/>
  <c r="B236" i="19"/>
  <c r="C236" i="19"/>
  <c r="D236" i="19"/>
  <c r="F236" i="19"/>
  <c r="G236" i="19"/>
  <c r="H236" i="19"/>
  <c r="I236" i="19"/>
  <c r="J236" i="19"/>
  <c r="K236" i="19"/>
  <c r="E236" i="19"/>
  <c r="B237" i="19"/>
  <c r="C237" i="19"/>
  <c r="D237" i="19"/>
  <c r="F237" i="19"/>
  <c r="G237" i="19"/>
  <c r="H237" i="19"/>
  <c r="I237" i="19"/>
  <c r="J237" i="19"/>
  <c r="K237" i="19"/>
  <c r="E237" i="19"/>
  <c r="B238" i="19"/>
  <c r="C238" i="19"/>
  <c r="D238" i="19"/>
  <c r="F238" i="19"/>
  <c r="G238" i="19"/>
  <c r="H238" i="19"/>
  <c r="I238" i="19"/>
  <c r="J238" i="19"/>
  <c r="K238" i="19"/>
  <c r="E238" i="19"/>
  <c r="B239" i="19"/>
  <c r="C239" i="19"/>
  <c r="D239" i="19"/>
  <c r="F239" i="19"/>
  <c r="G239" i="19"/>
  <c r="H239" i="19"/>
  <c r="I239" i="19"/>
  <c r="J239" i="19"/>
  <c r="K239" i="19"/>
  <c r="E239" i="19"/>
  <c r="B240" i="19"/>
  <c r="C240" i="19"/>
  <c r="D240" i="19"/>
  <c r="F240" i="19"/>
  <c r="G240" i="19"/>
  <c r="H240" i="19"/>
  <c r="I240" i="19"/>
  <c r="J240" i="19"/>
  <c r="K240" i="19"/>
  <c r="E240" i="19"/>
  <c r="B241" i="19"/>
  <c r="C241" i="19"/>
  <c r="D241" i="19"/>
  <c r="F241" i="19"/>
  <c r="G241" i="19"/>
  <c r="H241" i="19"/>
  <c r="I241" i="19"/>
  <c r="J241" i="19"/>
  <c r="K241" i="19"/>
  <c r="E241" i="19"/>
  <c r="B242" i="19"/>
  <c r="C242" i="19"/>
  <c r="D242" i="19"/>
  <c r="F242" i="19"/>
  <c r="G242" i="19"/>
  <c r="H242" i="19"/>
  <c r="I242" i="19"/>
  <c r="J242" i="19"/>
  <c r="K242" i="19"/>
  <c r="E242" i="19"/>
  <c r="B243" i="19"/>
  <c r="C243" i="19"/>
  <c r="D243" i="19"/>
  <c r="F243" i="19"/>
  <c r="G243" i="19"/>
  <c r="H243" i="19"/>
  <c r="I243" i="19"/>
  <c r="J243" i="19"/>
  <c r="K243" i="19"/>
  <c r="E243" i="19"/>
  <c r="B244" i="19"/>
  <c r="C244" i="19"/>
  <c r="D244" i="19"/>
  <c r="F244" i="19"/>
  <c r="G244" i="19"/>
  <c r="H244" i="19"/>
  <c r="I244" i="19"/>
  <c r="J244" i="19"/>
  <c r="K244" i="19"/>
  <c r="E244" i="19"/>
  <c r="B245" i="19"/>
  <c r="C245" i="19"/>
  <c r="D245" i="19"/>
  <c r="F245" i="19"/>
  <c r="G245" i="19"/>
  <c r="H245" i="19"/>
  <c r="I245" i="19"/>
  <c r="J245" i="19"/>
  <c r="K245" i="19"/>
  <c r="E245" i="19"/>
  <c r="B246" i="19"/>
  <c r="C246" i="19"/>
  <c r="D246" i="19"/>
  <c r="F246" i="19"/>
  <c r="G246" i="19"/>
  <c r="H246" i="19"/>
  <c r="I246" i="19"/>
  <c r="J246" i="19"/>
  <c r="K246" i="19"/>
  <c r="E246" i="19"/>
  <c r="B247" i="19"/>
  <c r="C247" i="19"/>
  <c r="D247" i="19"/>
  <c r="F247" i="19"/>
  <c r="G247" i="19"/>
  <c r="H247" i="19"/>
  <c r="I247" i="19"/>
  <c r="J247" i="19"/>
  <c r="K247" i="19"/>
  <c r="E247" i="19"/>
  <c r="B248" i="19"/>
  <c r="C248" i="19"/>
  <c r="D248" i="19"/>
  <c r="F248" i="19"/>
  <c r="G248" i="19"/>
  <c r="H248" i="19"/>
  <c r="I248" i="19"/>
  <c r="J248" i="19"/>
  <c r="K248" i="19"/>
  <c r="E248" i="19"/>
  <c r="B249" i="19"/>
  <c r="C249" i="19"/>
  <c r="D249" i="19"/>
  <c r="F249" i="19"/>
  <c r="G249" i="19"/>
  <c r="H249" i="19"/>
  <c r="I249" i="19"/>
  <c r="J249" i="19"/>
  <c r="K249" i="19"/>
  <c r="E249" i="19"/>
  <c r="B250" i="19"/>
  <c r="C250" i="19"/>
  <c r="D250" i="19"/>
  <c r="F250" i="19"/>
  <c r="G250" i="19"/>
  <c r="H250" i="19"/>
  <c r="I250" i="19"/>
  <c r="J250" i="19"/>
  <c r="K250" i="19"/>
  <c r="E250" i="19"/>
  <c r="B251" i="19"/>
  <c r="C251" i="19"/>
  <c r="D251" i="19"/>
  <c r="F251" i="19"/>
  <c r="G251" i="19"/>
  <c r="H251" i="19"/>
  <c r="I251" i="19"/>
  <c r="J251" i="19"/>
  <c r="K251" i="19"/>
  <c r="E251" i="19"/>
  <c r="B252" i="19"/>
  <c r="C252" i="19"/>
  <c r="D252" i="19"/>
  <c r="F252" i="19"/>
  <c r="G252" i="19"/>
  <c r="H252" i="19"/>
  <c r="I252" i="19"/>
  <c r="J252" i="19"/>
  <c r="K252" i="19"/>
  <c r="E252" i="19"/>
  <c r="B253" i="19"/>
  <c r="C253" i="19"/>
  <c r="D253" i="19"/>
  <c r="F253" i="19"/>
  <c r="G253" i="19"/>
  <c r="H253" i="19"/>
  <c r="I253" i="19"/>
  <c r="J253" i="19"/>
  <c r="K253" i="19"/>
  <c r="E253" i="19"/>
  <c r="B254" i="19"/>
  <c r="C254" i="19"/>
  <c r="D254" i="19"/>
  <c r="F254" i="19"/>
  <c r="G254" i="19"/>
  <c r="H254" i="19"/>
  <c r="I254" i="19"/>
  <c r="J254" i="19"/>
  <c r="K254" i="19"/>
  <c r="E254" i="19"/>
  <c r="B255" i="19"/>
  <c r="C255" i="19"/>
  <c r="D255" i="19"/>
  <c r="F255" i="19"/>
  <c r="G255" i="19"/>
  <c r="H255" i="19"/>
  <c r="I255" i="19"/>
  <c r="J255" i="19"/>
  <c r="K255" i="19"/>
  <c r="E255" i="19"/>
  <c r="B256" i="19"/>
  <c r="C256" i="19"/>
  <c r="D256" i="19"/>
  <c r="F256" i="19"/>
  <c r="G256" i="19"/>
  <c r="H256" i="19"/>
  <c r="I256" i="19"/>
  <c r="J256" i="19"/>
  <c r="K256" i="19"/>
  <c r="E256" i="19"/>
  <c r="B257" i="19"/>
  <c r="C257" i="19"/>
  <c r="D257" i="19"/>
  <c r="F257" i="19"/>
  <c r="G257" i="19"/>
  <c r="H257" i="19"/>
  <c r="I257" i="19"/>
  <c r="J257" i="19"/>
  <c r="K257" i="19"/>
  <c r="E257" i="19"/>
  <c r="B258" i="19"/>
  <c r="C258" i="19"/>
  <c r="D258" i="19"/>
  <c r="F258" i="19"/>
  <c r="G258" i="19"/>
  <c r="H258" i="19"/>
  <c r="I258" i="19"/>
  <c r="J258" i="19"/>
  <c r="K258" i="19"/>
  <c r="E258" i="19"/>
  <c r="B259" i="19"/>
  <c r="C259" i="19"/>
  <c r="D259" i="19"/>
  <c r="F259" i="19"/>
  <c r="G259" i="19"/>
  <c r="H259" i="19"/>
  <c r="I259" i="19"/>
  <c r="J259" i="19"/>
  <c r="K259" i="19"/>
  <c r="E259" i="19"/>
  <c r="B260" i="19"/>
  <c r="C260" i="19"/>
  <c r="D260" i="19"/>
  <c r="F260" i="19"/>
  <c r="G260" i="19"/>
  <c r="H260" i="19"/>
  <c r="I260" i="19"/>
  <c r="J260" i="19"/>
  <c r="K260" i="19"/>
  <c r="E260" i="19"/>
  <c r="B261" i="19"/>
  <c r="C261" i="19"/>
  <c r="D261" i="19"/>
  <c r="F261" i="19"/>
  <c r="G261" i="19"/>
  <c r="H261" i="19"/>
  <c r="I261" i="19"/>
  <c r="J261" i="19"/>
  <c r="K261" i="19"/>
  <c r="E261" i="19"/>
  <c r="B262" i="19"/>
  <c r="C262" i="19"/>
  <c r="D262" i="19"/>
  <c r="F262" i="19"/>
  <c r="G262" i="19"/>
  <c r="H262" i="19"/>
  <c r="I262" i="19"/>
  <c r="J262" i="19"/>
  <c r="K262" i="19"/>
  <c r="E262" i="19"/>
  <c r="B263" i="19"/>
  <c r="C263" i="19"/>
  <c r="D263" i="19"/>
  <c r="F263" i="19"/>
  <c r="G263" i="19"/>
  <c r="H263" i="19"/>
  <c r="I263" i="19"/>
  <c r="J263" i="19"/>
  <c r="K263" i="19"/>
  <c r="E263" i="19"/>
  <c r="B264" i="19"/>
  <c r="C264" i="19"/>
  <c r="D264" i="19"/>
  <c r="F264" i="19"/>
  <c r="G264" i="19"/>
  <c r="H264" i="19"/>
  <c r="I264" i="19"/>
  <c r="J264" i="19"/>
  <c r="K264" i="19"/>
  <c r="E264" i="19"/>
  <c r="B265" i="19"/>
  <c r="C265" i="19"/>
  <c r="D265" i="19"/>
  <c r="F265" i="19"/>
  <c r="G265" i="19"/>
  <c r="H265" i="19"/>
  <c r="I265" i="19"/>
  <c r="J265" i="19"/>
  <c r="K265" i="19"/>
  <c r="E265" i="19"/>
  <c r="B266" i="19"/>
  <c r="C266" i="19"/>
  <c r="D266" i="19"/>
  <c r="F266" i="19"/>
  <c r="G266" i="19"/>
  <c r="H266" i="19"/>
  <c r="I266" i="19"/>
  <c r="J266" i="19"/>
  <c r="K266" i="19"/>
  <c r="E266" i="19"/>
  <c r="B267" i="19"/>
  <c r="C267" i="19"/>
  <c r="D267" i="19"/>
  <c r="F267" i="19"/>
  <c r="G267" i="19"/>
  <c r="H267" i="19"/>
  <c r="I267" i="19"/>
  <c r="J267" i="19"/>
  <c r="K267" i="19"/>
  <c r="E267" i="19"/>
  <c r="B268" i="19"/>
  <c r="C268" i="19"/>
  <c r="D268" i="19"/>
  <c r="F268" i="19"/>
  <c r="G268" i="19"/>
  <c r="H268" i="19"/>
  <c r="I268" i="19"/>
  <c r="J268" i="19"/>
  <c r="K268" i="19"/>
  <c r="E268" i="19"/>
  <c r="B269" i="19"/>
  <c r="C269" i="19"/>
  <c r="D269" i="19"/>
  <c r="F269" i="19"/>
  <c r="G269" i="19"/>
  <c r="H269" i="19"/>
  <c r="I269" i="19"/>
  <c r="J269" i="19"/>
  <c r="K269" i="19"/>
  <c r="E269" i="19"/>
  <c r="B270" i="19"/>
  <c r="C270" i="19"/>
  <c r="D270" i="19"/>
  <c r="F270" i="19"/>
  <c r="G270" i="19"/>
  <c r="H270" i="19"/>
  <c r="I270" i="19"/>
  <c r="J270" i="19"/>
  <c r="K270" i="19"/>
  <c r="E270" i="19"/>
  <c r="B271" i="19"/>
  <c r="C271" i="19"/>
  <c r="D271" i="19"/>
  <c r="F271" i="19"/>
  <c r="G271" i="19"/>
  <c r="H271" i="19"/>
  <c r="I271" i="19"/>
  <c r="J271" i="19"/>
  <c r="K271" i="19"/>
  <c r="E271" i="19"/>
  <c r="B272" i="19"/>
  <c r="C272" i="19"/>
  <c r="D272" i="19"/>
  <c r="F272" i="19"/>
  <c r="G272" i="19"/>
  <c r="H272" i="19"/>
  <c r="I272" i="19"/>
  <c r="J272" i="19"/>
  <c r="K272" i="19"/>
  <c r="E272" i="19"/>
  <c r="B273" i="19"/>
  <c r="C273" i="19"/>
  <c r="D273" i="19"/>
  <c r="F273" i="19"/>
  <c r="G273" i="19"/>
  <c r="H273" i="19"/>
  <c r="I273" i="19"/>
  <c r="J273" i="19"/>
  <c r="K273" i="19"/>
  <c r="E273" i="19"/>
  <c r="B274" i="19"/>
  <c r="C274" i="19"/>
  <c r="D274" i="19"/>
  <c r="F274" i="19"/>
  <c r="G274" i="19"/>
  <c r="H274" i="19"/>
  <c r="I274" i="19"/>
  <c r="J274" i="19"/>
  <c r="K274" i="19"/>
  <c r="E274" i="19"/>
  <c r="B275" i="19"/>
  <c r="C275" i="19"/>
  <c r="D275" i="19"/>
  <c r="F275" i="19"/>
  <c r="G275" i="19"/>
  <c r="H275" i="19"/>
  <c r="I275" i="19"/>
  <c r="J275" i="19"/>
  <c r="K275" i="19"/>
  <c r="E275" i="19"/>
  <c r="B276" i="19"/>
  <c r="C276" i="19"/>
  <c r="D276" i="19"/>
  <c r="F276" i="19"/>
  <c r="G276" i="19"/>
  <c r="H276" i="19"/>
  <c r="I276" i="19"/>
  <c r="J276" i="19"/>
  <c r="K276" i="19"/>
  <c r="E276" i="19"/>
  <c r="B277" i="19"/>
  <c r="C277" i="19"/>
  <c r="D277" i="19"/>
  <c r="F277" i="19"/>
  <c r="G277" i="19"/>
  <c r="H277" i="19"/>
  <c r="I277" i="19"/>
  <c r="J277" i="19"/>
  <c r="K277" i="19"/>
  <c r="E277" i="19"/>
  <c r="B278" i="19"/>
  <c r="C278" i="19"/>
  <c r="D278" i="19"/>
  <c r="F278" i="19"/>
  <c r="G278" i="19"/>
  <c r="H278" i="19"/>
  <c r="I278" i="19"/>
  <c r="J278" i="19"/>
  <c r="K278" i="19"/>
  <c r="E278" i="19"/>
  <c r="B279" i="19"/>
  <c r="C279" i="19"/>
  <c r="D279" i="19"/>
  <c r="F279" i="19"/>
  <c r="G279" i="19"/>
  <c r="H279" i="19"/>
  <c r="I279" i="19"/>
  <c r="J279" i="19"/>
  <c r="K279" i="19"/>
  <c r="E279" i="19"/>
  <c r="B280" i="19"/>
  <c r="C280" i="19"/>
  <c r="D280" i="19"/>
  <c r="F280" i="19"/>
  <c r="G280" i="19"/>
  <c r="H280" i="19"/>
  <c r="I280" i="19"/>
  <c r="J280" i="19"/>
  <c r="K280" i="19"/>
  <c r="E280" i="19"/>
  <c r="B281" i="19"/>
  <c r="C281" i="19"/>
  <c r="D281" i="19"/>
  <c r="F281" i="19"/>
  <c r="G281" i="19"/>
  <c r="H281" i="19"/>
  <c r="I281" i="19"/>
  <c r="J281" i="19"/>
  <c r="K281" i="19"/>
  <c r="E281" i="19"/>
  <c r="B282" i="19"/>
  <c r="C282" i="19"/>
  <c r="D282" i="19"/>
  <c r="F282" i="19"/>
  <c r="G282" i="19"/>
  <c r="H282" i="19"/>
  <c r="I282" i="19"/>
  <c r="J282" i="19"/>
  <c r="K282" i="19"/>
  <c r="E282" i="19"/>
  <c r="B283" i="19"/>
  <c r="C283" i="19"/>
  <c r="D283" i="19"/>
  <c r="F283" i="19"/>
  <c r="G283" i="19"/>
  <c r="H283" i="19"/>
  <c r="I283" i="19"/>
  <c r="J283" i="19"/>
  <c r="K283" i="19"/>
  <c r="E283" i="19"/>
  <c r="B284" i="19"/>
  <c r="C284" i="19"/>
  <c r="D284" i="19"/>
  <c r="F284" i="19"/>
  <c r="G284" i="19"/>
  <c r="H284" i="19"/>
  <c r="I284" i="19"/>
  <c r="J284" i="19"/>
  <c r="K284" i="19"/>
  <c r="E284" i="19"/>
  <c r="B285" i="19"/>
  <c r="C285" i="19"/>
  <c r="D285" i="19"/>
  <c r="F285" i="19"/>
  <c r="G285" i="19"/>
  <c r="H285" i="19"/>
  <c r="I285" i="19"/>
  <c r="J285" i="19"/>
  <c r="K285" i="19"/>
  <c r="E285" i="19"/>
  <c r="B286" i="19"/>
  <c r="C286" i="19"/>
  <c r="D286" i="19"/>
  <c r="F286" i="19"/>
  <c r="G286" i="19"/>
  <c r="H286" i="19"/>
  <c r="I286" i="19"/>
  <c r="J286" i="19"/>
  <c r="K286" i="19"/>
  <c r="E286" i="19"/>
  <c r="B287" i="19"/>
  <c r="C287" i="19"/>
  <c r="D287" i="19"/>
  <c r="F287" i="19"/>
  <c r="G287" i="19"/>
  <c r="H287" i="19"/>
  <c r="I287" i="19"/>
  <c r="J287" i="19"/>
  <c r="K287" i="19"/>
  <c r="E287" i="19"/>
  <c r="B288" i="19"/>
  <c r="C288" i="19"/>
  <c r="D288" i="19"/>
  <c r="F288" i="19"/>
  <c r="G288" i="19"/>
  <c r="H288" i="19"/>
  <c r="I288" i="19"/>
  <c r="J288" i="19"/>
  <c r="K288" i="19"/>
  <c r="E288" i="19"/>
  <c r="B289" i="19"/>
  <c r="C289" i="19"/>
  <c r="D289" i="19"/>
  <c r="F289" i="19"/>
  <c r="G289" i="19"/>
  <c r="H289" i="19"/>
  <c r="I289" i="19"/>
  <c r="J289" i="19"/>
  <c r="K289" i="19"/>
  <c r="E289" i="19"/>
  <c r="B290" i="19"/>
  <c r="C290" i="19"/>
  <c r="D290" i="19"/>
  <c r="F290" i="19"/>
  <c r="G290" i="19"/>
  <c r="H290" i="19"/>
  <c r="I290" i="19"/>
  <c r="J290" i="19"/>
  <c r="K290" i="19"/>
  <c r="E290" i="19"/>
  <c r="B291" i="19"/>
  <c r="C291" i="19"/>
  <c r="D291" i="19"/>
  <c r="F291" i="19"/>
  <c r="G291" i="19"/>
  <c r="H291" i="19"/>
  <c r="I291" i="19"/>
  <c r="J291" i="19"/>
  <c r="K291" i="19"/>
  <c r="E291" i="19"/>
  <c r="B292" i="19"/>
  <c r="C292" i="19"/>
  <c r="D292" i="19"/>
  <c r="F292" i="19"/>
  <c r="G292" i="19"/>
  <c r="H292" i="19"/>
  <c r="I292" i="19"/>
  <c r="J292" i="19"/>
  <c r="K292" i="19"/>
  <c r="E292" i="19"/>
  <c r="B293" i="19"/>
  <c r="C293" i="19"/>
  <c r="D293" i="19"/>
  <c r="F293" i="19"/>
  <c r="G293" i="19"/>
  <c r="H293" i="19"/>
  <c r="I293" i="19"/>
  <c r="J293" i="19"/>
  <c r="K293" i="19"/>
  <c r="E293" i="19"/>
  <c r="B294" i="19"/>
  <c r="C294" i="19"/>
  <c r="D294" i="19"/>
  <c r="F294" i="19"/>
  <c r="G294" i="19"/>
  <c r="H294" i="19"/>
  <c r="I294" i="19"/>
  <c r="J294" i="19"/>
  <c r="K294" i="19"/>
  <c r="E294" i="19"/>
  <c r="B295" i="19"/>
  <c r="C295" i="19"/>
  <c r="D295" i="19"/>
  <c r="F295" i="19"/>
  <c r="G295" i="19"/>
  <c r="H295" i="19"/>
  <c r="I295" i="19"/>
  <c r="J295" i="19"/>
  <c r="K295" i="19"/>
  <c r="E295" i="19"/>
  <c r="B296" i="19"/>
  <c r="C296" i="19"/>
  <c r="D296" i="19"/>
  <c r="F296" i="19"/>
  <c r="G296" i="19"/>
  <c r="H296" i="19"/>
  <c r="I296" i="19"/>
  <c r="J296" i="19"/>
  <c r="K296" i="19"/>
  <c r="E296" i="19"/>
  <c r="B297" i="19"/>
  <c r="C297" i="19"/>
  <c r="D297" i="19"/>
  <c r="F297" i="19"/>
  <c r="G297" i="19"/>
  <c r="H297" i="19"/>
  <c r="I297" i="19"/>
  <c r="J297" i="19"/>
  <c r="K297" i="19"/>
  <c r="E297" i="19"/>
  <c r="B298" i="19"/>
  <c r="C298" i="19"/>
  <c r="D298" i="19"/>
  <c r="F298" i="19"/>
  <c r="G298" i="19"/>
  <c r="H298" i="19"/>
  <c r="I298" i="19"/>
  <c r="J298" i="19"/>
  <c r="K298" i="19"/>
  <c r="E298" i="19"/>
  <c r="B299" i="19"/>
  <c r="C299" i="19"/>
  <c r="D299" i="19"/>
  <c r="F299" i="19"/>
  <c r="G299" i="19"/>
  <c r="H299" i="19"/>
  <c r="I299" i="19"/>
  <c r="J299" i="19"/>
  <c r="K299" i="19"/>
  <c r="E299" i="19"/>
  <c r="B300" i="19"/>
  <c r="C300" i="19"/>
  <c r="D300" i="19"/>
  <c r="F300" i="19"/>
  <c r="G300" i="19"/>
  <c r="H300" i="19"/>
  <c r="I300" i="19"/>
  <c r="J300" i="19"/>
  <c r="K300" i="19"/>
  <c r="Q5" i="7"/>
  <c r="I5" i="7"/>
  <c r="C5" i="7"/>
  <c r="P5" i="7"/>
  <c r="V6" i="1"/>
  <c r="W6" i="1"/>
  <c r="X6" i="1"/>
  <c r="U6" i="1"/>
  <c r="Z6" i="1"/>
  <c r="V7" i="1"/>
  <c r="W7" i="1"/>
  <c r="X7" i="1"/>
  <c r="U7" i="1"/>
  <c r="Z7" i="1"/>
  <c r="V8" i="1"/>
  <c r="V6" i="17"/>
  <c r="H6" i="17"/>
  <c r="C6" i="17"/>
  <c r="U6" i="17"/>
  <c r="W8" i="1"/>
  <c r="X8" i="1"/>
  <c r="U8" i="1"/>
  <c r="Z8" i="1"/>
  <c r="V9" i="1"/>
  <c r="W9" i="1"/>
  <c r="X9" i="1"/>
  <c r="U9" i="1"/>
  <c r="Z9" i="1"/>
  <c r="V10" i="1"/>
  <c r="W10" i="1"/>
  <c r="X10" i="1"/>
  <c r="U10" i="1"/>
  <c r="Z10" i="1"/>
  <c r="V11" i="1"/>
  <c r="V7" i="17"/>
  <c r="H7" i="17"/>
  <c r="C7" i="17"/>
  <c r="U7" i="17"/>
  <c r="W11" i="1"/>
  <c r="X11" i="1"/>
  <c r="U11" i="1"/>
  <c r="Z11" i="1"/>
  <c r="V12" i="1"/>
  <c r="W12" i="1"/>
  <c r="X12" i="1"/>
  <c r="U12" i="1"/>
  <c r="Z12" i="1"/>
  <c r="Q6" i="7"/>
  <c r="I6" i="7"/>
  <c r="C6" i="7"/>
  <c r="P6" i="7"/>
  <c r="V13" i="1"/>
  <c r="W13" i="1"/>
  <c r="X13" i="1"/>
  <c r="U13" i="1"/>
  <c r="Z13" i="1"/>
  <c r="V14" i="1"/>
  <c r="W14" i="1"/>
  <c r="X14" i="1"/>
  <c r="U14" i="1"/>
  <c r="Z14" i="1"/>
  <c r="V15" i="1"/>
  <c r="V8" i="17"/>
  <c r="H8" i="17"/>
  <c r="C8" i="17"/>
  <c r="U8" i="17"/>
  <c r="W15" i="1"/>
  <c r="X15" i="1"/>
  <c r="U15" i="1"/>
  <c r="Z15" i="1"/>
  <c r="V16" i="1"/>
  <c r="W16" i="1"/>
  <c r="X16" i="1"/>
  <c r="U16" i="1"/>
  <c r="Z16" i="1"/>
  <c r="V17" i="1"/>
  <c r="W17" i="1"/>
  <c r="X17" i="1"/>
  <c r="U17" i="1"/>
  <c r="Z17" i="1"/>
  <c r="V18" i="1"/>
  <c r="V9" i="17"/>
  <c r="H9" i="17"/>
  <c r="C9" i="17"/>
  <c r="U9" i="17"/>
  <c r="W18" i="1"/>
  <c r="X18" i="1"/>
  <c r="U18" i="1"/>
  <c r="Z18" i="1"/>
  <c r="V19" i="1"/>
  <c r="W19" i="1"/>
  <c r="X19" i="1"/>
  <c r="U19" i="1"/>
  <c r="Z19" i="1"/>
  <c r="Q7" i="7"/>
  <c r="I7" i="7"/>
  <c r="C7" i="7"/>
  <c r="P7" i="7"/>
  <c r="V20" i="1"/>
  <c r="W20" i="1"/>
  <c r="X20" i="1"/>
  <c r="U20" i="1"/>
  <c r="Z20" i="1"/>
  <c r="V21" i="1"/>
  <c r="W21" i="1"/>
  <c r="X21" i="1"/>
  <c r="U21" i="1"/>
  <c r="Z21" i="1"/>
  <c r="V22" i="1"/>
  <c r="V10" i="17"/>
  <c r="H10" i="17"/>
  <c r="C10" i="17"/>
  <c r="U10" i="17"/>
  <c r="W22" i="1"/>
  <c r="X22" i="1"/>
  <c r="U22" i="1"/>
  <c r="Z22" i="1"/>
  <c r="V23" i="1"/>
  <c r="W23" i="1"/>
  <c r="X23" i="1"/>
  <c r="U23" i="1"/>
  <c r="Z23" i="1"/>
  <c r="V24" i="1"/>
  <c r="W24" i="1"/>
  <c r="X24" i="1"/>
  <c r="U24" i="1"/>
  <c r="Z24" i="1"/>
  <c r="V25" i="1"/>
  <c r="V11" i="17"/>
  <c r="H11" i="17"/>
  <c r="C11" i="17"/>
  <c r="U11" i="17"/>
  <c r="W25" i="1"/>
  <c r="X25" i="1"/>
  <c r="U25" i="1"/>
  <c r="Z25" i="1"/>
  <c r="V26" i="1"/>
  <c r="W26" i="1"/>
  <c r="X26" i="1"/>
  <c r="U26" i="1"/>
  <c r="Z26" i="1"/>
  <c r="Q8" i="7"/>
  <c r="I8" i="7"/>
  <c r="C8" i="7"/>
  <c r="P8" i="7"/>
  <c r="V27" i="1"/>
  <c r="W27" i="1"/>
  <c r="X27" i="1"/>
  <c r="U27" i="1"/>
  <c r="Z27" i="1"/>
  <c r="V28" i="1"/>
  <c r="W28" i="1"/>
  <c r="X28" i="1"/>
  <c r="U28" i="1"/>
  <c r="Z28" i="1"/>
  <c r="V29" i="1"/>
  <c r="V12" i="17"/>
  <c r="H12" i="17"/>
  <c r="C12" i="17"/>
  <c r="U12" i="17"/>
  <c r="W29" i="1"/>
  <c r="X29" i="1"/>
  <c r="U29" i="1"/>
  <c r="Z29" i="1"/>
  <c r="V30" i="1"/>
  <c r="W30" i="1"/>
  <c r="X30" i="1"/>
  <c r="U30" i="1"/>
  <c r="Z30" i="1"/>
  <c r="V31" i="1"/>
  <c r="W31" i="1"/>
  <c r="X31" i="1"/>
  <c r="U31" i="1"/>
  <c r="Z31" i="1"/>
  <c r="V32" i="1"/>
  <c r="V13" i="17"/>
  <c r="H13" i="17"/>
  <c r="C13" i="17"/>
  <c r="U13" i="17"/>
  <c r="W32" i="1"/>
  <c r="X32" i="1"/>
  <c r="U32" i="1"/>
  <c r="Z32" i="1"/>
  <c r="V33" i="1"/>
  <c r="W33" i="1"/>
  <c r="X33" i="1"/>
  <c r="U33" i="1"/>
  <c r="Z33" i="1"/>
  <c r="Q9" i="7"/>
  <c r="I9" i="7"/>
  <c r="C9" i="7"/>
  <c r="P9" i="7"/>
  <c r="V34" i="1"/>
  <c r="W34" i="1"/>
  <c r="X34" i="1"/>
  <c r="U34" i="1"/>
  <c r="Z34" i="1"/>
  <c r="V35" i="1"/>
  <c r="W35" i="1"/>
  <c r="X35" i="1"/>
  <c r="U35" i="1"/>
  <c r="Z35" i="1"/>
  <c r="V36" i="1"/>
  <c r="V14" i="17"/>
  <c r="H14" i="17"/>
  <c r="C14" i="17"/>
  <c r="U14" i="17"/>
  <c r="W36" i="1"/>
  <c r="X36" i="1"/>
  <c r="U36" i="1"/>
  <c r="Z36" i="1"/>
  <c r="V37" i="1"/>
  <c r="W37" i="1"/>
  <c r="X37" i="1"/>
  <c r="U37" i="1"/>
  <c r="Z37" i="1"/>
  <c r="V38" i="1"/>
  <c r="W38" i="1"/>
  <c r="X38" i="1"/>
  <c r="U38" i="1"/>
  <c r="Z38" i="1"/>
  <c r="V39" i="1"/>
  <c r="V15" i="17"/>
  <c r="H15" i="17"/>
  <c r="C15" i="17"/>
  <c r="U15" i="17"/>
  <c r="W39" i="1"/>
  <c r="X39" i="1"/>
  <c r="U39" i="1"/>
  <c r="Z39" i="1"/>
  <c r="V40" i="1"/>
  <c r="W40" i="1"/>
  <c r="X40" i="1"/>
  <c r="U40" i="1"/>
  <c r="Z40" i="1"/>
  <c r="Q10" i="7"/>
  <c r="I10" i="7"/>
  <c r="C10" i="7"/>
  <c r="P10" i="7"/>
  <c r="V41" i="1"/>
  <c r="W41" i="1"/>
  <c r="X41" i="1"/>
  <c r="U41" i="1"/>
  <c r="Z41" i="1"/>
  <c r="V42" i="1"/>
  <c r="W42" i="1"/>
  <c r="X42" i="1"/>
  <c r="U42" i="1"/>
  <c r="Z42" i="1"/>
  <c r="V43" i="1"/>
  <c r="V16" i="17"/>
  <c r="H16" i="17"/>
  <c r="C16" i="17"/>
  <c r="U16" i="17"/>
  <c r="W43" i="1"/>
  <c r="X43" i="1"/>
  <c r="U43" i="1"/>
  <c r="Z43" i="1"/>
  <c r="V44" i="1"/>
  <c r="W44" i="1"/>
  <c r="X44" i="1"/>
  <c r="U44" i="1"/>
  <c r="Z44" i="1"/>
  <c r="V45" i="1"/>
  <c r="W45" i="1"/>
  <c r="X45" i="1"/>
  <c r="U45" i="1"/>
  <c r="Z45" i="1"/>
  <c r="V46" i="1"/>
  <c r="V17" i="17"/>
  <c r="H17" i="17"/>
  <c r="C17" i="17"/>
  <c r="U17" i="17"/>
  <c r="W46" i="1"/>
  <c r="X46" i="1"/>
  <c r="U46" i="1"/>
  <c r="Z46" i="1"/>
  <c r="V47" i="1"/>
  <c r="W47" i="1"/>
  <c r="X47" i="1"/>
  <c r="U47" i="1"/>
  <c r="Z47" i="1"/>
  <c r="Q11" i="7"/>
  <c r="I11" i="7"/>
  <c r="C11" i="7"/>
  <c r="P11" i="7"/>
  <c r="V48" i="1"/>
  <c r="W48" i="1"/>
  <c r="X48" i="1"/>
  <c r="U48" i="1"/>
  <c r="Z48" i="1"/>
  <c r="V49" i="1"/>
  <c r="W49" i="1"/>
  <c r="X49" i="1"/>
  <c r="U49" i="1"/>
  <c r="Z49" i="1"/>
  <c r="V50" i="1"/>
  <c r="V18" i="17"/>
  <c r="H18" i="17"/>
  <c r="C18" i="17"/>
  <c r="U18" i="17"/>
  <c r="W50" i="1"/>
  <c r="X50" i="1"/>
  <c r="U50" i="1"/>
  <c r="Z50" i="1"/>
  <c r="V51" i="1"/>
  <c r="W51" i="1"/>
  <c r="X51" i="1"/>
  <c r="U51" i="1"/>
  <c r="Z51" i="1"/>
  <c r="V52" i="1"/>
  <c r="W52" i="1"/>
  <c r="X52" i="1"/>
  <c r="U52" i="1"/>
  <c r="Z52" i="1"/>
  <c r="V53" i="1"/>
  <c r="V19" i="17"/>
  <c r="H19" i="17"/>
  <c r="C19" i="17"/>
  <c r="U19" i="17"/>
  <c r="W53" i="1"/>
  <c r="X53" i="1"/>
  <c r="U53" i="1"/>
  <c r="Z53" i="1"/>
  <c r="V54" i="1"/>
  <c r="W54" i="1"/>
  <c r="X54" i="1"/>
  <c r="U54" i="1"/>
  <c r="Z54" i="1"/>
  <c r="Q12" i="7"/>
  <c r="I12" i="7"/>
  <c r="C12" i="7"/>
  <c r="P12" i="7"/>
  <c r="V55" i="1"/>
  <c r="W55" i="1"/>
  <c r="X55" i="1"/>
  <c r="U55" i="1"/>
  <c r="Z55" i="1"/>
  <c r="V56" i="1"/>
  <c r="W56" i="1"/>
  <c r="X56" i="1"/>
  <c r="U56" i="1"/>
  <c r="Z56" i="1"/>
  <c r="V57" i="1"/>
  <c r="V20" i="17"/>
  <c r="H20" i="17"/>
  <c r="C20" i="17"/>
  <c r="U20" i="17"/>
  <c r="W57" i="1"/>
  <c r="X57" i="1"/>
  <c r="U57" i="1"/>
  <c r="Z57" i="1"/>
  <c r="V58" i="1"/>
  <c r="W58" i="1"/>
  <c r="X58" i="1"/>
  <c r="U58" i="1"/>
  <c r="Z58" i="1"/>
  <c r="V59" i="1"/>
  <c r="W59" i="1"/>
  <c r="X59" i="1"/>
  <c r="U59" i="1"/>
  <c r="Z59" i="1"/>
  <c r="V60" i="1"/>
  <c r="V21" i="17"/>
  <c r="H21" i="17"/>
  <c r="C21" i="17"/>
  <c r="U21" i="17"/>
  <c r="W60" i="1"/>
  <c r="X60" i="1"/>
  <c r="U60" i="1"/>
  <c r="Z60" i="1"/>
  <c r="V61" i="1"/>
  <c r="W61" i="1"/>
  <c r="X61" i="1"/>
  <c r="U61" i="1"/>
  <c r="Z61" i="1"/>
  <c r="Q13" i="7"/>
  <c r="I13" i="7"/>
  <c r="C13" i="7"/>
  <c r="P13" i="7"/>
  <c r="V62" i="1"/>
  <c r="W62" i="1"/>
  <c r="X62" i="1"/>
  <c r="U62" i="1"/>
  <c r="Z62" i="1"/>
  <c r="V63" i="1"/>
  <c r="W63" i="1"/>
  <c r="X63" i="1"/>
  <c r="U63" i="1"/>
  <c r="Z63" i="1"/>
  <c r="V64" i="1"/>
  <c r="V22" i="17"/>
  <c r="H22" i="17"/>
  <c r="C22" i="17"/>
  <c r="U22" i="17"/>
  <c r="W64" i="1"/>
  <c r="X64" i="1"/>
  <c r="U64" i="1"/>
  <c r="Z64" i="1"/>
  <c r="V65" i="1"/>
  <c r="W65" i="1"/>
  <c r="X65" i="1"/>
  <c r="U65" i="1"/>
  <c r="Z65" i="1"/>
  <c r="V66" i="1"/>
  <c r="W66" i="1"/>
  <c r="X66" i="1"/>
  <c r="U66" i="1"/>
  <c r="Z66" i="1"/>
  <c r="V67" i="1"/>
  <c r="V23" i="17"/>
  <c r="H23" i="17"/>
  <c r="C23" i="17"/>
  <c r="U23" i="17"/>
  <c r="W67" i="1"/>
  <c r="X67" i="1"/>
  <c r="U67" i="1"/>
  <c r="Z67" i="1"/>
  <c r="V68" i="1"/>
  <c r="W68" i="1"/>
  <c r="X68" i="1"/>
  <c r="U68" i="1"/>
  <c r="Z68" i="1"/>
  <c r="Q14" i="7"/>
  <c r="I14" i="7"/>
  <c r="C14" i="7"/>
  <c r="P14" i="7"/>
  <c r="V69" i="1"/>
  <c r="W69" i="1"/>
  <c r="X69" i="1"/>
  <c r="U69" i="1"/>
  <c r="Z69" i="1"/>
  <c r="V70" i="1"/>
  <c r="W70" i="1"/>
  <c r="X70" i="1"/>
  <c r="U70" i="1"/>
  <c r="Z70" i="1"/>
  <c r="V71" i="1"/>
  <c r="V24" i="17"/>
  <c r="H24" i="17"/>
  <c r="C24" i="17"/>
  <c r="U24" i="17"/>
  <c r="W71" i="1"/>
  <c r="X71" i="1"/>
  <c r="U71" i="1"/>
  <c r="Z71" i="1"/>
  <c r="V72" i="1"/>
  <c r="W72" i="1"/>
  <c r="X72" i="1"/>
  <c r="U72" i="1"/>
  <c r="Z72" i="1"/>
  <c r="V73" i="1"/>
  <c r="W73" i="1"/>
  <c r="X73" i="1"/>
  <c r="U73" i="1"/>
  <c r="Z73" i="1"/>
  <c r="V74" i="1"/>
  <c r="V25" i="17"/>
  <c r="H25" i="17"/>
  <c r="C25" i="17"/>
  <c r="U25" i="17"/>
  <c r="W74" i="1"/>
  <c r="X74" i="1"/>
  <c r="U74" i="1"/>
  <c r="Z74" i="1"/>
  <c r="V75" i="1"/>
  <c r="W75" i="1"/>
  <c r="X75" i="1"/>
  <c r="U75" i="1"/>
  <c r="Z75" i="1"/>
  <c r="Q15" i="7"/>
  <c r="I15" i="7"/>
  <c r="C15" i="7"/>
  <c r="P15" i="7"/>
  <c r="V76" i="1"/>
  <c r="W76" i="1"/>
  <c r="X76" i="1"/>
  <c r="U76" i="1"/>
  <c r="Z76" i="1"/>
  <c r="V77" i="1"/>
  <c r="W77" i="1"/>
  <c r="X77" i="1"/>
  <c r="U77" i="1"/>
  <c r="Z77" i="1"/>
  <c r="V78" i="1"/>
  <c r="V26" i="17"/>
  <c r="H26" i="17"/>
  <c r="C26" i="17"/>
  <c r="U26" i="17"/>
  <c r="W78" i="1"/>
  <c r="X78" i="1"/>
  <c r="U78" i="1"/>
  <c r="Z78" i="1"/>
  <c r="V79" i="1"/>
  <c r="W79" i="1"/>
  <c r="X79" i="1"/>
  <c r="U79" i="1"/>
  <c r="Z79" i="1"/>
  <c r="V80" i="1"/>
  <c r="W80" i="1"/>
  <c r="X80" i="1"/>
  <c r="U80" i="1"/>
  <c r="Z80" i="1"/>
  <c r="V81" i="1"/>
  <c r="V27" i="17"/>
  <c r="H27" i="17"/>
  <c r="C27" i="17"/>
  <c r="U27" i="17"/>
  <c r="W81" i="1"/>
  <c r="X81" i="1"/>
  <c r="U81" i="1"/>
  <c r="Z81" i="1"/>
  <c r="V82" i="1"/>
  <c r="W82" i="1"/>
  <c r="X82" i="1"/>
  <c r="U82" i="1"/>
  <c r="Z82" i="1"/>
  <c r="Q16" i="7"/>
  <c r="I16" i="7"/>
  <c r="C16" i="7"/>
  <c r="P16" i="7"/>
  <c r="V83" i="1"/>
  <c r="W83" i="1"/>
  <c r="X83" i="1"/>
  <c r="U83" i="1"/>
  <c r="Z83" i="1"/>
  <c r="V84" i="1"/>
  <c r="W84" i="1"/>
  <c r="X84" i="1"/>
  <c r="U84" i="1"/>
  <c r="Z84" i="1"/>
  <c r="V85" i="1"/>
  <c r="V28" i="17"/>
  <c r="H28" i="17"/>
  <c r="C28" i="17"/>
  <c r="U28" i="17"/>
  <c r="W85" i="1"/>
  <c r="X85" i="1"/>
  <c r="U85" i="1"/>
  <c r="Z85" i="1"/>
  <c r="V86" i="1"/>
  <c r="W86" i="1"/>
  <c r="X86" i="1"/>
  <c r="U86" i="1"/>
  <c r="Z86" i="1"/>
  <c r="V87" i="1"/>
  <c r="W87" i="1"/>
  <c r="X87" i="1"/>
  <c r="U87" i="1"/>
  <c r="Z87" i="1"/>
  <c r="V88" i="1"/>
  <c r="V29" i="17"/>
  <c r="H29" i="17"/>
  <c r="C29" i="17"/>
  <c r="U29" i="17"/>
  <c r="W88" i="1"/>
  <c r="X88" i="1"/>
  <c r="U88" i="1"/>
  <c r="Z88" i="1"/>
  <c r="V89" i="1"/>
  <c r="W89" i="1"/>
  <c r="X89" i="1"/>
  <c r="U89" i="1"/>
  <c r="Z89" i="1"/>
  <c r="Q17" i="7"/>
  <c r="I17" i="7"/>
  <c r="C17" i="7"/>
  <c r="P17" i="7"/>
  <c r="V90" i="1"/>
  <c r="W90" i="1"/>
  <c r="X90" i="1"/>
  <c r="U90" i="1"/>
  <c r="Z90" i="1"/>
  <c r="V91" i="1"/>
  <c r="W91" i="1"/>
  <c r="X91" i="1"/>
  <c r="U91" i="1"/>
  <c r="Z91" i="1"/>
  <c r="V92" i="1"/>
  <c r="V30" i="17"/>
  <c r="H30" i="17"/>
  <c r="C30" i="17"/>
  <c r="U30" i="17"/>
  <c r="W92" i="1"/>
  <c r="X92" i="1"/>
  <c r="U92" i="1"/>
  <c r="Z92" i="1"/>
  <c r="V93" i="1"/>
  <c r="W93" i="1"/>
  <c r="X93" i="1"/>
  <c r="U93" i="1"/>
  <c r="Z93" i="1"/>
  <c r="V94" i="1"/>
  <c r="W94" i="1"/>
  <c r="X94" i="1"/>
  <c r="U94" i="1"/>
  <c r="Z94" i="1"/>
  <c r="V95" i="1"/>
  <c r="V31" i="17"/>
  <c r="H31" i="17"/>
  <c r="C31" i="17"/>
  <c r="U31" i="17"/>
  <c r="W95" i="1"/>
  <c r="X95" i="1"/>
  <c r="U95" i="1"/>
  <c r="Z95" i="1"/>
  <c r="V96" i="1"/>
  <c r="W96" i="1"/>
  <c r="X96" i="1"/>
  <c r="U96" i="1"/>
  <c r="Z96" i="1"/>
  <c r="Q18" i="7"/>
  <c r="I18" i="7"/>
  <c r="C18" i="7"/>
  <c r="P18" i="7"/>
  <c r="V97" i="1"/>
  <c r="W97" i="1"/>
  <c r="X97" i="1"/>
  <c r="U97" i="1"/>
  <c r="Z97" i="1"/>
  <c r="V98" i="1"/>
  <c r="W98" i="1"/>
  <c r="X98" i="1"/>
  <c r="U98" i="1"/>
  <c r="Z98" i="1"/>
  <c r="V99" i="1"/>
  <c r="V32" i="17"/>
  <c r="H32" i="17"/>
  <c r="C32" i="17"/>
  <c r="U32" i="17"/>
  <c r="W99" i="1"/>
  <c r="X99" i="1"/>
  <c r="U99" i="1"/>
  <c r="Z99" i="1"/>
  <c r="V100" i="1"/>
  <c r="W100" i="1"/>
  <c r="X100" i="1"/>
  <c r="U100" i="1"/>
  <c r="Z100" i="1"/>
  <c r="V101" i="1"/>
  <c r="W101" i="1"/>
  <c r="X101" i="1"/>
  <c r="U101" i="1"/>
  <c r="Z101" i="1"/>
  <c r="V102" i="1"/>
  <c r="V33" i="17"/>
  <c r="H33" i="17"/>
  <c r="C33" i="17"/>
  <c r="U33" i="17"/>
  <c r="W102" i="1"/>
  <c r="X102" i="1"/>
  <c r="U102" i="1"/>
  <c r="Z102" i="1"/>
  <c r="V103" i="1"/>
  <c r="W103" i="1"/>
  <c r="X103" i="1"/>
  <c r="U103" i="1"/>
  <c r="Z103" i="1"/>
  <c r="Q19" i="7"/>
  <c r="I19" i="7"/>
  <c r="C19" i="7"/>
  <c r="P19" i="7"/>
  <c r="V104" i="1"/>
  <c r="W104" i="1"/>
  <c r="X104" i="1"/>
  <c r="U104" i="1"/>
  <c r="Z104" i="1"/>
  <c r="V105" i="1"/>
  <c r="W105" i="1"/>
  <c r="X105" i="1"/>
  <c r="U105" i="1"/>
  <c r="Z105" i="1"/>
  <c r="V106" i="1"/>
  <c r="V34" i="17"/>
  <c r="H34" i="17"/>
  <c r="C34" i="17"/>
  <c r="U34" i="17"/>
  <c r="W106" i="1"/>
  <c r="X106" i="1"/>
  <c r="U106" i="1"/>
  <c r="Z106" i="1"/>
  <c r="V107" i="1"/>
  <c r="W107" i="1"/>
  <c r="X107" i="1"/>
  <c r="U107" i="1"/>
  <c r="Z107" i="1"/>
  <c r="V108" i="1"/>
  <c r="W108" i="1"/>
  <c r="X108" i="1"/>
  <c r="U108" i="1"/>
  <c r="Z108" i="1"/>
  <c r="V109" i="1"/>
  <c r="V35" i="17"/>
  <c r="H35" i="17"/>
  <c r="C35" i="17"/>
  <c r="U35" i="17"/>
  <c r="W109" i="1"/>
  <c r="X109" i="1"/>
  <c r="U109" i="1"/>
  <c r="Z109" i="1"/>
  <c r="V110" i="1"/>
  <c r="W110" i="1"/>
  <c r="X110" i="1"/>
  <c r="U110" i="1"/>
  <c r="Z110" i="1"/>
  <c r="V111" i="1"/>
  <c r="W111" i="1"/>
  <c r="X111" i="1"/>
  <c r="U111" i="1"/>
  <c r="Z111" i="1"/>
  <c r="V112" i="1"/>
  <c r="W112" i="1"/>
  <c r="X112" i="1"/>
  <c r="U112" i="1"/>
  <c r="Z112" i="1"/>
  <c r="V113" i="1"/>
  <c r="V36" i="17"/>
  <c r="H36" i="17"/>
  <c r="C36" i="17"/>
  <c r="U36" i="17"/>
  <c r="W113" i="1"/>
  <c r="X113" i="1"/>
  <c r="U113" i="1"/>
  <c r="Z113" i="1"/>
  <c r="V114" i="1"/>
  <c r="W114" i="1"/>
  <c r="X114" i="1"/>
  <c r="U114" i="1"/>
  <c r="Z114" i="1"/>
  <c r="V115" i="1"/>
  <c r="W115" i="1"/>
  <c r="X115" i="1"/>
  <c r="U115" i="1"/>
  <c r="Z115" i="1"/>
  <c r="V116" i="1"/>
  <c r="V37" i="17"/>
  <c r="H37" i="17"/>
  <c r="C37" i="17"/>
  <c r="U37" i="17"/>
  <c r="W116" i="1"/>
  <c r="X116" i="1"/>
  <c r="U116" i="1"/>
  <c r="Z116" i="1"/>
  <c r="V117" i="1"/>
  <c r="W117" i="1"/>
  <c r="X117" i="1"/>
  <c r="U117" i="1"/>
  <c r="Z117" i="1"/>
  <c r="V118" i="1"/>
  <c r="W118" i="1"/>
  <c r="X118" i="1"/>
  <c r="U118" i="1"/>
  <c r="Z118" i="1"/>
  <c r="V119" i="1"/>
  <c r="W119" i="1"/>
  <c r="X119" i="1"/>
  <c r="U119" i="1"/>
  <c r="Z119" i="1"/>
  <c r="V120" i="1"/>
  <c r="V38" i="17"/>
  <c r="H38" i="17"/>
  <c r="C38" i="17"/>
  <c r="U38" i="17"/>
  <c r="W120" i="1"/>
  <c r="X120" i="1"/>
  <c r="U120" i="1"/>
  <c r="Z120" i="1"/>
  <c r="V121" i="1"/>
  <c r="W121" i="1"/>
  <c r="X121" i="1"/>
  <c r="U121" i="1"/>
  <c r="Z121" i="1"/>
  <c r="V122" i="1"/>
  <c r="W122" i="1"/>
  <c r="X122" i="1"/>
  <c r="U122" i="1"/>
  <c r="Z122" i="1"/>
  <c r="V123" i="1"/>
  <c r="V39" i="17"/>
  <c r="H39" i="17"/>
  <c r="C39" i="17"/>
  <c r="U39" i="17"/>
  <c r="W123" i="1"/>
  <c r="X123" i="1"/>
  <c r="U123" i="1"/>
  <c r="Z123" i="1"/>
  <c r="V124" i="1"/>
  <c r="W124" i="1"/>
  <c r="X124" i="1"/>
  <c r="U124" i="1"/>
  <c r="Z124" i="1"/>
  <c r="V125" i="1"/>
  <c r="W125" i="1"/>
  <c r="X125" i="1"/>
  <c r="U125" i="1"/>
  <c r="Z125" i="1"/>
  <c r="V126" i="1"/>
  <c r="W126" i="1"/>
  <c r="X126" i="1"/>
  <c r="U126" i="1"/>
  <c r="Z126" i="1"/>
  <c r="V127" i="1"/>
  <c r="W127" i="1"/>
  <c r="X127" i="1"/>
  <c r="U127" i="1"/>
  <c r="Z127" i="1"/>
  <c r="V128" i="1"/>
  <c r="W128" i="1"/>
  <c r="X128" i="1"/>
  <c r="U128" i="1"/>
  <c r="Z128" i="1"/>
  <c r="V129" i="1"/>
  <c r="W129" i="1"/>
  <c r="X129" i="1"/>
  <c r="U129" i="1"/>
  <c r="Z129" i="1"/>
  <c r="V130" i="1"/>
  <c r="W130" i="1"/>
  <c r="X130" i="1"/>
  <c r="U130" i="1"/>
  <c r="Z130" i="1"/>
  <c r="V131" i="1"/>
  <c r="W131" i="1"/>
  <c r="X131" i="1"/>
  <c r="U131" i="1"/>
  <c r="Z131" i="1"/>
  <c r="V132" i="1"/>
  <c r="W132" i="1"/>
  <c r="X132" i="1"/>
  <c r="U132" i="1"/>
  <c r="Z132" i="1"/>
  <c r="V133" i="1"/>
  <c r="W133" i="1"/>
  <c r="X133" i="1"/>
  <c r="U133" i="1"/>
  <c r="Z133" i="1"/>
  <c r="V134" i="1"/>
  <c r="W134" i="1"/>
  <c r="X134" i="1"/>
  <c r="U134" i="1"/>
  <c r="Z134" i="1"/>
  <c r="V135" i="1"/>
  <c r="W135" i="1"/>
  <c r="X135" i="1"/>
  <c r="U135" i="1"/>
  <c r="Z135" i="1"/>
  <c r="V136" i="1"/>
  <c r="W136" i="1"/>
  <c r="X136" i="1"/>
  <c r="U136" i="1"/>
  <c r="Z136" i="1"/>
  <c r="V137" i="1"/>
  <c r="W137" i="1"/>
  <c r="X137" i="1"/>
  <c r="U137" i="1"/>
  <c r="Z137" i="1"/>
  <c r="V138" i="1"/>
  <c r="W138" i="1"/>
  <c r="X138" i="1"/>
  <c r="U138" i="1"/>
  <c r="Z138" i="1"/>
  <c r="V139" i="1"/>
  <c r="W139" i="1"/>
  <c r="X139" i="1"/>
  <c r="U139" i="1"/>
  <c r="Z139" i="1"/>
  <c r="V140" i="1"/>
  <c r="W140" i="1"/>
  <c r="X140" i="1"/>
  <c r="U140" i="1"/>
  <c r="Z140" i="1"/>
  <c r="V141" i="1"/>
  <c r="W141" i="1"/>
  <c r="X141" i="1"/>
  <c r="U141" i="1"/>
  <c r="Z141" i="1"/>
  <c r="V142" i="1"/>
  <c r="W142" i="1"/>
  <c r="X142" i="1"/>
  <c r="U142" i="1"/>
  <c r="Z142" i="1"/>
  <c r="V143" i="1"/>
  <c r="W143" i="1"/>
  <c r="X143" i="1"/>
  <c r="U143" i="1"/>
  <c r="Z143" i="1"/>
  <c r="V144" i="1"/>
  <c r="W144" i="1"/>
  <c r="X144" i="1"/>
  <c r="U144" i="1"/>
  <c r="Z144" i="1"/>
  <c r="V145" i="1"/>
  <c r="W145" i="1"/>
  <c r="X145" i="1"/>
  <c r="U145" i="1"/>
  <c r="Z145" i="1"/>
  <c r="V146" i="1"/>
  <c r="W146" i="1"/>
  <c r="X146" i="1"/>
  <c r="U146" i="1"/>
  <c r="Z146" i="1"/>
  <c r="V147" i="1"/>
  <c r="W147" i="1"/>
  <c r="X147" i="1"/>
  <c r="U147" i="1"/>
  <c r="Z147" i="1"/>
  <c r="V148" i="1"/>
  <c r="W148" i="1"/>
  <c r="X148" i="1"/>
  <c r="U148" i="1"/>
  <c r="Z148" i="1"/>
  <c r="V149" i="1"/>
  <c r="W149" i="1"/>
  <c r="X149" i="1"/>
  <c r="U149" i="1"/>
  <c r="Z149" i="1"/>
  <c r="V150" i="1"/>
  <c r="W150" i="1"/>
  <c r="X150" i="1"/>
  <c r="U150" i="1"/>
  <c r="Z150" i="1"/>
  <c r="V151" i="1"/>
  <c r="W151" i="1"/>
  <c r="X151" i="1"/>
  <c r="U151" i="1"/>
  <c r="Z151" i="1"/>
  <c r="V152" i="1"/>
  <c r="W152" i="1"/>
  <c r="X152" i="1"/>
  <c r="U152" i="1"/>
  <c r="Z152" i="1"/>
  <c r="V153" i="1"/>
  <c r="W153" i="1"/>
  <c r="X153" i="1"/>
  <c r="U153" i="1"/>
  <c r="Z153" i="1"/>
  <c r="V154" i="1"/>
  <c r="W154" i="1"/>
  <c r="X154" i="1"/>
  <c r="U154" i="1"/>
  <c r="Z154" i="1"/>
  <c r="V155" i="1"/>
  <c r="W155" i="1"/>
  <c r="X155" i="1"/>
  <c r="U155" i="1"/>
  <c r="Z155" i="1"/>
  <c r="V156" i="1"/>
  <c r="W156" i="1"/>
  <c r="X156" i="1"/>
  <c r="U156" i="1"/>
  <c r="Z156" i="1"/>
  <c r="V157" i="1"/>
  <c r="W157" i="1"/>
  <c r="X157" i="1"/>
  <c r="U157" i="1"/>
  <c r="Z157" i="1"/>
  <c r="V158" i="1"/>
  <c r="W158" i="1"/>
  <c r="X158" i="1"/>
  <c r="U158" i="1"/>
  <c r="Z158" i="1"/>
  <c r="V159" i="1"/>
  <c r="W159" i="1"/>
  <c r="X159" i="1"/>
  <c r="U159" i="1"/>
  <c r="Z159" i="1"/>
  <c r="V160" i="1"/>
  <c r="W160" i="1"/>
  <c r="X160" i="1"/>
  <c r="U160" i="1"/>
  <c r="Z160" i="1"/>
  <c r="V161" i="1"/>
  <c r="W161" i="1"/>
  <c r="X161" i="1"/>
  <c r="U161" i="1"/>
  <c r="Z161" i="1"/>
  <c r="V162" i="1"/>
  <c r="W162" i="1"/>
  <c r="X162" i="1"/>
  <c r="U162" i="1"/>
  <c r="Z162" i="1"/>
  <c r="V163" i="1"/>
  <c r="W163" i="1"/>
  <c r="X163" i="1"/>
  <c r="U163" i="1"/>
  <c r="Z163" i="1"/>
  <c r="V164" i="1"/>
  <c r="W164" i="1"/>
  <c r="X164" i="1"/>
  <c r="U164" i="1"/>
  <c r="Z164" i="1"/>
  <c r="V165" i="1"/>
  <c r="W165" i="1"/>
  <c r="X165" i="1"/>
  <c r="U165" i="1"/>
  <c r="Z165" i="1"/>
  <c r="V166" i="1"/>
  <c r="W166" i="1"/>
  <c r="X166" i="1"/>
  <c r="U166" i="1"/>
  <c r="Z166" i="1"/>
  <c r="V167" i="1"/>
  <c r="W167" i="1"/>
  <c r="X167" i="1"/>
  <c r="U167" i="1"/>
  <c r="Z167" i="1"/>
  <c r="V168" i="1"/>
  <c r="W168" i="1"/>
  <c r="X168" i="1"/>
  <c r="U168" i="1"/>
  <c r="Z168" i="1"/>
  <c r="V169" i="1"/>
  <c r="W169" i="1"/>
  <c r="X169" i="1"/>
  <c r="U169" i="1"/>
  <c r="Z169" i="1"/>
  <c r="V170" i="1"/>
  <c r="W170" i="1"/>
  <c r="X170" i="1"/>
  <c r="U170" i="1"/>
  <c r="Z170" i="1"/>
  <c r="V171" i="1"/>
  <c r="W171" i="1"/>
  <c r="X171" i="1"/>
  <c r="U171" i="1"/>
  <c r="Z171" i="1"/>
  <c r="V172" i="1"/>
  <c r="W172" i="1"/>
  <c r="X172" i="1"/>
  <c r="U172" i="1"/>
  <c r="Z172" i="1"/>
  <c r="V173" i="1"/>
  <c r="W173" i="1"/>
  <c r="X173" i="1"/>
  <c r="U173" i="1"/>
  <c r="Z173" i="1"/>
  <c r="V174" i="1"/>
  <c r="W174" i="1"/>
  <c r="X174" i="1"/>
  <c r="U174" i="1"/>
  <c r="Z174" i="1"/>
  <c r="V175" i="1"/>
  <c r="W175" i="1"/>
  <c r="X175" i="1"/>
  <c r="U175" i="1"/>
  <c r="Z175" i="1"/>
  <c r="V176" i="1"/>
  <c r="W176" i="1"/>
  <c r="X176" i="1"/>
  <c r="U176" i="1"/>
  <c r="Z176" i="1"/>
  <c r="V177" i="1"/>
  <c r="W177" i="1"/>
  <c r="X177" i="1"/>
  <c r="U177" i="1"/>
  <c r="Z177" i="1"/>
  <c r="V178" i="1"/>
  <c r="W178" i="1"/>
  <c r="X178" i="1"/>
  <c r="U178" i="1"/>
  <c r="Z178" i="1"/>
  <c r="V179" i="1"/>
  <c r="W179" i="1"/>
  <c r="X179" i="1"/>
  <c r="U179" i="1"/>
  <c r="Z179" i="1"/>
  <c r="V180" i="1"/>
  <c r="W180" i="1"/>
  <c r="X180" i="1"/>
  <c r="U180" i="1"/>
  <c r="Z180" i="1"/>
  <c r="V181" i="1"/>
  <c r="W181" i="1"/>
  <c r="X181" i="1"/>
  <c r="U181" i="1"/>
  <c r="Z181" i="1"/>
  <c r="V182" i="1"/>
  <c r="W182" i="1"/>
  <c r="X182" i="1"/>
  <c r="U182" i="1"/>
  <c r="Z182" i="1"/>
  <c r="V183" i="1"/>
  <c r="W183" i="1"/>
  <c r="X183" i="1"/>
  <c r="U183" i="1"/>
  <c r="Z183" i="1"/>
  <c r="V184" i="1"/>
  <c r="W184" i="1"/>
  <c r="X184" i="1"/>
  <c r="U184" i="1"/>
  <c r="Z184" i="1"/>
  <c r="V185" i="1"/>
  <c r="W185" i="1"/>
  <c r="X185" i="1"/>
  <c r="U185" i="1"/>
  <c r="Z185" i="1"/>
  <c r="V186" i="1"/>
  <c r="W186" i="1"/>
  <c r="X186" i="1"/>
  <c r="U186" i="1"/>
  <c r="Z186" i="1"/>
  <c r="V187" i="1"/>
  <c r="W187" i="1"/>
  <c r="X187" i="1"/>
  <c r="U187" i="1"/>
  <c r="Z187" i="1"/>
  <c r="V188" i="1"/>
  <c r="W188" i="1"/>
  <c r="X188" i="1"/>
  <c r="U188" i="1"/>
  <c r="Z188" i="1"/>
  <c r="V189" i="1"/>
  <c r="W189" i="1"/>
  <c r="X189" i="1"/>
  <c r="U189" i="1"/>
  <c r="Z189" i="1"/>
  <c r="V190" i="1"/>
  <c r="W190" i="1"/>
  <c r="X190" i="1"/>
  <c r="U190" i="1"/>
  <c r="Z190" i="1"/>
  <c r="V191" i="1"/>
  <c r="W191" i="1"/>
  <c r="X191" i="1"/>
  <c r="U191" i="1"/>
  <c r="Z191" i="1"/>
  <c r="V192" i="1"/>
  <c r="W192" i="1"/>
  <c r="X192" i="1"/>
  <c r="U192" i="1"/>
  <c r="Z192" i="1"/>
  <c r="V193" i="1"/>
  <c r="W193" i="1"/>
  <c r="X193" i="1"/>
  <c r="U193" i="1"/>
  <c r="Z193" i="1"/>
  <c r="V194" i="1"/>
  <c r="W194" i="1"/>
  <c r="X194" i="1"/>
  <c r="U194" i="1"/>
  <c r="Z194" i="1"/>
  <c r="V195" i="1"/>
  <c r="W195" i="1"/>
  <c r="X195" i="1"/>
  <c r="U195" i="1"/>
  <c r="Z195" i="1"/>
  <c r="V196" i="1"/>
  <c r="W196" i="1"/>
  <c r="X196" i="1"/>
  <c r="U196" i="1"/>
  <c r="Z196" i="1"/>
  <c r="V197" i="1"/>
  <c r="W197" i="1"/>
  <c r="X197" i="1"/>
  <c r="U197" i="1"/>
  <c r="Z197" i="1"/>
  <c r="V198" i="1"/>
  <c r="W198" i="1"/>
  <c r="X198" i="1"/>
  <c r="U198" i="1"/>
  <c r="Z198" i="1"/>
  <c r="V199" i="1"/>
  <c r="W199" i="1"/>
  <c r="X199" i="1"/>
  <c r="U199" i="1"/>
  <c r="Z199" i="1"/>
  <c r="V200" i="1"/>
  <c r="W200" i="1"/>
  <c r="X200" i="1"/>
  <c r="U200" i="1"/>
  <c r="Z200" i="1"/>
  <c r="V201" i="1"/>
  <c r="W201" i="1"/>
  <c r="X201" i="1"/>
  <c r="U201" i="1"/>
  <c r="Z201" i="1"/>
  <c r="V202" i="1"/>
  <c r="W202" i="1"/>
  <c r="X202" i="1"/>
  <c r="U202" i="1"/>
  <c r="Z202" i="1"/>
  <c r="V203" i="1"/>
  <c r="W203" i="1"/>
  <c r="X203" i="1"/>
  <c r="U203" i="1"/>
  <c r="Z203" i="1"/>
  <c r="U33" i="3"/>
  <c r="J33" i="3"/>
  <c r="U34" i="3"/>
  <c r="J34" i="3"/>
  <c r="U35" i="3"/>
  <c r="J35" i="3"/>
  <c r="E20" i="19"/>
  <c r="U46" i="3"/>
  <c r="J46" i="3"/>
  <c r="Z18" i="3"/>
  <c r="Z19" i="3"/>
  <c r="Z20" i="3"/>
  <c r="Z21" i="3"/>
  <c r="U23" i="3"/>
  <c r="D23" i="3"/>
  <c r="S23" i="3"/>
  <c r="U24" i="3"/>
  <c r="D24" i="3"/>
  <c r="S24" i="3"/>
  <c r="U26" i="3"/>
  <c r="D26" i="3"/>
  <c r="S26" i="3"/>
  <c r="Z26" i="3"/>
  <c r="U27" i="3"/>
  <c r="D27" i="3"/>
  <c r="S27" i="3"/>
  <c r="Z27" i="3"/>
  <c r="E300" i="19"/>
  <c r="B301" i="19"/>
  <c r="H301" i="19"/>
  <c r="I301" i="19"/>
  <c r="J301" i="19"/>
  <c r="E301" i="19"/>
  <c r="B302" i="19"/>
  <c r="H302" i="19"/>
  <c r="I302" i="19"/>
  <c r="J302" i="19"/>
  <c r="E302" i="19"/>
  <c r="B303" i="19"/>
  <c r="H303" i="19"/>
  <c r="I303" i="19"/>
  <c r="J303" i="19"/>
  <c r="E303" i="19"/>
  <c r="B304" i="19"/>
  <c r="H304" i="19"/>
  <c r="I304" i="19"/>
  <c r="J304" i="19"/>
  <c r="E304" i="19"/>
  <c r="B305" i="19"/>
  <c r="H305" i="19"/>
  <c r="I305" i="19"/>
  <c r="J305" i="19"/>
  <c r="E305" i="19"/>
  <c r="B306" i="19"/>
  <c r="H306" i="19"/>
  <c r="I306" i="19"/>
  <c r="J306" i="19"/>
  <c r="E306" i="19"/>
  <c r="B307" i="19"/>
  <c r="H307" i="19"/>
  <c r="I307" i="19"/>
  <c r="J307" i="19"/>
  <c r="E307" i="19"/>
  <c r="B308" i="19"/>
  <c r="H308" i="19"/>
  <c r="I308" i="19"/>
  <c r="J308" i="19"/>
  <c r="E308" i="19"/>
  <c r="B309" i="19"/>
  <c r="H309" i="19"/>
  <c r="I309" i="19"/>
  <c r="J309" i="19"/>
  <c r="E309" i="19"/>
  <c r="B310" i="19"/>
  <c r="H310" i="19"/>
  <c r="I310" i="19"/>
  <c r="J310" i="19"/>
  <c r="E310" i="19"/>
  <c r="B311" i="19"/>
  <c r="H311" i="19"/>
  <c r="I311" i="19"/>
  <c r="J311" i="19"/>
  <c r="E311" i="19"/>
  <c r="B312" i="19"/>
  <c r="H312" i="19"/>
  <c r="I312" i="19"/>
  <c r="J312" i="19"/>
  <c r="E312" i="19"/>
  <c r="B313" i="19"/>
  <c r="H313" i="19"/>
  <c r="I313" i="19"/>
  <c r="J313" i="19"/>
  <c r="E313" i="19"/>
  <c r="B314" i="19"/>
  <c r="H314" i="19"/>
  <c r="I314" i="19"/>
  <c r="J314" i="19"/>
  <c r="E314" i="19"/>
  <c r="B315" i="19"/>
  <c r="H315" i="19"/>
  <c r="I315" i="19"/>
  <c r="J315" i="19"/>
  <c r="E315" i="19"/>
  <c r="B316" i="19"/>
  <c r="H316" i="19"/>
  <c r="I316" i="19"/>
  <c r="J316" i="19"/>
  <c r="E316" i="19"/>
  <c r="B317" i="19"/>
  <c r="H317" i="19"/>
  <c r="I317" i="19"/>
  <c r="J317" i="19"/>
  <c r="E317" i="19"/>
  <c r="B318" i="19"/>
  <c r="H318" i="19"/>
  <c r="I318" i="19"/>
  <c r="J318" i="19"/>
  <c r="E318" i="19"/>
  <c r="B319" i="19"/>
  <c r="H319" i="19"/>
  <c r="I319" i="19"/>
  <c r="J319" i="19"/>
  <c r="E319" i="19"/>
  <c r="B320" i="19"/>
  <c r="H320" i="19"/>
  <c r="I320" i="19"/>
  <c r="J320" i="19"/>
  <c r="E320" i="19"/>
  <c r="B321" i="19"/>
  <c r="H321" i="19"/>
  <c r="I321" i="19"/>
  <c r="J321" i="19"/>
  <c r="E321" i="19"/>
  <c r="B322" i="19"/>
  <c r="H322" i="19"/>
  <c r="I322" i="19"/>
  <c r="J322" i="19"/>
  <c r="E322" i="19"/>
  <c r="B323" i="19"/>
  <c r="H323" i="19"/>
  <c r="I323" i="19"/>
  <c r="J323" i="19"/>
  <c r="E323" i="19"/>
  <c r="B324" i="19"/>
  <c r="H324" i="19"/>
  <c r="I324" i="19"/>
  <c r="J324" i="19"/>
  <c r="E324" i="19"/>
  <c r="B325" i="19"/>
  <c r="H325" i="19"/>
  <c r="I325" i="19"/>
  <c r="J325" i="19"/>
  <c r="E325" i="19"/>
  <c r="B326" i="19"/>
  <c r="H326" i="19"/>
  <c r="I326" i="19"/>
  <c r="J326" i="19"/>
  <c r="E326" i="19"/>
  <c r="B327" i="19"/>
  <c r="H327" i="19"/>
  <c r="I327" i="19"/>
  <c r="J327" i="19"/>
  <c r="E327" i="19"/>
  <c r="B328" i="19"/>
  <c r="H328" i="19"/>
  <c r="I328" i="19"/>
  <c r="J328" i="19"/>
  <c r="E328" i="19"/>
  <c r="B329" i="19"/>
  <c r="H329" i="19"/>
  <c r="I329" i="19"/>
  <c r="J329" i="19"/>
  <c r="E329" i="19"/>
  <c r="B330" i="19"/>
  <c r="H330" i="19"/>
  <c r="I330" i="19"/>
  <c r="J330" i="19"/>
  <c r="E330" i="19"/>
  <c r="B331" i="19"/>
  <c r="H331" i="19"/>
  <c r="I331" i="19"/>
  <c r="J331" i="19"/>
  <c r="E331" i="19"/>
  <c r="B332" i="19"/>
  <c r="H332" i="19"/>
  <c r="I332" i="19"/>
  <c r="J332" i="19"/>
  <c r="E332" i="19"/>
  <c r="B333" i="19"/>
  <c r="H333" i="19"/>
  <c r="I333" i="19"/>
  <c r="J333" i="19"/>
  <c r="E333" i="19"/>
  <c r="B334" i="19"/>
  <c r="H334" i="19"/>
  <c r="I334" i="19"/>
  <c r="J334" i="19"/>
  <c r="E334" i="19"/>
  <c r="B335" i="19"/>
  <c r="H335" i="19"/>
  <c r="I335" i="19"/>
  <c r="J335" i="19"/>
  <c r="E335" i="19"/>
  <c r="B336" i="19"/>
  <c r="H336" i="19"/>
  <c r="I336" i="19"/>
  <c r="J336" i="19"/>
  <c r="E336" i="19"/>
  <c r="B337" i="19"/>
  <c r="H337" i="19"/>
  <c r="I337" i="19"/>
  <c r="J337" i="19"/>
  <c r="E337" i="19"/>
  <c r="B338" i="19"/>
  <c r="H338" i="19"/>
  <c r="I338" i="19"/>
  <c r="J338" i="19"/>
  <c r="E338" i="19"/>
  <c r="B339" i="19"/>
  <c r="H339" i="19"/>
  <c r="I339" i="19"/>
  <c r="J339" i="19"/>
  <c r="E339" i="19"/>
  <c r="B340" i="19"/>
  <c r="H340" i="19"/>
  <c r="I340" i="19"/>
  <c r="J340" i="19"/>
  <c r="E340" i="19"/>
  <c r="B341" i="19"/>
  <c r="H341" i="19"/>
  <c r="I341" i="19"/>
  <c r="J341" i="19"/>
  <c r="E341" i="19"/>
  <c r="B342" i="19"/>
  <c r="H342" i="19"/>
  <c r="I342" i="19"/>
  <c r="J342" i="19"/>
  <c r="E342" i="19"/>
  <c r="B343" i="19"/>
  <c r="H343" i="19"/>
  <c r="I343" i="19"/>
  <c r="J343" i="19"/>
  <c r="E343" i="19"/>
  <c r="B344" i="19"/>
  <c r="H344" i="19"/>
  <c r="I344" i="19"/>
  <c r="J344" i="19"/>
  <c r="E344" i="19"/>
  <c r="B345" i="19"/>
  <c r="H345" i="19"/>
  <c r="I345" i="19"/>
  <c r="J345" i="19"/>
  <c r="E345" i="19"/>
  <c r="B346" i="19"/>
  <c r="H346" i="19"/>
  <c r="I346" i="19"/>
  <c r="J346" i="19"/>
  <c r="E346" i="19"/>
  <c r="B347" i="19"/>
  <c r="H347" i="19"/>
  <c r="I347" i="19"/>
  <c r="J347" i="19"/>
  <c r="E347" i="19"/>
  <c r="B348" i="19"/>
  <c r="H348" i="19"/>
  <c r="I348" i="19"/>
  <c r="J348" i="19"/>
  <c r="E348" i="19"/>
  <c r="B349" i="19"/>
  <c r="H349" i="19"/>
  <c r="I349" i="19"/>
  <c r="J349" i="19"/>
  <c r="E349" i="19"/>
  <c r="B350" i="19"/>
  <c r="H350" i="19"/>
  <c r="I350" i="19"/>
  <c r="J350" i="19"/>
  <c r="E350" i="19"/>
  <c r="B351" i="19"/>
  <c r="H351" i="19"/>
  <c r="I351" i="19"/>
  <c r="J351" i="19"/>
  <c r="E351" i="19"/>
  <c r="B352" i="19"/>
  <c r="H352" i="19"/>
  <c r="I352" i="19"/>
  <c r="J352" i="19"/>
  <c r="E352" i="19"/>
  <c r="B353" i="19"/>
  <c r="H353" i="19"/>
  <c r="I353" i="19"/>
  <c r="J353" i="19"/>
  <c r="E353" i="19"/>
  <c r="B354" i="19"/>
  <c r="H354" i="19"/>
  <c r="I354" i="19"/>
  <c r="J354" i="19"/>
  <c r="E354" i="19"/>
  <c r="B355" i="19"/>
  <c r="H355" i="19"/>
  <c r="I355" i="19"/>
  <c r="J355" i="19"/>
  <c r="E355" i="19"/>
  <c r="B356" i="19"/>
  <c r="H356" i="19"/>
  <c r="I356" i="19"/>
  <c r="J356" i="19"/>
  <c r="E356" i="19"/>
  <c r="B357" i="19"/>
  <c r="H357" i="19"/>
  <c r="I357" i="19"/>
  <c r="J357" i="19"/>
  <c r="E357" i="19"/>
  <c r="B358" i="19"/>
  <c r="H358" i="19"/>
  <c r="I358" i="19"/>
  <c r="J358" i="19"/>
  <c r="E358" i="19"/>
  <c r="B359" i="19"/>
  <c r="H359" i="19"/>
  <c r="I359" i="19"/>
  <c r="J359" i="19"/>
  <c r="E359" i="19"/>
  <c r="B360" i="19"/>
  <c r="H360" i="19"/>
  <c r="I360" i="19"/>
  <c r="J360" i="19"/>
  <c r="E360" i="19"/>
  <c r="B361" i="19"/>
  <c r="H361" i="19"/>
  <c r="I361" i="19"/>
  <c r="J361" i="19"/>
  <c r="E361" i="19"/>
  <c r="B362" i="19"/>
  <c r="H362" i="19"/>
  <c r="I362" i="19"/>
  <c r="J362" i="19"/>
  <c r="E362" i="19"/>
  <c r="B363" i="19"/>
  <c r="H363" i="19"/>
  <c r="I363" i="19"/>
  <c r="J363" i="19"/>
  <c r="E363" i="19"/>
  <c r="B364" i="19"/>
  <c r="H364" i="19"/>
  <c r="I364" i="19"/>
  <c r="J364" i="19"/>
  <c r="E364" i="19"/>
  <c r="B365" i="19"/>
  <c r="H365" i="19"/>
  <c r="I365" i="19"/>
  <c r="J365" i="19"/>
  <c r="E365" i="19"/>
  <c r="B366" i="19"/>
  <c r="H366" i="19"/>
  <c r="I366" i="19"/>
  <c r="J366" i="19"/>
  <c r="E366" i="19"/>
  <c r="B367" i="19"/>
  <c r="H367" i="19"/>
  <c r="I367" i="19"/>
  <c r="J367" i="19"/>
  <c r="E367" i="19"/>
  <c r="B368" i="19"/>
  <c r="H368" i="19"/>
  <c r="I368" i="19"/>
  <c r="J368" i="19"/>
  <c r="E368" i="19"/>
  <c r="B369" i="19"/>
  <c r="H369" i="19"/>
  <c r="I369" i="19"/>
  <c r="J369" i="19"/>
  <c r="E369" i="19"/>
  <c r="B370" i="19"/>
  <c r="H370" i="19"/>
  <c r="I370" i="19"/>
  <c r="J370" i="19"/>
  <c r="E370" i="19"/>
  <c r="B371" i="19"/>
  <c r="H371" i="19"/>
  <c r="I371" i="19"/>
  <c r="J371" i="19"/>
  <c r="E371" i="19"/>
  <c r="B372" i="19"/>
  <c r="H372" i="19"/>
  <c r="I372" i="19"/>
  <c r="J372" i="19"/>
  <c r="E372" i="19"/>
  <c r="B373" i="19"/>
  <c r="H373" i="19"/>
  <c r="I373" i="19"/>
  <c r="J373" i="19"/>
  <c r="E373" i="19"/>
  <c r="B374" i="19"/>
  <c r="H374" i="19"/>
  <c r="I374" i="19"/>
  <c r="J374" i="19"/>
  <c r="E374" i="19"/>
  <c r="B375" i="19"/>
  <c r="H375" i="19"/>
  <c r="I375" i="19"/>
  <c r="J375" i="19"/>
  <c r="E375" i="19"/>
  <c r="B376" i="19"/>
  <c r="H376" i="19"/>
  <c r="I376" i="19"/>
  <c r="J376" i="19"/>
  <c r="E376" i="19"/>
  <c r="B377" i="19"/>
  <c r="H377" i="19"/>
  <c r="I377" i="19"/>
  <c r="J377" i="19"/>
  <c r="E377" i="19"/>
  <c r="B378" i="19"/>
  <c r="H378" i="19"/>
  <c r="I378" i="19"/>
  <c r="J378" i="19"/>
  <c r="E378" i="19"/>
  <c r="B379" i="19"/>
  <c r="H379" i="19"/>
  <c r="I379" i="19"/>
  <c r="J379" i="19"/>
  <c r="E379" i="19"/>
  <c r="B380" i="19"/>
  <c r="H380" i="19"/>
  <c r="I380" i="19"/>
  <c r="J380" i="19"/>
  <c r="E380" i="19"/>
  <c r="B381" i="19"/>
  <c r="H381" i="19"/>
  <c r="I381" i="19"/>
  <c r="J381" i="19"/>
  <c r="E381" i="19"/>
  <c r="B382" i="19"/>
  <c r="H382" i="19"/>
  <c r="I382" i="19"/>
  <c r="J382" i="19"/>
  <c r="E382" i="19"/>
  <c r="B383" i="19"/>
  <c r="H383" i="19"/>
  <c r="I383" i="19"/>
  <c r="J383" i="19"/>
  <c r="E383" i="19"/>
  <c r="B384" i="19"/>
  <c r="H384" i="19"/>
  <c r="I384" i="19"/>
  <c r="J384" i="19"/>
  <c r="E384" i="19"/>
  <c r="B385" i="19"/>
  <c r="H385" i="19"/>
  <c r="I385" i="19"/>
  <c r="J385" i="19"/>
  <c r="E385" i="19"/>
  <c r="B386" i="19"/>
  <c r="H386" i="19"/>
  <c r="I386" i="19"/>
  <c r="J386" i="19"/>
  <c r="E386" i="19"/>
  <c r="B387" i="19"/>
  <c r="H387" i="19"/>
  <c r="I387" i="19"/>
  <c r="J387" i="19"/>
  <c r="E387" i="19"/>
  <c r="B388" i="19"/>
  <c r="H388" i="19"/>
  <c r="I388" i="19"/>
  <c r="J388" i="19"/>
  <c r="E388" i="19"/>
  <c r="B389" i="19"/>
  <c r="H389" i="19"/>
  <c r="I389" i="19"/>
  <c r="J389" i="19"/>
  <c r="E389" i="19"/>
  <c r="B390" i="19"/>
  <c r="H390" i="19"/>
  <c r="I390" i="19"/>
  <c r="J390" i="19"/>
  <c r="E390" i="19"/>
  <c r="B391" i="19"/>
  <c r="H391" i="19"/>
  <c r="I391" i="19"/>
  <c r="J391" i="19"/>
  <c r="E391" i="19"/>
  <c r="B392" i="19"/>
  <c r="H392" i="19"/>
  <c r="I392" i="19"/>
  <c r="J392" i="19"/>
  <c r="E392" i="19"/>
  <c r="B393" i="19"/>
  <c r="H393" i="19"/>
  <c r="I393" i="19"/>
  <c r="J393" i="19"/>
  <c r="E393" i="19"/>
  <c r="B394" i="19"/>
  <c r="H394" i="19"/>
  <c r="I394" i="19"/>
  <c r="J394" i="19"/>
  <c r="E394" i="19"/>
  <c r="B395" i="19"/>
  <c r="H395" i="19"/>
  <c r="I395" i="19"/>
  <c r="J395" i="19"/>
  <c r="E395" i="19"/>
  <c r="B396" i="19"/>
  <c r="H396" i="19"/>
  <c r="I396" i="19"/>
  <c r="J396" i="19"/>
  <c r="E396" i="19"/>
  <c r="B397" i="19"/>
  <c r="H397" i="19"/>
  <c r="I397" i="19"/>
  <c r="J397" i="19"/>
  <c r="E397" i="19"/>
  <c r="B398" i="19"/>
  <c r="H398" i="19"/>
  <c r="I398" i="19"/>
  <c r="J398" i="19"/>
  <c r="E398" i="19"/>
  <c r="B399" i="19"/>
  <c r="H399" i="19"/>
  <c r="I399" i="19"/>
  <c r="J399" i="19"/>
  <c r="E399" i="19"/>
  <c r="B400" i="19"/>
  <c r="H400" i="19"/>
  <c r="I400" i="19"/>
  <c r="J400" i="19"/>
  <c r="E400" i="19"/>
  <c r="B401" i="19"/>
  <c r="H401" i="19"/>
  <c r="I401" i="19"/>
  <c r="J401" i="19"/>
  <c r="E401" i="19"/>
  <c r="B402" i="19"/>
  <c r="H402" i="19"/>
  <c r="I402" i="19"/>
  <c r="J402" i="19"/>
  <c r="E402" i="19"/>
  <c r="B403" i="19"/>
  <c r="H403" i="19"/>
  <c r="I403" i="19"/>
  <c r="J403" i="19"/>
  <c r="E403" i="19"/>
  <c r="B404" i="19"/>
  <c r="H404" i="19"/>
  <c r="I404" i="19"/>
  <c r="J404" i="19"/>
  <c r="E404" i="19"/>
  <c r="B405" i="19"/>
  <c r="H405" i="19"/>
  <c r="I405" i="19"/>
  <c r="J405" i="19"/>
  <c r="E405" i="19"/>
  <c r="B406" i="19"/>
  <c r="H406" i="19"/>
  <c r="I406" i="19"/>
  <c r="J406" i="19"/>
  <c r="E406" i="19"/>
  <c r="B407" i="19"/>
  <c r="H407" i="19"/>
  <c r="I407" i="19"/>
  <c r="J407" i="19"/>
  <c r="E407" i="19"/>
  <c r="B408" i="19"/>
  <c r="H408" i="19"/>
  <c r="I408" i="19"/>
  <c r="J408" i="19"/>
  <c r="E408" i="19"/>
  <c r="B409" i="19"/>
  <c r="H409" i="19"/>
  <c r="I409" i="19"/>
  <c r="J409" i="19"/>
  <c r="E409" i="19"/>
  <c r="B410" i="19"/>
  <c r="H410" i="19"/>
  <c r="I410" i="19"/>
  <c r="J410" i="19"/>
  <c r="E410" i="19"/>
  <c r="B411" i="19"/>
  <c r="H411" i="19"/>
  <c r="I411" i="19"/>
  <c r="J411" i="19"/>
  <c r="E411" i="19"/>
  <c r="B412" i="19"/>
  <c r="H412" i="19"/>
  <c r="I412" i="19"/>
  <c r="J412" i="19"/>
  <c r="E412" i="19"/>
  <c r="B413" i="19"/>
  <c r="H413" i="19"/>
  <c r="I413" i="19"/>
  <c r="J413" i="19"/>
  <c r="E413" i="19"/>
  <c r="B414" i="19"/>
  <c r="H414" i="19"/>
  <c r="I414" i="19"/>
  <c r="J414" i="19"/>
  <c r="E414" i="19"/>
  <c r="B415" i="19"/>
  <c r="H415" i="19"/>
  <c r="I415" i="19"/>
  <c r="J415" i="19"/>
  <c r="E415" i="19"/>
  <c r="B416" i="19"/>
  <c r="H416" i="19"/>
  <c r="I416" i="19"/>
  <c r="J416" i="19"/>
  <c r="E416" i="19"/>
  <c r="B417" i="19"/>
  <c r="H417" i="19"/>
  <c r="I417" i="19"/>
  <c r="J417" i="19"/>
  <c r="E417" i="19"/>
  <c r="B418" i="19"/>
  <c r="H418" i="19"/>
  <c r="I418" i="19"/>
  <c r="J418" i="19"/>
  <c r="E418" i="19"/>
  <c r="B419" i="19"/>
  <c r="H419" i="19"/>
  <c r="I419" i="19"/>
  <c r="J419" i="19"/>
  <c r="E419" i="19"/>
  <c r="B420" i="19"/>
  <c r="H420" i="19"/>
  <c r="I420" i="19"/>
  <c r="J420" i="19"/>
  <c r="E420" i="19"/>
  <c r="B421" i="19"/>
  <c r="H421" i="19"/>
  <c r="I421" i="19"/>
  <c r="J421" i="19"/>
  <c r="E421" i="19"/>
  <c r="B422" i="19"/>
  <c r="H422" i="19"/>
  <c r="I422" i="19"/>
  <c r="J422" i="19"/>
  <c r="E422" i="19"/>
  <c r="B423" i="19"/>
  <c r="H423" i="19"/>
  <c r="I423" i="19"/>
  <c r="J423" i="19"/>
  <c r="E423" i="19"/>
  <c r="B424" i="19"/>
  <c r="H424" i="19"/>
  <c r="I424" i="19"/>
  <c r="J424" i="19"/>
  <c r="E424" i="19"/>
  <c r="B425" i="19"/>
  <c r="H425" i="19"/>
  <c r="I425" i="19"/>
  <c r="J425" i="19"/>
  <c r="E425" i="19"/>
  <c r="B426" i="19"/>
  <c r="H426" i="19"/>
  <c r="I426" i="19"/>
  <c r="J426" i="19"/>
  <c r="E426" i="19"/>
  <c r="B427" i="19"/>
  <c r="H427" i="19"/>
  <c r="I427" i="19"/>
  <c r="J427" i="19"/>
  <c r="E427" i="19"/>
  <c r="B428" i="19"/>
  <c r="H428" i="19"/>
  <c r="I428" i="19"/>
  <c r="J428" i="19"/>
  <c r="E428" i="19"/>
  <c r="B429" i="19"/>
  <c r="H429" i="19"/>
  <c r="I429" i="19"/>
  <c r="J429" i="19"/>
  <c r="E429" i="19"/>
  <c r="B430" i="19"/>
  <c r="H430" i="19"/>
  <c r="I430" i="19"/>
  <c r="J430" i="19"/>
  <c r="E430" i="19"/>
  <c r="B431" i="19"/>
  <c r="H431" i="19"/>
  <c r="I431" i="19"/>
  <c r="J431" i="19"/>
  <c r="E431" i="19"/>
  <c r="B432" i="19"/>
  <c r="H432" i="19"/>
  <c r="I432" i="19"/>
  <c r="J432" i="19"/>
  <c r="E432" i="19"/>
  <c r="B433" i="19"/>
  <c r="H433" i="19"/>
  <c r="I433" i="19"/>
  <c r="J433" i="19"/>
  <c r="E433" i="19"/>
  <c r="B434" i="19"/>
  <c r="H434" i="19"/>
  <c r="I434" i="19"/>
  <c r="J434" i="19"/>
  <c r="E434" i="19"/>
  <c r="B435" i="19"/>
  <c r="H435" i="19"/>
  <c r="I435" i="19"/>
  <c r="J435" i="19"/>
  <c r="E435" i="19"/>
  <c r="B436" i="19"/>
  <c r="H436" i="19"/>
  <c r="I436" i="19"/>
  <c r="J436" i="19"/>
  <c r="E436" i="19"/>
  <c r="B437" i="19"/>
  <c r="H437" i="19"/>
  <c r="I437" i="19"/>
  <c r="J437" i="19"/>
  <c r="E437" i="19"/>
  <c r="B438" i="19"/>
  <c r="H438" i="19"/>
  <c r="I438" i="19"/>
  <c r="J438" i="19"/>
  <c r="E438" i="19"/>
  <c r="B439" i="19"/>
  <c r="H439" i="19"/>
  <c r="I439" i="19"/>
  <c r="J439" i="19"/>
  <c r="E439" i="19"/>
  <c r="B440" i="19"/>
  <c r="H440" i="19"/>
  <c r="I440" i="19"/>
  <c r="J440" i="19"/>
  <c r="E440" i="19"/>
  <c r="B441" i="19"/>
  <c r="H441" i="19"/>
  <c r="I441" i="19"/>
  <c r="J441" i="19"/>
  <c r="E441" i="19"/>
  <c r="B442" i="19"/>
  <c r="H442" i="19"/>
  <c r="I442" i="19"/>
  <c r="J442" i="19"/>
  <c r="E442" i="19"/>
  <c r="B443" i="19"/>
  <c r="H443" i="19"/>
  <c r="I443" i="19"/>
  <c r="J443" i="19"/>
  <c r="E443" i="19"/>
  <c r="B444" i="19"/>
  <c r="H444" i="19"/>
  <c r="I444" i="19"/>
  <c r="J444" i="19"/>
  <c r="E444" i="19"/>
  <c r="B445" i="19"/>
  <c r="H445" i="19"/>
  <c r="I445" i="19"/>
  <c r="J445" i="19"/>
  <c r="E445" i="19"/>
  <c r="B446" i="19"/>
  <c r="H446" i="19"/>
  <c r="I446" i="19"/>
  <c r="J446" i="19"/>
  <c r="E446" i="19"/>
  <c r="B447" i="19"/>
  <c r="H447" i="19"/>
  <c r="I447" i="19"/>
  <c r="J447" i="19"/>
  <c r="E447" i="19"/>
  <c r="B448" i="19"/>
  <c r="H448" i="19"/>
  <c r="I448" i="19"/>
  <c r="J448" i="19"/>
  <c r="E448" i="19"/>
  <c r="B449" i="19"/>
  <c r="H449" i="19"/>
  <c r="I449" i="19"/>
  <c r="J449" i="19"/>
  <c r="E449" i="19"/>
  <c r="B450" i="19"/>
  <c r="H450" i="19"/>
  <c r="I450" i="19"/>
  <c r="J450" i="19"/>
  <c r="E450" i="19"/>
  <c r="B451" i="19"/>
  <c r="H451" i="19"/>
  <c r="I451" i="19"/>
  <c r="J451" i="19"/>
  <c r="E451" i="19"/>
  <c r="B452" i="19"/>
  <c r="H452" i="19"/>
  <c r="I452" i="19"/>
  <c r="J452" i="19"/>
  <c r="E452" i="19"/>
  <c r="B453" i="19"/>
  <c r="H453" i="19"/>
  <c r="I453" i="19"/>
  <c r="J453" i="19"/>
  <c r="E453" i="19"/>
  <c r="B454" i="19"/>
  <c r="H454" i="19"/>
  <c r="I454" i="19"/>
  <c r="J454" i="19"/>
  <c r="E454" i="19"/>
  <c r="B455" i="19"/>
  <c r="H455" i="19"/>
  <c r="I455" i="19"/>
  <c r="J455" i="19"/>
  <c r="E455" i="19"/>
  <c r="B456" i="19"/>
  <c r="H456" i="19"/>
  <c r="I456" i="19"/>
  <c r="J456" i="19"/>
  <c r="E456" i="19"/>
  <c r="B457" i="19"/>
  <c r="H457" i="19"/>
  <c r="I457" i="19"/>
  <c r="J457" i="19"/>
  <c r="E457" i="19"/>
  <c r="B458" i="19"/>
  <c r="H458" i="19"/>
  <c r="I458" i="19"/>
  <c r="J458" i="19"/>
  <c r="E458" i="19"/>
  <c r="B459" i="19"/>
  <c r="H459" i="19"/>
  <c r="I459" i="19"/>
  <c r="J459" i="19"/>
  <c r="E459" i="19"/>
  <c r="B460" i="19"/>
  <c r="H460" i="19"/>
  <c r="I460" i="19"/>
  <c r="J460" i="19"/>
  <c r="E460" i="19"/>
  <c r="B461" i="19"/>
  <c r="H461" i="19"/>
  <c r="I461" i="19"/>
  <c r="J461" i="19"/>
  <c r="E461" i="19"/>
  <c r="B462" i="19"/>
  <c r="H462" i="19"/>
  <c r="I462" i="19"/>
  <c r="J462" i="19"/>
  <c r="E462" i="19"/>
  <c r="B463" i="19"/>
  <c r="H463" i="19"/>
  <c r="I463" i="19"/>
  <c r="J463" i="19"/>
  <c r="E463" i="19"/>
  <c r="B464" i="19"/>
  <c r="H464" i="19"/>
  <c r="I464" i="19"/>
  <c r="J464" i="19"/>
  <c r="E464" i="19"/>
  <c r="B465" i="19"/>
  <c r="H465" i="19"/>
  <c r="I465" i="19"/>
  <c r="J465" i="19"/>
  <c r="E465" i="19"/>
  <c r="B466" i="19"/>
  <c r="H466" i="19"/>
  <c r="I466" i="19"/>
  <c r="J466" i="19"/>
  <c r="E466" i="19"/>
  <c r="B467" i="19"/>
  <c r="H467" i="19"/>
  <c r="I467" i="19"/>
  <c r="J467" i="19"/>
  <c r="E467" i="19"/>
  <c r="B468" i="19"/>
  <c r="H468" i="19"/>
  <c r="I468" i="19"/>
  <c r="J468" i="19"/>
  <c r="E468" i="19"/>
  <c r="B469" i="19"/>
  <c r="H469" i="19"/>
  <c r="I469" i="19"/>
  <c r="J469" i="19"/>
  <c r="E469" i="19"/>
  <c r="B470" i="19"/>
  <c r="H470" i="19"/>
  <c r="I470" i="19"/>
  <c r="J470" i="19"/>
  <c r="E470" i="19"/>
  <c r="B471" i="19"/>
  <c r="H471" i="19"/>
  <c r="I471" i="19"/>
  <c r="J471" i="19"/>
  <c r="E471" i="19"/>
  <c r="B472" i="19"/>
  <c r="H472" i="19"/>
  <c r="I472" i="19"/>
  <c r="J472" i="19"/>
  <c r="E472" i="19"/>
  <c r="B473" i="19"/>
  <c r="H473" i="19"/>
  <c r="I473" i="19"/>
  <c r="J473" i="19"/>
  <c r="E473" i="19"/>
  <c r="B474" i="19"/>
  <c r="H474" i="19"/>
  <c r="I474" i="19"/>
  <c r="J474" i="19"/>
  <c r="E474" i="19"/>
  <c r="B475" i="19"/>
  <c r="H475" i="19"/>
  <c r="I475" i="19"/>
  <c r="J475" i="19"/>
  <c r="E475" i="19"/>
  <c r="B476" i="19"/>
  <c r="H476" i="19"/>
  <c r="I476" i="19"/>
  <c r="J476" i="19"/>
  <c r="E476" i="19"/>
  <c r="B477" i="19"/>
  <c r="H477" i="19"/>
  <c r="I477" i="19"/>
  <c r="J477" i="19"/>
  <c r="E477" i="19"/>
  <c r="B478" i="19"/>
  <c r="H478" i="19"/>
  <c r="I478" i="19"/>
  <c r="J478" i="19"/>
  <c r="E478" i="19"/>
  <c r="B479" i="19"/>
  <c r="H479" i="19"/>
  <c r="I479" i="19"/>
  <c r="J479" i="19"/>
  <c r="E479" i="19"/>
  <c r="B480" i="19"/>
  <c r="H480" i="19"/>
  <c r="I480" i="19"/>
  <c r="J480" i="19"/>
  <c r="E480" i="19"/>
  <c r="B481" i="19"/>
  <c r="H481" i="19"/>
  <c r="I481" i="19"/>
  <c r="J481" i="19"/>
  <c r="E481" i="19"/>
  <c r="B482" i="19"/>
  <c r="H482" i="19"/>
  <c r="I482" i="19"/>
  <c r="J482" i="19"/>
  <c r="E482" i="19"/>
  <c r="B483" i="19"/>
  <c r="H483" i="19"/>
  <c r="I483" i="19"/>
  <c r="J483" i="19"/>
  <c r="E483" i="19"/>
  <c r="B484" i="19"/>
  <c r="H484" i="19"/>
  <c r="I484" i="19"/>
  <c r="J484" i="19"/>
  <c r="E484" i="19"/>
  <c r="B485" i="19"/>
  <c r="H485" i="19"/>
  <c r="I485" i="19"/>
  <c r="J485" i="19"/>
  <c r="E485" i="19"/>
  <c r="B486" i="19"/>
  <c r="H486" i="19"/>
  <c r="I486" i="19"/>
  <c r="J486" i="19"/>
  <c r="E486" i="19"/>
  <c r="B487" i="19"/>
  <c r="H487" i="19"/>
  <c r="I487" i="19"/>
  <c r="J487" i="19"/>
  <c r="E487" i="19"/>
  <c r="B488" i="19"/>
  <c r="H488" i="19"/>
  <c r="I488" i="19"/>
  <c r="J488" i="19"/>
  <c r="E488" i="19"/>
  <c r="B489" i="19"/>
  <c r="H489" i="19"/>
  <c r="I489" i="19"/>
  <c r="J489" i="19"/>
  <c r="E489" i="19"/>
  <c r="B490" i="19"/>
  <c r="H490" i="19"/>
  <c r="I490" i="19"/>
  <c r="J490" i="19"/>
  <c r="E490" i="19"/>
  <c r="B491" i="19"/>
  <c r="H491" i="19"/>
  <c r="I491" i="19"/>
  <c r="J491" i="19"/>
  <c r="E491" i="19"/>
  <c r="B492" i="19"/>
  <c r="H492" i="19"/>
  <c r="I492" i="19"/>
  <c r="J492" i="19"/>
  <c r="E492" i="19"/>
  <c r="B493" i="19"/>
  <c r="H493" i="19"/>
  <c r="I493" i="19"/>
  <c r="J493" i="19"/>
  <c r="E493" i="19"/>
  <c r="B494" i="19"/>
  <c r="H494" i="19"/>
  <c r="I494" i="19"/>
  <c r="J494" i="19"/>
  <c r="E494" i="19"/>
  <c r="B495" i="19"/>
  <c r="H495" i="19"/>
  <c r="I495" i="19"/>
  <c r="J495" i="19"/>
  <c r="E495" i="19"/>
  <c r="B496" i="19"/>
  <c r="H496" i="19"/>
  <c r="I496" i="19"/>
  <c r="J496" i="19"/>
  <c r="E496" i="19"/>
  <c r="B497" i="19"/>
  <c r="H497" i="19"/>
  <c r="I497" i="19"/>
  <c r="J497" i="19"/>
  <c r="E497" i="19"/>
  <c r="B498" i="19"/>
  <c r="H498" i="19"/>
  <c r="I498" i="19"/>
  <c r="J498" i="19"/>
  <c r="E498" i="19"/>
  <c r="B499" i="19"/>
  <c r="H499" i="19"/>
  <c r="I499" i="19"/>
  <c r="J499" i="19"/>
  <c r="E499" i="19"/>
  <c r="B500" i="19"/>
  <c r="H500" i="19"/>
  <c r="I500" i="19"/>
  <c r="J500" i="19"/>
  <c r="E500" i="19"/>
  <c r="B501" i="19"/>
  <c r="U28" i="3"/>
  <c r="D28" i="3"/>
  <c r="S28" i="3"/>
  <c r="U29" i="3"/>
  <c r="D29" i="3"/>
  <c r="S29" i="3"/>
  <c r="U30" i="3"/>
  <c r="D30" i="3"/>
  <c r="S30" i="3"/>
  <c r="U31" i="3"/>
  <c r="D31" i="3"/>
  <c r="S31" i="3"/>
  <c r="U32" i="3"/>
  <c r="D32" i="3"/>
  <c r="S32" i="3"/>
  <c r="D33" i="3"/>
  <c r="S33" i="3"/>
  <c r="D34" i="3"/>
  <c r="S34" i="3"/>
  <c r="D35" i="3"/>
  <c r="S35" i="3"/>
  <c r="D36" i="3"/>
  <c r="S36" i="3"/>
  <c r="U38" i="3"/>
  <c r="D38" i="3"/>
  <c r="S38" i="3"/>
  <c r="U39" i="3"/>
  <c r="D39" i="3"/>
  <c r="S39" i="3"/>
  <c r="U40" i="3"/>
  <c r="D40" i="3"/>
  <c r="S40" i="3"/>
  <c r="Z41" i="3"/>
  <c r="U43" i="3"/>
  <c r="D43" i="3"/>
  <c r="S43" i="3"/>
  <c r="Z43" i="3"/>
  <c r="Z42" i="3"/>
  <c r="Z33" i="3"/>
  <c r="Z34" i="3"/>
  <c r="Z35" i="3"/>
  <c r="Z36" i="3"/>
  <c r="Z37" i="3"/>
  <c r="Z38" i="3"/>
  <c r="Z39" i="3"/>
  <c r="Z46" i="3"/>
  <c r="U47" i="3"/>
  <c r="D47" i="3"/>
  <c r="S47" i="3"/>
  <c r="Z47" i="3"/>
  <c r="U48" i="3"/>
  <c r="D48" i="3"/>
  <c r="S48" i="3"/>
  <c r="Z48" i="3"/>
  <c r="U49" i="3"/>
  <c r="D49" i="3"/>
  <c r="T49" i="3"/>
  <c r="Z49" i="3"/>
  <c r="U50" i="3"/>
  <c r="D50" i="3"/>
  <c r="S50" i="3"/>
  <c r="Z50" i="3"/>
  <c r="U51" i="3"/>
  <c r="D51" i="3"/>
  <c r="S51" i="3"/>
  <c r="Z51" i="3"/>
  <c r="U52" i="3"/>
  <c r="D52" i="3"/>
  <c r="S52" i="3"/>
  <c r="Z52" i="3"/>
  <c r="D53" i="3"/>
  <c r="S53" i="3"/>
  <c r="Z53" i="3"/>
  <c r="U54" i="3"/>
  <c r="D54" i="3"/>
  <c r="S54" i="3"/>
  <c r="Z54" i="3"/>
  <c r="U55" i="3"/>
  <c r="D55" i="3"/>
  <c r="S55" i="3"/>
  <c r="Z55" i="3"/>
  <c r="U56" i="3"/>
  <c r="D56" i="3"/>
  <c r="S56" i="3"/>
  <c r="Z56" i="3"/>
  <c r="U57" i="3"/>
  <c r="D57" i="3"/>
  <c r="S57" i="3"/>
  <c r="Z57"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46" i="3"/>
  <c r="X47" i="3"/>
  <c r="X48" i="3"/>
  <c r="X49" i="3"/>
  <c r="X50" i="3"/>
  <c r="X51" i="3"/>
  <c r="X52" i="3"/>
  <c r="X53" i="3"/>
  <c r="X54" i="3"/>
  <c r="X55" i="3"/>
  <c r="X56" i="3"/>
  <c r="X57" i="3"/>
  <c r="U58" i="3"/>
  <c r="D58" i="3"/>
  <c r="S58" i="3"/>
  <c r="X58"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46" i="3"/>
  <c r="Y47" i="3"/>
  <c r="Y48" i="3"/>
  <c r="Y49" i="3"/>
  <c r="Y50" i="3"/>
  <c r="Y51" i="3"/>
  <c r="Y52" i="3"/>
  <c r="Y53" i="3"/>
  <c r="Y54" i="3"/>
  <c r="Y55" i="3"/>
  <c r="Y56" i="3"/>
  <c r="Y57" i="3"/>
  <c r="Y58" i="3"/>
  <c r="Z58" i="3"/>
  <c r="U5" i="3"/>
  <c r="J5" i="3"/>
  <c r="D5" i="3"/>
  <c r="T5" i="3"/>
  <c r="U6" i="3"/>
  <c r="D6" i="3"/>
  <c r="T6" i="3"/>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E23" i="19"/>
  <c r="E24" i="19"/>
  <c r="E25" i="19"/>
  <c r="E26" i="19"/>
  <c r="E27" i="19"/>
  <c r="E28" i="19"/>
  <c r="E29" i="19"/>
  <c r="E30" i="19"/>
  <c r="T39" i="17"/>
  <c r="T38" i="17"/>
  <c r="T37" i="17"/>
  <c r="T36" i="17"/>
  <c r="T35" i="17"/>
  <c r="T34" i="17"/>
  <c r="T33" i="17"/>
  <c r="T32" i="17"/>
  <c r="T31" i="17"/>
  <c r="T30" i="17"/>
  <c r="T29" i="17"/>
  <c r="T28" i="17"/>
  <c r="T27" i="17"/>
  <c r="T26" i="17"/>
  <c r="T25" i="17"/>
  <c r="T24" i="17"/>
  <c r="T23" i="17"/>
  <c r="T22" i="17"/>
  <c r="T21" i="17"/>
  <c r="T20" i="17"/>
  <c r="T19" i="17"/>
  <c r="T18" i="17"/>
  <c r="T17" i="17"/>
  <c r="T16" i="17"/>
  <c r="T15" i="17"/>
  <c r="T14" i="17"/>
  <c r="T13" i="17"/>
  <c r="T12" i="17"/>
  <c r="T11" i="17"/>
  <c r="T10" i="17"/>
  <c r="T9" i="17"/>
  <c r="T8" i="17"/>
  <c r="T7" i="17"/>
  <c r="T6" i="17"/>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F5" i="19"/>
  <c r="G5" i="19"/>
  <c r="F6" i="19"/>
  <c r="G6" i="19"/>
  <c r="F7" i="19"/>
  <c r="G7" i="19"/>
  <c r="F8" i="19"/>
  <c r="G8" i="19"/>
  <c r="F9" i="19"/>
  <c r="G9" i="19"/>
  <c r="F10" i="19"/>
  <c r="G10" i="19"/>
  <c r="F11" i="19"/>
  <c r="G11" i="19"/>
  <c r="F12" i="19"/>
  <c r="G12" i="19"/>
  <c r="F13" i="19"/>
  <c r="G13" i="19"/>
  <c r="F14" i="19"/>
  <c r="G14" i="19"/>
  <c r="F15" i="19"/>
  <c r="G15" i="19"/>
  <c r="F16" i="19"/>
  <c r="G16" i="19"/>
  <c r="F17" i="19"/>
  <c r="G17" i="19"/>
  <c r="F18" i="19"/>
  <c r="G18" i="19"/>
  <c r="F19" i="19"/>
  <c r="G19" i="19"/>
  <c r="F20" i="19"/>
  <c r="G20" i="19"/>
  <c r="F21" i="19"/>
  <c r="G21" i="19"/>
  <c r="F22" i="19"/>
  <c r="G22" i="19"/>
  <c r="F23" i="19"/>
  <c r="G23" i="19"/>
  <c r="F24" i="19"/>
  <c r="G24" i="19"/>
  <c r="F25" i="19"/>
  <c r="G25" i="19"/>
  <c r="F26" i="19"/>
  <c r="G26" i="19"/>
  <c r="F27" i="19"/>
  <c r="G27" i="19"/>
  <c r="F28" i="19"/>
  <c r="G28" i="19"/>
  <c r="F29" i="19"/>
  <c r="G29" i="19"/>
  <c r="F30" i="19"/>
  <c r="G30" i="19"/>
  <c r="F31" i="19"/>
  <c r="G31" i="19"/>
  <c r="F32" i="19"/>
  <c r="G32" i="19"/>
  <c r="F33" i="19"/>
  <c r="G33" i="19"/>
  <c r="F34" i="19"/>
  <c r="G34" i="19"/>
  <c r="F35" i="19"/>
  <c r="G35" i="19"/>
  <c r="F36" i="19"/>
  <c r="G36" i="19"/>
  <c r="F37" i="19"/>
  <c r="G37" i="19"/>
  <c r="F38" i="19"/>
  <c r="G38" i="19"/>
  <c r="F39" i="19"/>
  <c r="G39" i="19"/>
  <c r="F40" i="19"/>
  <c r="G40" i="19"/>
  <c r="F41" i="19"/>
  <c r="G41" i="19"/>
  <c r="F42" i="19"/>
  <c r="G42" i="19"/>
  <c r="F43" i="19"/>
  <c r="G43" i="19"/>
  <c r="F44" i="19"/>
  <c r="G44" i="19"/>
  <c r="F45" i="19"/>
  <c r="G45" i="19"/>
  <c r="F46" i="19"/>
  <c r="G46" i="19"/>
  <c r="F47" i="19"/>
  <c r="G47" i="19"/>
  <c r="F48" i="19"/>
  <c r="G48" i="19"/>
  <c r="F49" i="19"/>
  <c r="G49" i="19"/>
  <c r="F50" i="19"/>
  <c r="G50" i="19"/>
  <c r="F51" i="19"/>
  <c r="G51" i="19"/>
  <c r="F52" i="19"/>
  <c r="G52" i="19"/>
  <c r="F53" i="19"/>
  <c r="G53" i="19"/>
  <c r="F54" i="19"/>
  <c r="G54" i="19"/>
  <c r="F55" i="19"/>
  <c r="G55" i="19"/>
  <c r="F56" i="19"/>
  <c r="G56" i="19"/>
  <c r="F57" i="19"/>
  <c r="G57" i="19"/>
  <c r="F58" i="19"/>
  <c r="G58" i="19"/>
  <c r="F59" i="19"/>
  <c r="G59" i="19"/>
  <c r="F60" i="19"/>
  <c r="G60" i="19"/>
  <c r="F61" i="19"/>
  <c r="G61" i="19"/>
  <c r="F62" i="19"/>
  <c r="G62" i="19"/>
  <c r="F63" i="19"/>
  <c r="G63" i="19"/>
  <c r="F64" i="19"/>
  <c r="G64" i="19"/>
  <c r="F65" i="19"/>
  <c r="G65" i="19"/>
  <c r="F66" i="19"/>
  <c r="G66" i="19"/>
  <c r="F67" i="19"/>
  <c r="G67" i="19"/>
  <c r="F68" i="19"/>
  <c r="G68" i="19"/>
  <c r="F69" i="19"/>
  <c r="G69" i="19"/>
  <c r="F70" i="19"/>
  <c r="G70" i="19"/>
  <c r="F71" i="19"/>
  <c r="G71" i="19"/>
  <c r="F72" i="19"/>
  <c r="G72" i="19"/>
  <c r="F73" i="19"/>
  <c r="G73" i="19"/>
  <c r="F74" i="19"/>
  <c r="G74" i="19"/>
  <c r="F75" i="19"/>
  <c r="G75" i="19"/>
  <c r="F76" i="19"/>
  <c r="G76" i="19"/>
  <c r="F77" i="19"/>
  <c r="G77" i="19"/>
  <c r="F78" i="19"/>
  <c r="G78" i="19"/>
  <c r="F79" i="19"/>
  <c r="G79" i="19"/>
  <c r="F80" i="19"/>
  <c r="G80" i="19"/>
  <c r="F81" i="19"/>
  <c r="G81" i="19"/>
  <c r="F82" i="19"/>
  <c r="G82" i="19"/>
  <c r="F83" i="19"/>
  <c r="G83" i="19"/>
  <c r="F84" i="19"/>
  <c r="G84" i="19"/>
  <c r="F85" i="19"/>
  <c r="G85" i="19"/>
  <c r="F86" i="19"/>
  <c r="G86" i="19"/>
  <c r="F87" i="19"/>
  <c r="G87" i="19"/>
  <c r="F88" i="19"/>
  <c r="G88" i="19"/>
  <c r="F89" i="19"/>
  <c r="G89" i="19"/>
  <c r="F90" i="19"/>
  <c r="G90" i="19"/>
  <c r="F91" i="19"/>
  <c r="G91" i="19"/>
  <c r="F92" i="19"/>
  <c r="G92" i="19"/>
  <c r="F93" i="19"/>
  <c r="G93" i="19"/>
  <c r="F94" i="19"/>
  <c r="G94" i="19"/>
  <c r="F95" i="19"/>
  <c r="G95" i="19"/>
  <c r="F96" i="19"/>
  <c r="G96" i="19"/>
  <c r="F97" i="19"/>
  <c r="G97" i="19"/>
  <c r="F98" i="19"/>
  <c r="G98" i="19"/>
  <c r="F99" i="19"/>
  <c r="G99" i="19"/>
  <c r="F100" i="19"/>
  <c r="G100" i="19"/>
  <c r="F101" i="19"/>
  <c r="G101" i="19"/>
  <c r="F102" i="19"/>
  <c r="G102" i="19"/>
  <c r="F103" i="19"/>
  <c r="G103" i="19"/>
  <c r="F104" i="19"/>
  <c r="G104" i="19"/>
  <c r="F105" i="19"/>
  <c r="G105" i="19"/>
  <c r="F106" i="19"/>
  <c r="G106" i="19"/>
  <c r="F107" i="19"/>
  <c r="G107" i="19"/>
  <c r="F108" i="19"/>
  <c r="G108" i="19"/>
  <c r="F109" i="19"/>
  <c r="G109" i="19"/>
  <c r="F110" i="19"/>
  <c r="G110" i="19"/>
  <c r="F111" i="19"/>
  <c r="G111" i="19"/>
  <c r="F112" i="19"/>
  <c r="G112" i="19"/>
  <c r="F113" i="19"/>
  <c r="G113" i="19"/>
  <c r="F114" i="19"/>
  <c r="G114" i="19"/>
  <c r="F115" i="19"/>
  <c r="G115" i="19"/>
  <c r="F116" i="19"/>
  <c r="G116" i="19"/>
  <c r="F117" i="19"/>
  <c r="G117" i="19"/>
  <c r="F118" i="19"/>
  <c r="G118" i="19"/>
  <c r="F119" i="19"/>
  <c r="G119" i="19"/>
  <c r="F120" i="19"/>
  <c r="G120" i="19"/>
  <c r="F121" i="19"/>
  <c r="G121" i="19"/>
  <c r="F122" i="19"/>
  <c r="G122" i="19"/>
  <c r="F123" i="19"/>
  <c r="G123" i="19"/>
  <c r="F124" i="19"/>
  <c r="G124" i="19"/>
  <c r="F125" i="19"/>
  <c r="G125" i="19"/>
  <c r="F126" i="19"/>
  <c r="G126" i="19"/>
  <c r="F127" i="19"/>
  <c r="G127"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F157" i="19"/>
  <c r="G157" i="19"/>
  <c r="F158" i="19"/>
  <c r="G158" i="19"/>
  <c r="F159" i="19"/>
  <c r="G159" i="19"/>
  <c r="F160" i="19"/>
  <c r="G160" i="19"/>
  <c r="F161" i="19"/>
  <c r="G161" i="19"/>
  <c r="F162" i="19"/>
  <c r="G162" i="19"/>
  <c r="F163" i="19"/>
  <c r="G163" i="19"/>
  <c r="F164" i="19"/>
  <c r="G164" i="19"/>
  <c r="F165" i="19"/>
  <c r="G165" i="19"/>
  <c r="F166" i="19"/>
  <c r="G166" i="19"/>
  <c r="F167" i="19"/>
  <c r="G167" i="19"/>
  <c r="F168" i="19"/>
  <c r="G168" i="19"/>
  <c r="F169" i="19"/>
  <c r="G169" i="19"/>
  <c r="F170" i="19"/>
  <c r="G170" i="19"/>
  <c r="F171" i="19"/>
  <c r="G171" i="19"/>
  <c r="F172" i="19"/>
  <c r="G172" i="19"/>
  <c r="F173" i="19"/>
  <c r="G173" i="19"/>
  <c r="F174" i="19"/>
  <c r="G174" i="19"/>
  <c r="F175" i="19"/>
  <c r="G175" i="19"/>
  <c r="F176" i="19"/>
  <c r="G176" i="19"/>
  <c r="F177" i="19"/>
  <c r="G177" i="19"/>
  <c r="F178" i="19"/>
  <c r="G178" i="19"/>
  <c r="F179" i="19"/>
  <c r="G179" i="19"/>
  <c r="F180" i="19"/>
  <c r="G180" i="19"/>
  <c r="F181" i="19"/>
  <c r="G181" i="19"/>
  <c r="F182" i="19"/>
  <c r="G182" i="19"/>
  <c r="F183" i="19"/>
  <c r="G183" i="19"/>
  <c r="F184" i="19"/>
  <c r="G184" i="19"/>
  <c r="F185" i="19"/>
  <c r="G185" i="19"/>
  <c r="F186" i="19"/>
  <c r="G186" i="19"/>
  <c r="F187" i="19"/>
  <c r="G187" i="19"/>
  <c r="F188" i="19"/>
  <c r="G188" i="19"/>
  <c r="F189" i="19"/>
  <c r="G189" i="19"/>
  <c r="F190" i="19"/>
  <c r="G190" i="19"/>
  <c r="F191" i="19"/>
  <c r="G191" i="19"/>
  <c r="F192" i="19"/>
  <c r="G192" i="19"/>
  <c r="F193" i="19"/>
  <c r="G193" i="19"/>
  <c r="F194" i="19"/>
  <c r="G194" i="19"/>
  <c r="F195" i="19"/>
  <c r="G195" i="19"/>
  <c r="F196" i="19"/>
  <c r="G196" i="19"/>
  <c r="F197" i="19"/>
  <c r="G197" i="19"/>
  <c r="F198" i="19"/>
  <c r="G198" i="19"/>
  <c r="F199" i="19"/>
  <c r="G199" i="19"/>
  <c r="F200" i="19"/>
  <c r="G200"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K200" i="19"/>
  <c r="K199" i="19"/>
  <c r="K198" i="19"/>
  <c r="K197" i="19"/>
  <c r="K196" i="19"/>
  <c r="K195" i="19"/>
  <c r="K194" i="19"/>
  <c r="K193" i="19"/>
  <c r="K192" i="19"/>
  <c r="K191" i="19"/>
  <c r="K190" i="19"/>
  <c r="K189" i="19"/>
  <c r="K188" i="19"/>
  <c r="K187" i="19"/>
  <c r="K186" i="19"/>
  <c r="K185" i="19"/>
  <c r="K184" i="19"/>
  <c r="K183" i="19"/>
  <c r="K182" i="19"/>
  <c r="K181" i="19"/>
  <c r="K180" i="19"/>
  <c r="K179" i="19"/>
  <c r="K178" i="19"/>
  <c r="K177" i="19"/>
  <c r="K176" i="19"/>
  <c r="K175" i="19"/>
  <c r="K174" i="19"/>
  <c r="K173" i="19"/>
  <c r="K172" i="19"/>
  <c r="K171" i="19"/>
  <c r="K170" i="19"/>
  <c r="K169" i="19"/>
  <c r="K168" i="19"/>
  <c r="K167" i="19"/>
  <c r="K166" i="19"/>
  <c r="K165" i="19"/>
  <c r="K164" i="19"/>
  <c r="K163" i="19"/>
  <c r="K162" i="19"/>
  <c r="K161" i="19"/>
  <c r="K160" i="19"/>
  <c r="K159" i="19"/>
  <c r="K158" i="19"/>
  <c r="K157" i="19"/>
  <c r="K156" i="19"/>
  <c r="K155" i="19"/>
  <c r="K154" i="19"/>
  <c r="K153" i="19"/>
  <c r="K152" i="19"/>
  <c r="K151" i="19"/>
  <c r="K150" i="19"/>
  <c r="K149" i="19"/>
  <c r="K148" i="19"/>
  <c r="K147" i="19"/>
  <c r="K146" i="19"/>
  <c r="K145" i="19"/>
  <c r="K144" i="19"/>
  <c r="K143" i="19"/>
  <c r="K142" i="19"/>
  <c r="K141" i="19"/>
  <c r="K140" i="19"/>
  <c r="K139" i="19"/>
  <c r="K138" i="19"/>
  <c r="K137" i="19"/>
  <c r="K136" i="19"/>
  <c r="K135" i="19"/>
  <c r="K134" i="19"/>
  <c r="K133" i="19"/>
  <c r="K132" i="19"/>
  <c r="K131" i="19"/>
  <c r="K130" i="19"/>
  <c r="K129" i="19"/>
  <c r="K128" i="19"/>
  <c r="K127" i="19"/>
  <c r="K126" i="19"/>
  <c r="K125" i="19"/>
  <c r="K124" i="19"/>
  <c r="K123" i="19"/>
  <c r="K122" i="19"/>
  <c r="K121" i="19"/>
  <c r="K120" i="19"/>
  <c r="K119" i="19"/>
  <c r="K118" i="19"/>
  <c r="K117" i="19"/>
  <c r="K116" i="19"/>
  <c r="K115"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44" i="19"/>
  <c r="K43" i="19"/>
  <c r="K42" i="19"/>
  <c r="K41" i="19"/>
  <c r="K40" i="19"/>
  <c r="K39" i="19"/>
  <c r="K38" i="19"/>
  <c r="K37" i="19"/>
  <c r="K36" i="19"/>
  <c r="K35" i="19"/>
  <c r="K34" i="19"/>
  <c r="K33" i="19"/>
  <c r="K32" i="19"/>
  <c r="K31" i="19"/>
  <c r="K30" i="19"/>
  <c r="K29" i="19"/>
  <c r="K28" i="19"/>
  <c r="K27" i="19"/>
  <c r="K26" i="19"/>
  <c r="K25" i="19"/>
  <c r="K24" i="19"/>
  <c r="K23" i="19"/>
  <c r="K22" i="19"/>
  <c r="K21" i="19"/>
  <c r="K20" i="19"/>
  <c r="K19" i="19"/>
  <c r="K18" i="19"/>
  <c r="K17" i="19"/>
  <c r="K16" i="19"/>
  <c r="K15" i="19"/>
  <c r="K14" i="19"/>
  <c r="K13" i="19"/>
  <c r="K12" i="19"/>
  <c r="K11" i="19"/>
  <c r="K10" i="19"/>
  <c r="K9" i="19"/>
  <c r="K8" i="19"/>
  <c r="K7" i="19"/>
  <c r="K6" i="19"/>
  <c r="K5" i="19"/>
  <c r="K4"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E37" i="19"/>
  <c r="E36" i="19"/>
  <c r="E35" i="19"/>
  <c r="E34" i="19"/>
  <c r="E33" i="19"/>
  <c r="E32" i="19"/>
  <c r="E31" i="19"/>
  <c r="E22" i="19"/>
  <c r="E21" i="19"/>
  <c r="E19" i="19"/>
  <c r="E18" i="19"/>
  <c r="E17" i="19"/>
  <c r="E16" i="19"/>
  <c r="E13" i="19"/>
  <c r="E11" i="19"/>
  <c r="E10" i="19"/>
  <c r="R5" i="7"/>
  <c r="R6" i="7"/>
  <c r="R7" i="7"/>
  <c r="R8" i="7"/>
  <c r="R9" i="7"/>
  <c r="R10" i="7"/>
  <c r="R11" i="7"/>
  <c r="R12" i="7"/>
  <c r="R13" i="7"/>
  <c r="R14" i="7"/>
  <c r="R15" i="7"/>
  <c r="R16" i="7"/>
  <c r="R17" i="7"/>
  <c r="R18" i="7"/>
  <c r="R19" i="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N6" i="7"/>
  <c r="N19" i="7"/>
  <c r="N18" i="7"/>
  <c r="N17" i="7"/>
  <c r="N16" i="7"/>
  <c r="N15" i="7"/>
  <c r="N14" i="7"/>
  <c r="N13" i="7"/>
  <c r="N12" i="7"/>
  <c r="N11" i="7"/>
  <c r="N10" i="7"/>
  <c r="N9" i="7"/>
  <c r="N8" i="7"/>
  <c r="N7" i="7"/>
  <c r="N6"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Z17" i="3"/>
  <c r="Z16" i="3"/>
  <c r="Z15" i="3"/>
  <c r="Z14" i="3"/>
  <c r="Z13" i="3"/>
  <c r="Z12" i="3"/>
  <c r="Z11" i="3"/>
  <c r="Z10" i="3"/>
  <c r="Z9" i="3"/>
  <c r="Z8" i="3"/>
  <c r="Z7" i="3"/>
  <c r="K19" i="7"/>
  <c r="K18" i="7"/>
  <c r="K17" i="7"/>
  <c r="K16" i="7"/>
  <c r="K15" i="7"/>
  <c r="K14" i="7"/>
  <c r="K13" i="7"/>
  <c r="K12" i="7"/>
  <c r="K11" i="7"/>
  <c r="K10" i="7"/>
  <c r="K9" i="7"/>
  <c r="K8" i="7"/>
  <c r="K7" i="7"/>
  <c r="K6" i="7"/>
  <c r="J55" i="3"/>
  <c r="J54" i="3"/>
  <c r="J52" i="3"/>
  <c r="J51" i="3"/>
  <c r="J50" i="3"/>
  <c r="J49" i="3"/>
  <c r="J48" i="3"/>
  <c r="J47" i="3"/>
  <c r="J39" i="3"/>
  <c r="J38" i="3"/>
  <c r="U42" i="3"/>
  <c r="J42" i="3"/>
  <c r="J43" i="3"/>
  <c r="U41" i="3"/>
  <c r="J41" i="3"/>
  <c r="J27" i="3"/>
  <c r="J26" i="3"/>
  <c r="J20" i="3"/>
  <c r="J19" i="3"/>
  <c r="J17" i="3"/>
  <c r="J16" i="3"/>
  <c r="U14" i="3"/>
  <c r="J14" i="3"/>
  <c r="J13" i="3"/>
  <c r="U11" i="3"/>
  <c r="J11" i="3"/>
  <c r="J10" i="3"/>
  <c r="U8" i="3"/>
  <c r="J8" i="3"/>
  <c r="J7" i="3"/>
  <c r="J6" i="3"/>
  <c r="J15" i="3"/>
  <c r="J6" i="17"/>
  <c r="X41" i="11"/>
  <c r="W21" i="6"/>
  <c r="X36" i="11"/>
  <c r="W19" i="6"/>
  <c r="X30" i="11"/>
  <c r="W16" i="6"/>
  <c r="K5" i="7"/>
  <c r="X28" i="11"/>
  <c r="W15" i="6"/>
  <c r="Z15" i="6"/>
  <c r="AL15" i="6"/>
  <c r="Z16" i="6"/>
  <c r="AL16" i="6"/>
  <c r="Z17" i="6"/>
  <c r="AL17" i="6"/>
  <c r="Z18" i="6"/>
  <c r="AL18" i="6"/>
  <c r="Z19" i="6"/>
  <c r="AL19" i="6"/>
  <c r="Z20" i="6"/>
  <c r="AL20" i="6"/>
  <c r="Z21" i="6"/>
  <c r="AL21" i="6"/>
  <c r="E76" i="9"/>
  <c r="E22" i="9"/>
  <c r="Z5" i="3"/>
  <c r="Z6" i="3"/>
  <c r="D14" i="3"/>
  <c r="T14" i="3"/>
  <c r="Z4" i="3"/>
  <c r="J4" i="3"/>
  <c r="D42" i="3"/>
  <c r="T42" i="3"/>
  <c r="D41" i="3"/>
  <c r="T41" i="3"/>
  <c r="H501" i="19"/>
  <c r="I501" i="19"/>
  <c r="J501" i="19"/>
  <c r="K501" i="19"/>
  <c r="F501" i="19"/>
  <c r="G501" i="19"/>
  <c r="E501" i="19"/>
  <c r="D501" i="19"/>
  <c r="C501" i="19"/>
  <c r="K500" i="19"/>
  <c r="F500" i="19"/>
  <c r="G500" i="19"/>
  <c r="D500" i="19"/>
  <c r="C500" i="19"/>
  <c r="K499" i="19"/>
  <c r="F499" i="19"/>
  <c r="G499" i="19"/>
  <c r="D499" i="19"/>
  <c r="C499" i="19"/>
  <c r="K498" i="19"/>
  <c r="F498" i="19"/>
  <c r="G498" i="19"/>
  <c r="D498" i="19"/>
  <c r="C498" i="19"/>
  <c r="K497" i="19"/>
  <c r="F497" i="19"/>
  <c r="G497" i="19"/>
  <c r="D497" i="19"/>
  <c r="C497" i="19"/>
  <c r="K496" i="19"/>
  <c r="F496" i="19"/>
  <c r="G496" i="19"/>
  <c r="D496" i="19"/>
  <c r="C496" i="19"/>
  <c r="K495" i="19"/>
  <c r="F495" i="19"/>
  <c r="G495" i="19"/>
  <c r="D495" i="19"/>
  <c r="C495" i="19"/>
  <c r="K494" i="19"/>
  <c r="F494" i="19"/>
  <c r="G494" i="19"/>
  <c r="D494" i="19"/>
  <c r="C494" i="19"/>
  <c r="K493" i="19"/>
  <c r="F493" i="19"/>
  <c r="G493" i="19"/>
  <c r="D493" i="19"/>
  <c r="C493" i="19"/>
  <c r="K492" i="19"/>
  <c r="F492" i="19"/>
  <c r="G492" i="19"/>
  <c r="D492" i="19"/>
  <c r="C492" i="19"/>
  <c r="K491" i="19"/>
  <c r="F491" i="19"/>
  <c r="G491" i="19"/>
  <c r="D491" i="19"/>
  <c r="C491" i="19"/>
  <c r="K490" i="19"/>
  <c r="F490" i="19"/>
  <c r="G490" i="19"/>
  <c r="D490" i="19"/>
  <c r="C490" i="19"/>
  <c r="K489" i="19"/>
  <c r="F489" i="19"/>
  <c r="G489" i="19"/>
  <c r="D489" i="19"/>
  <c r="C489" i="19"/>
  <c r="K488" i="19"/>
  <c r="F488" i="19"/>
  <c r="G488" i="19"/>
  <c r="D488" i="19"/>
  <c r="C488" i="19"/>
  <c r="K487" i="19"/>
  <c r="F487" i="19"/>
  <c r="G487" i="19"/>
  <c r="D487" i="19"/>
  <c r="C487" i="19"/>
  <c r="K486" i="19"/>
  <c r="F486" i="19"/>
  <c r="G486" i="19"/>
  <c r="D486" i="19"/>
  <c r="C486" i="19"/>
  <c r="K485" i="19"/>
  <c r="F485" i="19"/>
  <c r="G485" i="19"/>
  <c r="D485" i="19"/>
  <c r="C485" i="19"/>
  <c r="K484" i="19"/>
  <c r="F484" i="19"/>
  <c r="G484" i="19"/>
  <c r="D484" i="19"/>
  <c r="C484" i="19"/>
  <c r="K483" i="19"/>
  <c r="F483" i="19"/>
  <c r="G483" i="19"/>
  <c r="D483" i="19"/>
  <c r="C483" i="19"/>
  <c r="K482" i="19"/>
  <c r="F482" i="19"/>
  <c r="G482" i="19"/>
  <c r="D482" i="19"/>
  <c r="C482" i="19"/>
  <c r="K481" i="19"/>
  <c r="F481" i="19"/>
  <c r="G481" i="19"/>
  <c r="D481" i="19"/>
  <c r="C481" i="19"/>
  <c r="K480" i="19"/>
  <c r="F480" i="19"/>
  <c r="G480" i="19"/>
  <c r="D480" i="19"/>
  <c r="C480" i="19"/>
  <c r="K479" i="19"/>
  <c r="F479" i="19"/>
  <c r="G479" i="19"/>
  <c r="D479" i="19"/>
  <c r="C479" i="19"/>
  <c r="K478" i="19"/>
  <c r="F478" i="19"/>
  <c r="G478" i="19"/>
  <c r="D478" i="19"/>
  <c r="C478" i="19"/>
  <c r="K477" i="19"/>
  <c r="F477" i="19"/>
  <c r="G477" i="19"/>
  <c r="D477" i="19"/>
  <c r="C477" i="19"/>
  <c r="K476" i="19"/>
  <c r="F476" i="19"/>
  <c r="G476" i="19"/>
  <c r="D476" i="19"/>
  <c r="C476" i="19"/>
  <c r="K475" i="19"/>
  <c r="F475" i="19"/>
  <c r="G475" i="19"/>
  <c r="D475" i="19"/>
  <c r="C475" i="19"/>
  <c r="K474" i="19"/>
  <c r="F474" i="19"/>
  <c r="G474" i="19"/>
  <c r="D474" i="19"/>
  <c r="C474" i="19"/>
  <c r="K473" i="19"/>
  <c r="F473" i="19"/>
  <c r="G473" i="19"/>
  <c r="D473" i="19"/>
  <c r="C473" i="19"/>
  <c r="K472" i="19"/>
  <c r="F472" i="19"/>
  <c r="G472" i="19"/>
  <c r="D472" i="19"/>
  <c r="C472" i="19"/>
  <c r="K471" i="19"/>
  <c r="F471" i="19"/>
  <c r="G471" i="19"/>
  <c r="D471" i="19"/>
  <c r="C471" i="19"/>
  <c r="K470" i="19"/>
  <c r="F470" i="19"/>
  <c r="G470" i="19"/>
  <c r="D470" i="19"/>
  <c r="C470" i="19"/>
  <c r="K469" i="19"/>
  <c r="F469" i="19"/>
  <c r="G469" i="19"/>
  <c r="D469" i="19"/>
  <c r="C469" i="19"/>
  <c r="K468" i="19"/>
  <c r="F468" i="19"/>
  <c r="G468" i="19"/>
  <c r="D468" i="19"/>
  <c r="C468" i="19"/>
  <c r="K467" i="19"/>
  <c r="F467" i="19"/>
  <c r="G467" i="19"/>
  <c r="D467" i="19"/>
  <c r="C467" i="19"/>
  <c r="K466" i="19"/>
  <c r="F466" i="19"/>
  <c r="G466" i="19"/>
  <c r="D466" i="19"/>
  <c r="C466" i="19"/>
  <c r="K465" i="19"/>
  <c r="F465" i="19"/>
  <c r="G465" i="19"/>
  <c r="D465" i="19"/>
  <c r="C465" i="19"/>
  <c r="K464" i="19"/>
  <c r="F464" i="19"/>
  <c r="G464" i="19"/>
  <c r="D464" i="19"/>
  <c r="C464" i="19"/>
  <c r="K463" i="19"/>
  <c r="F463" i="19"/>
  <c r="G463" i="19"/>
  <c r="D463" i="19"/>
  <c r="C463" i="19"/>
  <c r="K462" i="19"/>
  <c r="F462" i="19"/>
  <c r="G462" i="19"/>
  <c r="D462" i="19"/>
  <c r="C462" i="19"/>
  <c r="K461" i="19"/>
  <c r="F461" i="19"/>
  <c r="G461" i="19"/>
  <c r="D461" i="19"/>
  <c r="C461" i="19"/>
  <c r="K460" i="19"/>
  <c r="F460" i="19"/>
  <c r="G460" i="19"/>
  <c r="D460" i="19"/>
  <c r="C460" i="19"/>
  <c r="K459" i="19"/>
  <c r="F459" i="19"/>
  <c r="G459" i="19"/>
  <c r="D459" i="19"/>
  <c r="C459" i="19"/>
  <c r="K458" i="19"/>
  <c r="F458" i="19"/>
  <c r="G458" i="19"/>
  <c r="D458" i="19"/>
  <c r="C458" i="19"/>
  <c r="K457" i="19"/>
  <c r="F457" i="19"/>
  <c r="G457" i="19"/>
  <c r="D457" i="19"/>
  <c r="C457" i="19"/>
  <c r="K456" i="19"/>
  <c r="F456" i="19"/>
  <c r="G456" i="19"/>
  <c r="D456" i="19"/>
  <c r="C456" i="19"/>
  <c r="K455" i="19"/>
  <c r="F455" i="19"/>
  <c r="G455" i="19"/>
  <c r="D455" i="19"/>
  <c r="C455" i="19"/>
  <c r="K454" i="19"/>
  <c r="F454" i="19"/>
  <c r="G454" i="19"/>
  <c r="D454" i="19"/>
  <c r="C454" i="19"/>
  <c r="K453" i="19"/>
  <c r="F453" i="19"/>
  <c r="G453" i="19"/>
  <c r="D453" i="19"/>
  <c r="C453" i="19"/>
  <c r="K452" i="19"/>
  <c r="F452" i="19"/>
  <c r="G452" i="19"/>
  <c r="D452" i="19"/>
  <c r="C452" i="19"/>
  <c r="K451" i="19"/>
  <c r="F451" i="19"/>
  <c r="G451" i="19"/>
  <c r="D451" i="19"/>
  <c r="C451" i="19"/>
  <c r="K450" i="19"/>
  <c r="F450" i="19"/>
  <c r="G450" i="19"/>
  <c r="D450" i="19"/>
  <c r="C450" i="19"/>
  <c r="K449" i="19"/>
  <c r="F449" i="19"/>
  <c r="G449" i="19"/>
  <c r="D449" i="19"/>
  <c r="C449" i="19"/>
  <c r="K448" i="19"/>
  <c r="F448" i="19"/>
  <c r="G448" i="19"/>
  <c r="D448" i="19"/>
  <c r="C448" i="19"/>
  <c r="K447" i="19"/>
  <c r="F447" i="19"/>
  <c r="G447" i="19"/>
  <c r="D447" i="19"/>
  <c r="C447" i="19"/>
  <c r="K446" i="19"/>
  <c r="F446" i="19"/>
  <c r="G446" i="19"/>
  <c r="D446" i="19"/>
  <c r="C446" i="19"/>
  <c r="K445" i="19"/>
  <c r="F445" i="19"/>
  <c r="G445" i="19"/>
  <c r="D445" i="19"/>
  <c r="C445" i="19"/>
  <c r="K444" i="19"/>
  <c r="F444" i="19"/>
  <c r="G444" i="19"/>
  <c r="D444" i="19"/>
  <c r="C444" i="19"/>
  <c r="K443" i="19"/>
  <c r="F443" i="19"/>
  <c r="G443" i="19"/>
  <c r="D443" i="19"/>
  <c r="C443" i="19"/>
  <c r="K442" i="19"/>
  <c r="F442" i="19"/>
  <c r="G442" i="19"/>
  <c r="D442" i="19"/>
  <c r="C442" i="19"/>
  <c r="K441" i="19"/>
  <c r="F441" i="19"/>
  <c r="G441" i="19"/>
  <c r="D441" i="19"/>
  <c r="C441" i="19"/>
  <c r="K440" i="19"/>
  <c r="F440" i="19"/>
  <c r="G440" i="19"/>
  <c r="D440" i="19"/>
  <c r="C440" i="19"/>
  <c r="K439" i="19"/>
  <c r="F439" i="19"/>
  <c r="G439" i="19"/>
  <c r="D439" i="19"/>
  <c r="C439" i="19"/>
  <c r="K438" i="19"/>
  <c r="F438" i="19"/>
  <c r="G438" i="19"/>
  <c r="D438" i="19"/>
  <c r="C438" i="19"/>
  <c r="K437" i="19"/>
  <c r="F437" i="19"/>
  <c r="G437" i="19"/>
  <c r="D437" i="19"/>
  <c r="C437" i="19"/>
  <c r="K436" i="19"/>
  <c r="F436" i="19"/>
  <c r="G436" i="19"/>
  <c r="D436" i="19"/>
  <c r="C436" i="19"/>
  <c r="K435" i="19"/>
  <c r="F435" i="19"/>
  <c r="G435" i="19"/>
  <c r="D435" i="19"/>
  <c r="C435" i="19"/>
  <c r="K434" i="19"/>
  <c r="F434" i="19"/>
  <c r="G434" i="19"/>
  <c r="D434" i="19"/>
  <c r="C434" i="19"/>
  <c r="K433" i="19"/>
  <c r="F433" i="19"/>
  <c r="G433" i="19"/>
  <c r="D433" i="19"/>
  <c r="C433" i="19"/>
  <c r="K432" i="19"/>
  <c r="F432" i="19"/>
  <c r="G432" i="19"/>
  <c r="D432" i="19"/>
  <c r="C432" i="19"/>
  <c r="K431" i="19"/>
  <c r="F431" i="19"/>
  <c r="G431" i="19"/>
  <c r="D431" i="19"/>
  <c r="C431" i="19"/>
  <c r="K430" i="19"/>
  <c r="F430" i="19"/>
  <c r="G430" i="19"/>
  <c r="D430" i="19"/>
  <c r="C430" i="19"/>
  <c r="K429" i="19"/>
  <c r="F429" i="19"/>
  <c r="G429" i="19"/>
  <c r="D429" i="19"/>
  <c r="C429" i="19"/>
  <c r="K428" i="19"/>
  <c r="F428" i="19"/>
  <c r="G428" i="19"/>
  <c r="D428" i="19"/>
  <c r="C428" i="19"/>
  <c r="K427" i="19"/>
  <c r="F427" i="19"/>
  <c r="G427" i="19"/>
  <c r="D427" i="19"/>
  <c r="C427" i="19"/>
  <c r="K426" i="19"/>
  <c r="F426" i="19"/>
  <c r="G426" i="19"/>
  <c r="D426" i="19"/>
  <c r="C426" i="19"/>
  <c r="K425" i="19"/>
  <c r="F425" i="19"/>
  <c r="G425" i="19"/>
  <c r="D425" i="19"/>
  <c r="C425" i="19"/>
  <c r="K424" i="19"/>
  <c r="F424" i="19"/>
  <c r="G424" i="19"/>
  <c r="D424" i="19"/>
  <c r="C424" i="19"/>
  <c r="K423" i="19"/>
  <c r="F423" i="19"/>
  <c r="G423" i="19"/>
  <c r="D423" i="19"/>
  <c r="C423" i="19"/>
  <c r="K422" i="19"/>
  <c r="F422" i="19"/>
  <c r="G422" i="19"/>
  <c r="D422" i="19"/>
  <c r="C422" i="19"/>
  <c r="K421" i="19"/>
  <c r="F421" i="19"/>
  <c r="G421" i="19"/>
  <c r="D421" i="19"/>
  <c r="C421" i="19"/>
  <c r="K420" i="19"/>
  <c r="F420" i="19"/>
  <c r="G420" i="19"/>
  <c r="D420" i="19"/>
  <c r="C420" i="19"/>
  <c r="K419" i="19"/>
  <c r="F419" i="19"/>
  <c r="G419" i="19"/>
  <c r="D419" i="19"/>
  <c r="C419" i="19"/>
  <c r="K418" i="19"/>
  <c r="F418" i="19"/>
  <c r="G418" i="19"/>
  <c r="D418" i="19"/>
  <c r="C418" i="19"/>
  <c r="K417" i="19"/>
  <c r="F417" i="19"/>
  <c r="G417" i="19"/>
  <c r="D417" i="19"/>
  <c r="C417" i="19"/>
  <c r="K416" i="19"/>
  <c r="F416" i="19"/>
  <c r="G416" i="19"/>
  <c r="D416" i="19"/>
  <c r="C416" i="19"/>
  <c r="K415" i="19"/>
  <c r="F415" i="19"/>
  <c r="G415" i="19"/>
  <c r="D415" i="19"/>
  <c r="C415" i="19"/>
  <c r="K414" i="19"/>
  <c r="F414" i="19"/>
  <c r="G414" i="19"/>
  <c r="D414" i="19"/>
  <c r="C414" i="19"/>
  <c r="K413" i="19"/>
  <c r="F413" i="19"/>
  <c r="G413" i="19"/>
  <c r="D413" i="19"/>
  <c r="C413" i="19"/>
  <c r="K412" i="19"/>
  <c r="F412" i="19"/>
  <c r="G412" i="19"/>
  <c r="D412" i="19"/>
  <c r="C412" i="19"/>
  <c r="K411" i="19"/>
  <c r="F411" i="19"/>
  <c r="G411" i="19"/>
  <c r="D411" i="19"/>
  <c r="C411" i="19"/>
  <c r="K410" i="19"/>
  <c r="F410" i="19"/>
  <c r="G410" i="19"/>
  <c r="D410" i="19"/>
  <c r="C410" i="19"/>
  <c r="K409" i="19"/>
  <c r="F409" i="19"/>
  <c r="G409" i="19"/>
  <c r="D409" i="19"/>
  <c r="C409" i="19"/>
  <c r="K408" i="19"/>
  <c r="F408" i="19"/>
  <c r="G408" i="19"/>
  <c r="D408" i="19"/>
  <c r="C408" i="19"/>
  <c r="K407" i="19"/>
  <c r="F407" i="19"/>
  <c r="G407" i="19"/>
  <c r="D407" i="19"/>
  <c r="C407" i="19"/>
  <c r="K406" i="19"/>
  <c r="F406" i="19"/>
  <c r="G406" i="19"/>
  <c r="D406" i="19"/>
  <c r="C406" i="19"/>
  <c r="K405" i="19"/>
  <c r="F405" i="19"/>
  <c r="G405" i="19"/>
  <c r="D405" i="19"/>
  <c r="C405" i="19"/>
  <c r="K404" i="19"/>
  <c r="F404" i="19"/>
  <c r="G404" i="19"/>
  <c r="D404" i="19"/>
  <c r="C404" i="19"/>
  <c r="K403" i="19"/>
  <c r="F403" i="19"/>
  <c r="G403" i="19"/>
  <c r="D403" i="19"/>
  <c r="C403" i="19"/>
  <c r="K402" i="19"/>
  <c r="F402" i="19"/>
  <c r="G402" i="19"/>
  <c r="D402" i="19"/>
  <c r="C402" i="19"/>
  <c r="K401" i="19"/>
  <c r="F401" i="19"/>
  <c r="G401" i="19"/>
  <c r="D401" i="19"/>
  <c r="C401" i="19"/>
  <c r="K400" i="19"/>
  <c r="F400" i="19"/>
  <c r="G400" i="19"/>
  <c r="D400" i="19"/>
  <c r="C400" i="19"/>
  <c r="K399" i="19"/>
  <c r="F399" i="19"/>
  <c r="G399" i="19"/>
  <c r="D399" i="19"/>
  <c r="C399" i="19"/>
  <c r="K398" i="19"/>
  <c r="F398" i="19"/>
  <c r="G398" i="19"/>
  <c r="D398" i="19"/>
  <c r="C398" i="19"/>
  <c r="K397" i="19"/>
  <c r="F397" i="19"/>
  <c r="G397" i="19"/>
  <c r="D397" i="19"/>
  <c r="C397" i="19"/>
  <c r="K396" i="19"/>
  <c r="F396" i="19"/>
  <c r="G396" i="19"/>
  <c r="D396" i="19"/>
  <c r="C396" i="19"/>
  <c r="K395" i="19"/>
  <c r="F395" i="19"/>
  <c r="G395" i="19"/>
  <c r="D395" i="19"/>
  <c r="C395" i="19"/>
  <c r="K394" i="19"/>
  <c r="F394" i="19"/>
  <c r="G394" i="19"/>
  <c r="D394" i="19"/>
  <c r="C394" i="19"/>
  <c r="K393" i="19"/>
  <c r="F393" i="19"/>
  <c r="G393" i="19"/>
  <c r="D393" i="19"/>
  <c r="C393" i="19"/>
  <c r="K392" i="19"/>
  <c r="F392" i="19"/>
  <c r="G392" i="19"/>
  <c r="D392" i="19"/>
  <c r="C392" i="19"/>
  <c r="K391" i="19"/>
  <c r="F391" i="19"/>
  <c r="G391" i="19"/>
  <c r="D391" i="19"/>
  <c r="C391" i="19"/>
  <c r="K390" i="19"/>
  <c r="F390" i="19"/>
  <c r="G390" i="19"/>
  <c r="D390" i="19"/>
  <c r="C390" i="19"/>
  <c r="K389" i="19"/>
  <c r="F389" i="19"/>
  <c r="G389" i="19"/>
  <c r="D389" i="19"/>
  <c r="C389" i="19"/>
  <c r="K388" i="19"/>
  <c r="F388" i="19"/>
  <c r="G388" i="19"/>
  <c r="D388" i="19"/>
  <c r="C388" i="19"/>
  <c r="K387" i="19"/>
  <c r="F387" i="19"/>
  <c r="G387" i="19"/>
  <c r="D387" i="19"/>
  <c r="C387" i="19"/>
  <c r="K386" i="19"/>
  <c r="F386" i="19"/>
  <c r="G386" i="19"/>
  <c r="D386" i="19"/>
  <c r="C386" i="19"/>
  <c r="K385" i="19"/>
  <c r="F385" i="19"/>
  <c r="G385" i="19"/>
  <c r="D385" i="19"/>
  <c r="C385" i="19"/>
  <c r="K384" i="19"/>
  <c r="F384" i="19"/>
  <c r="G384" i="19"/>
  <c r="D384" i="19"/>
  <c r="C384" i="19"/>
  <c r="K383" i="19"/>
  <c r="F383" i="19"/>
  <c r="G383" i="19"/>
  <c r="D383" i="19"/>
  <c r="C383" i="19"/>
  <c r="K382" i="19"/>
  <c r="F382" i="19"/>
  <c r="G382" i="19"/>
  <c r="D382" i="19"/>
  <c r="C382" i="19"/>
  <c r="K381" i="19"/>
  <c r="F381" i="19"/>
  <c r="G381" i="19"/>
  <c r="D381" i="19"/>
  <c r="C381" i="19"/>
  <c r="K380" i="19"/>
  <c r="F380" i="19"/>
  <c r="G380" i="19"/>
  <c r="D380" i="19"/>
  <c r="C380" i="19"/>
  <c r="K379" i="19"/>
  <c r="F379" i="19"/>
  <c r="G379" i="19"/>
  <c r="D379" i="19"/>
  <c r="C379" i="19"/>
  <c r="K378" i="19"/>
  <c r="F378" i="19"/>
  <c r="G378" i="19"/>
  <c r="D378" i="19"/>
  <c r="C378" i="19"/>
  <c r="K377" i="19"/>
  <c r="F377" i="19"/>
  <c r="G377" i="19"/>
  <c r="D377" i="19"/>
  <c r="C377" i="19"/>
  <c r="K376" i="19"/>
  <c r="F376" i="19"/>
  <c r="G376" i="19"/>
  <c r="D376" i="19"/>
  <c r="C376" i="19"/>
  <c r="K375" i="19"/>
  <c r="F375" i="19"/>
  <c r="G375" i="19"/>
  <c r="D375" i="19"/>
  <c r="C375" i="19"/>
  <c r="K374" i="19"/>
  <c r="F374" i="19"/>
  <c r="G374" i="19"/>
  <c r="D374" i="19"/>
  <c r="C374" i="19"/>
  <c r="K373" i="19"/>
  <c r="F373" i="19"/>
  <c r="G373" i="19"/>
  <c r="D373" i="19"/>
  <c r="C373" i="19"/>
  <c r="K372" i="19"/>
  <c r="F372" i="19"/>
  <c r="G372" i="19"/>
  <c r="D372" i="19"/>
  <c r="C372" i="19"/>
  <c r="K371" i="19"/>
  <c r="F371" i="19"/>
  <c r="G371" i="19"/>
  <c r="D371" i="19"/>
  <c r="C371" i="19"/>
  <c r="K370" i="19"/>
  <c r="F370" i="19"/>
  <c r="G370" i="19"/>
  <c r="D370" i="19"/>
  <c r="C370" i="19"/>
  <c r="K369" i="19"/>
  <c r="F369" i="19"/>
  <c r="G369" i="19"/>
  <c r="D369" i="19"/>
  <c r="C369" i="19"/>
  <c r="K368" i="19"/>
  <c r="F368" i="19"/>
  <c r="G368" i="19"/>
  <c r="D368" i="19"/>
  <c r="C368" i="19"/>
  <c r="K367" i="19"/>
  <c r="F367" i="19"/>
  <c r="G367" i="19"/>
  <c r="D367" i="19"/>
  <c r="C367" i="19"/>
  <c r="K366" i="19"/>
  <c r="F366" i="19"/>
  <c r="G366" i="19"/>
  <c r="D366" i="19"/>
  <c r="C366" i="19"/>
  <c r="K365" i="19"/>
  <c r="F365" i="19"/>
  <c r="G365" i="19"/>
  <c r="D365" i="19"/>
  <c r="C365" i="19"/>
  <c r="K364" i="19"/>
  <c r="F364" i="19"/>
  <c r="G364" i="19"/>
  <c r="D364" i="19"/>
  <c r="C364" i="19"/>
  <c r="K363" i="19"/>
  <c r="F363" i="19"/>
  <c r="G363" i="19"/>
  <c r="D363" i="19"/>
  <c r="C363" i="19"/>
  <c r="K362" i="19"/>
  <c r="F362" i="19"/>
  <c r="G362" i="19"/>
  <c r="D362" i="19"/>
  <c r="C362" i="19"/>
  <c r="K361" i="19"/>
  <c r="F361" i="19"/>
  <c r="G361" i="19"/>
  <c r="D361" i="19"/>
  <c r="C361" i="19"/>
  <c r="K360" i="19"/>
  <c r="F360" i="19"/>
  <c r="G360" i="19"/>
  <c r="D360" i="19"/>
  <c r="C360" i="19"/>
  <c r="K359" i="19"/>
  <c r="F359" i="19"/>
  <c r="G359" i="19"/>
  <c r="D359" i="19"/>
  <c r="C359" i="19"/>
  <c r="K358" i="19"/>
  <c r="F358" i="19"/>
  <c r="G358" i="19"/>
  <c r="D358" i="19"/>
  <c r="C358" i="19"/>
  <c r="K357" i="19"/>
  <c r="F357" i="19"/>
  <c r="G357" i="19"/>
  <c r="D357" i="19"/>
  <c r="C357" i="19"/>
  <c r="K356" i="19"/>
  <c r="F356" i="19"/>
  <c r="G356" i="19"/>
  <c r="D356" i="19"/>
  <c r="C356" i="19"/>
  <c r="K355" i="19"/>
  <c r="F355" i="19"/>
  <c r="G355" i="19"/>
  <c r="D355" i="19"/>
  <c r="C355" i="19"/>
  <c r="K354" i="19"/>
  <c r="F354" i="19"/>
  <c r="G354" i="19"/>
  <c r="D354" i="19"/>
  <c r="C354" i="19"/>
  <c r="K353" i="19"/>
  <c r="F353" i="19"/>
  <c r="G353" i="19"/>
  <c r="D353" i="19"/>
  <c r="C353" i="19"/>
  <c r="K352" i="19"/>
  <c r="F352" i="19"/>
  <c r="G352" i="19"/>
  <c r="D352" i="19"/>
  <c r="C352" i="19"/>
  <c r="K351" i="19"/>
  <c r="F351" i="19"/>
  <c r="G351" i="19"/>
  <c r="D351" i="19"/>
  <c r="C351" i="19"/>
  <c r="K350" i="19"/>
  <c r="F350" i="19"/>
  <c r="G350" i="19"/>
  <c r="D350" i="19"/>
  <c r="C350" i="19"/>
  <c r="K349" i="19"/>
  <c r="F349" i="19"/>
  <c r="G349" i="19"/>
  <c r="D349" i="19"/>
  <c r="C349" i="19"/>
  <c r="K348" i="19"/>
  <c r="F348" i="19"/>
  <c r="G348" i="19"/>
  <c r="D348" i="19"/>
  <c r="C348" i="19"/>
  <c r="K347" i="19"/>
  <c r="F347" i="19"/>
  <c r="G347" i="19"/>
  <c r="D347" i="19"/>
  <c r="C347" i="19"/>
  <c r="K346" i="19"/>
  <c r="F346" i="19"/>
  <c r="G346" i="19"/>
  <c r="D346" i="19"/>
  <c r="C346" i="19"/>
  <c r="K345" i="19"/>
  <c r="F345" i="19"/>
  <c r="G345" i="19"/>
  <c r="D345" i="19"/>
  <c r="C345" i="19"/>
  <c r="K344" i="19"/>
  <c r="F344" i="19"/>
  <c r="G344" i="19"/>
  <c r="D344" i="19"/>
  <c r="C344" i="19"/>
  <c r="K343" i="19"/>
  <c r="F343" i="19"/>
  <c r="G343" i="19"/>
  <c r="D343" i="19"/>
  <c r="C343" i="19"/>
  <c r="K342" i="19"/>
  <c r="F342" i="19"/>
  <c r="G342" i="19"/>
  <c r="D342" i="19"/>
  <c r="C342" i="19"/>
  <c r="K341" i="19"/>
  <c r="F341" i="19"/>
  <c r="G341" i="19"/>
  <c r="D341" i="19"/>
  <c r="C341" i="19"/>
  <c r="K340" i="19"/>
  <c r="F340" i="19"/>
  <c r="G340" i="19"/>
  <c r="D340" i="19"/>
  <c r="C340" i="19"/>
  <c r="K339" i="19"/>
  <c r="F339" i="19"/>
  <c r="G339" i="19"/>
  <c r="D339" i="19"/>
  <c r="C339" i="19"/>
  <c r="K338" i="19"/>
  <c r="F338" i="19"/>
  <c r="G338" i="19"/>
  <c r="D338" i="19"/>
  <c r="C338" i="19"/>
  <c r="K337" i="19"/>
  <c r="F337" i="19"/>
  <c r="G337" i="19"/>
  <c r="D337" i="19"/>
  <c r="C337" i="19"/>
  <c r="K336" i="19"/>
  <c r="F336" i="19"/>
  <c r="G336" i="19"/>
  <c r="D336" i="19"/>
  <c r="C336" i="19"/>
  <c r="K335" i="19"/>
  <c r="F335" i="19"/>
  <c r="G335" i="19"/>
  <c r="D335" i="19"/>
  <c r="C335" i="19"/>
  <c r="K334" i="19"/>
  <c r="F334" i="19"/>
  <c r="G334" i="19"/>
  <c r="D334" i="19"/>
  <c r="C334" i="19"/>
  <c r="K333" i="19"/>
  <c r="F333" i="19"/>
  <c r="G333" i="19"/>
  <c r="D333" i="19"/>
  <c r="C333" i="19"/>
  <c r="K332" i="19"/>
  <c r="F332" i="19"/>
  <c r="G332" i="19"/>
  <c r="D332" i="19"/>
  <c r="C332" i="19"/>
  <c r="K331" i="19"/>
  <c r="F331" i="19"/>
  <c r="G331" i="19"/>
  <c r="D331" i="19"/>
  <c r="C331" i="19"/>
  <c r="K330" i="19"/>
  <c r="F330" i="19"/>
  <c r="G330" i="19"/>
  <c r="D330" i="19"/>
  <c r="C330" i="19"/>
  <c r="K329" i="19"/>
  <c r="F329" i="19"/>
  <c r="G329" i="19"/>
  <c r="D329" i="19"/>
  <c r="C329" i="19"/>
  <c r="K328" i="19"/>
  <c r="F328" i="19"/>
  <c r="G328" i="19"/>
  <c r="D328" i="19"/>
  <c r="C328" i="19"/>
  <c r="K327" i="19"/>
  <c r="F327" i="19"/>
  <c r="G327" i="19"/>
  <c r="D327" i="19"/>
  <c r="C327" i="19"/>
  <c r="K326" i="19"/>
  <c r="F326" i="19"/>
  <c r="G326" i="19"/>
  <c r="D326" i="19"/>
  <c r="C326" i="19"/>
  <c r="K325" i="19"/>
  <c r="F325" i="19"/>
  <c r="G325" i="19"/>
  <c r="D325" i="19"/>
  <c r="C325" i="19"/>
  <c r="K324" i="19"/>
  <c r="F324" i="19"/>
  <c r="G324" i="19"/>
  <c r="D324" i="19"/>
  <c r="C324" i="19"/>
  <c r="K323" i="19"/>
  <c r="F323" i="19"/>
  <c r="G323" i="19"/>
  <c r="D323" i="19"/>
  <c r="C323" i="19"/>
  <c r="K322" i="19"/>
  <c r="F322" i="19"/>
  <c r="G322" i="19"/>
  <c r="D322" i="19"/>
  <c r="C322" i="19"/>
  <c r="K321" i="19"/>
  <c r="F321" i="19"/>
  <c r="G321" i="19"/>
  <c r="D321" i="19"/>
  <c r="C321" i="19"/>
  <c r="K320" i="19"/>
  <c r="F320" i="19"/>
  <c r="G320" i="19"/>
  <c r="D320" i="19"/>
  <c r="C320" i="19"/>
  <c r="K319" i="19"/>
  <c r="F319" i="19"/>
  <c r="G319" i="19"/>
  <c r="D319" i="19"/>
  <c r="C319" i="19"/>
  <c r="K318" i="19"/>
  <c r="F318" i="19"/>
  <c r="G318" i="19"/>
  <c r="D318" i="19"/>
  <c r="C318" i="19"/>
  <c r="K317" i="19"/>
  <c r="F317" i="19"/>
  <c r="G317" i="19"/>
  <c r="D317" i="19"/>
  <c r="C317" i="19"/>
  <c r="K316" i="19"/>
  <c r="F316" i="19"/>
  <c r="G316" i="19"/>
  <c r="D316" i="19"/>
  <c r="C316" i="19"/>
  <c r="K315" i="19"/>
  <c r="F315" i="19"/>
  <c r="G315" i="19"/>
  <c r="D315" i="19"/>
  <c r="C315" i="19"/>
  <c r="K314" i="19"/>
  <c r="F314" i="19"/>
  <c r="G314" i="19"/>
  <c r="D314" i="19"/>
  <c r="C314" i="19"/>
  <c r="K313" i="19"/>
  <c r="F313" i="19"/>
  <c r="G313" i="19"/>
  <c r="D313" i="19"/>
  <c r="C313" i="19"/>
  <c r="K312" i="19"/>
  <c r="F312" i="19"/>
  <c r="G312" i="19"/>
  <c r="D312" i="19"/>
  <c r="C312" i="19"/>
  <c r="K311" i="19"/>
  <c r="F311" i="19"/>
  <c r="G311" i="19"/>
  <c r="D311" i="19"/>
  <c r="C311" i="19"/>
  <c r="K310" i="19"/>
  <c r="F310" i="19"/>
  <c r="G310" i="19"/>
  <c r="D310" i="19"/>
  <c r="C310" i="19"/>
  <c r="K309" i="19"/>
  <c r="F309" i="19"/>
  <c r="G309" i="19"/>
  <c r="D309" i="19"/>
  <c r="C309" i="19"/>
  <c r="K308" i="19"/>
  <c r="F308" i="19"/>
  <c r="G308" i="19"/>
  <c r="D308" i="19"/>
  <c r="C308" i="19"/>
  <c r="K307" i="19"/>
  <c r="F307" i="19"/>
  <c r="G307" i="19"/>
  <c r="D307" i="19"/>
  <c r="C307" i="19"/>
  <c r="K306" i="19"/>
  <c r="F306" i="19"/>
  <c r="G306" i="19"/>
  <c r="D306" i="19"/>
  <c r="C306" i="19"/>
  <c r="K305" i="19"/>
  <c r="F305" i="19"/>
  <c r="G305" i="19"/>
  <c r="D305" i="19"/>
  <c r="C305" i="19"/>
  <c r="K304" i="19"/>
  <c r="F304" i="19"/>
  <c r="G304" i="19"/>
  <c r="D304" i="19"/>
  <c r="C304" i="19"/>
  <c r="K303" i="19"/>
  <c r="F303" i="19"/>
  <c r="G303" i="19"/>
  <c r="D303" i="19"/>
  <c r="C303" i="19"/>
  <c r="K302" i="19"/>
  <c r="F302" i="19"/>
  <c r="G302" i="19"/>
  <c r="D302" i="19"/>
  <c r="C302" i="19"/>
  <c r="K301" i="19"/>
  <c r="F301" i="19"/>
  <c r="G301" i="19"/>
  <c r="D301" i="19"/>
  <c r="C301" i="19"/>
  <c r="E206" i="19"/>
  <c r="E67" i="9"/>
  <c r="E58" i="9"/>
  <c r="E49" i="9"/>
  <c r="E40" i="9"/>
  <c r="E31" i="9"/>
  <c r="D46" i="3"/>
  <c r="T46" i="3"/>
  <c r="D8" i="3"/>
  <c r="T8" i="3"/>
  <c r="E12" i="19"/>
  <c r="E9" i="19"/>
  <c r="E8" i="19"/>
  <c r="E7" i="19"/>
  <c r="E6" i="19"/>
  <c r="E5" i="19"/>
  <c r="E4" i="19"/>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E103" i="19"/>
  <c r="E102" i="19"/>
  <c r="E101" i="19"/>
  <c r="E100" i="19"/>
  <c r="E99" i="19"/>
  <c r="U45" i="3"/>
  <c r="J45" i="3"/>
  <c r="J44" i="3"/>
  <c r="J40" i="3"/>
  <c r="J32" i="3"/>
  <c r="J31" i="3"/>
  <c r="J30" i="3"/>
  <c r="J29" i="3"/>
  <c r="J28" i="3"/>
  <c r="J25" i="3"/>
  <c r="J24" i="3"/>
  <c r="J23" i="3"/>
  <c r="Z45" i="3"/>
  <c r="Y34" i="3"/>
  <c r="Y35" i="3"/>
  <c r="Y36" i="3"/>
  <c r="Y37" i="3"/>
  <c r="Y38" i="3"/>
  <c r="Y39" i="3"/>
  <c r="Y40" i="3"/>
  <c r="Y41" i="3"/>
  <c r="Y42" i="3"/>
  <c r="Y43" i="3"/>
  <c r="Y44" i="3"/>
  <c r="Y45" i="3"/>
  <c r="X34" i="3"/>
  <c r="X35" i="3"/>
  <c r="X36" i="3"/>
  <c r="X37" i="3"/>
  <c r="X38" i="3"/>
  <c r="X39" i="3"/>
  <c r="X40" i="3"/>
  <c r="X41" i="3"/>
  <c r="X42" i="3"/>
  <c r="X43" i="3"/>
  <c r="X44" i="3"/>
  <c r="X45" i="3"/>
  <c r="Z44" i="3"/>
  <c r="Z40" i="3"/>
  <c r="Z32" i="3"/>
  <c r="Z31" i="3"/>
  <c r="Z30" i="3"/>
  <c r="Z29" i="3"/>
  <c r="Z28" i="3"/>
  <c r="Z25" i="3"/>
  <c r="Z24" i="3"/>
  <c r="Z23" i="3"/>
  <c r="D45" i="3"/>
  <c r="T45" i="3"/>
  <c r="Z42" i="11"/>
  <c r="Z40" i="11"/>
  <c r="Z39" i="11"/>
  <c r="Z38" i="11"/>
  <c r="Z37" i="11"/>
  <c r="Z36" i="11"/>
  <c r="Z35" i="11"/>
  <c r="Z34" i="11"/>
  <c r="Z33" i="11"/>
  <c r="Z32" i="11"/>
  <c r="Z31" i="11"/>
  <c r="Z30" i="11"/>
  <c r="Z29" i="11"/>
  <c r="Z27" i="11"/>
  <c r="Z26" i="11"/>
  <c r="Z25" i="11"/>
  <c r="Z24" i="11"/>
  <c r="Z23" i="11"/>
  <c r="Z22" i="11"/>
  <c r="Z21" i="11"/>
  <c r="Z20" i="11"/>
  <c r="Z19" i="11"/>
  <c r="Z18" i="11"/>
  <c r="Z17" i="11"/>
  <c r="Z16" i="11"/>
  <c r="Z15" i="11"/>
  <c r="Z14" i="11"/>
  <c r="Z13" i="11"/>
  <c r="Z12" i="11"/>
  <c r="Z10" i="11"/>
  <c r="Z9" i="11"/>
  <c r="Z8" i="11"/>
  <c r="Z7" i="11"/>
  <c r="Z6" i="11"/>
</calcChain>
</file>

<file path=xl/comments1.xml><?xml version="1.0" encoding="utf-8"?>
<comments xmlns="http://schemas.openxmlformats.org/spreadsheetml/2006/main">
  <authors>
    <author>Felix Hartung</author>
  </authors>
  <commentList>
    <comment ref="B3" authorId="0">
      <text>
        <r>
          <rPr>
            <b/>
            <sz val="9"/>
            <color indexed="81"/>
            <rFont val="Calibri"/>
            <family val="2"/>
          </rPr>
          <t>Felix Hartung:</t>
        </r>
        <r>
          <rPr>
            <sz val="9"/>
            <color indexed="81"/>
            <rFont val="Calibri"/>
            <family val="2"/>
          </rPr>
          <t xml:space="preserve">
=requredXP this Level - requredXP nextLevel</t>
        </r>
      </text>
    </comment>
    <comment ref="C3" authorId="0">
      <text>
        <r>
          <rPr>
            <b/>
            <sz val="9"/>
            <color indexed="81"/>
            <rFont val="Calibri"/>
            <family val="2"/>
          </rPr>
          <t>Felix Hartung:</t>
        </r>
        <r>
          <rPr>
            <sz val="9"/>
            <color indexed="81"/>
            <rFont val="Calibri"/>
            <family val="2"/>
          </rPr>
          <t xml:space="preserve">
=Plots * Plants_ØXP/h * 24
+ Decoration
+ Goals
+ Robert
+ ?</t>
        </r>
      </text>
    </comment>
    <comment ref="D3" authorId="0">
      <text>
        <r>
          <rPr>
            <b/>
            <sz val="9"/>
            <color indexed="81"/>
            <rFont val="Calibri"/>
            <family val="2"/>
          </rPr>
          <t>Felix Hartung:</t>
        </r>
        <r>
          <rPr>
            <sz val="9"/>
            <color indexed="81"/>
            <rFont val="Calibri"/>
            <family val="2"/>
          </rPr>
          <t xml:space="preserve">
= "XP 4 Lvlup" / "XP/Day"</t>
        </r>
      </text>
    </comment>
    <comment ref="E3" authorId="0">
      <text>
        <r>
          <rPr>
            <b/>
            <sz val="9"/>
            <color indexed="81"/>
            <rFont val="Calibri"/>
            <family val="2"/>
          </rPr>
          <t>Felix Hartung:</t>
        </r>
        <r>
          <rPr>
            <sz val="9"/>
            <color indexed="81"/>
            <rFont val="Calibri"/>
            <family val="2"/>
          </rPr>
          <t xml:space="preserve">
Total time the player Played MWM in days.</t>
        </r>
      </text>
    </comment>
    <comment ref="F3" authorId="0">
      <text>
        <r>
          <rPr>
            <b/>
            <sz val="9"/>
            <color indexed="81"/>
            <rFont val="Calibri"/>
            <family val="2"/>
          </rPr>
          <t>Felix Hartung:</t>
        </r>
        <r>
          <rPr>
            <sz val="9"/>
            <color indexed="81"/>
            <rFont val="Calibri"/>
            <family val="2"/>
          </rPr>
          <t xml:space="preserve">
=Plots * Plants_Øcoins/h * 24h *Robert-Deal
+ Goals/Time_at_Level
+ Lvlup-Coin-Reward/Time_at_Level
+ ?</t>
        </r>
      </text>
    </comment>
    <comment ref="G3" authorId="0">
      <text>
        <r>
          <rPr>
            <b/>
            <sz val="9"/>
            <color indexed="81"/>
            <rFont val="Calibri"/>
            <family val="2"/>
          </rPr>
          <t>Felix Hartung:</t>
        </r>
        <r>
          <rPr>
            <sz val="9"/>
            <color indexed="81"/>
            <rFont val="Calibri"/>
            <family val="2"/>
          </rPr>
          <t xml:space="preserve">
=Plots * Plants_Max.XP/h * 24
+ Decoration
+ Goals
+ Robert
+ ?</t>
        </r>
      </text>
    </comment>
    <comment ref="H3" authorId="0">
      <text>
        <r>
          <rPr>
            <b/>
            <sz val="9"/>
            <color indexed="81"/>
            <rFont val="Calibri"/>
            <family val="2"/>
          </rPr>
          <t>Felix Hartung:</t>
        </r>
        <r>
          <rPr>
            <sz val="9"/>
            <color indexed="81"/>
            <rFont val="Calibri"/>
            <family val="2"/>
          </rPr>
          <t xml:space="preserve">
= "XP 4 Lvlup" / "max.XP/Day"</t>
        </r>
      </text>
    </comment>
    <comment ref="I3" authorId="0">
      <text>
        <r>
          <rPr>
            <b/>
            <sz val="9"/>
            <color indexed="81"/>
            <rFont val="Calibri"/>
            <family val="2"/>
          </rPr>
          <t>Felix Hartung:</t>
        </r>
        <r>
          <rPr>
            <sz val="9"/>
            <color indexed="81"/>
            <rFont val="Calibri"/>
            <family val="2"/>
          </rPr>
          <t xml:space="preserve">
Total time the player Played MWM in days.</t>
        </r>
      </text>
    </comment>
    <comment ref="J3" authorId="0">
      <text>
        <r>
          <rPr>
            <b/>
            <sz val="9"/>
            <color indexed="81"/>
            <rFont val="Calibri"/>
            <family val="2"/>
          </rPr>
          <t>Felix Hartung:</t>
        </r>
        <r>
          <rPr>
            <sz val="9"/>
            <color indexed="81"/>
            <rFont val="Calibri"/>
            <family val="2"/>
          </rPr>
          <t xml:space="preserve">
=Plots * Plants_Max.coins/h * 24
+ No Goals
+ No Robert
+ ?</t>
        </r>
      </text>
    </comment>
    <comment ref="U3" authorId="0">
      <text>
        <r>
          <rPr>
            <b/>
            <sz val="9"/>
            <color indexed="81"/>
            <rFont val="Calibri"/>
            <family val="2"/>
          </rPr>
          <t>Total income until the end of the level.</t>
        </r>
      </text>
    </comment>
    <comment ref="V3" authorId="0">
      <text>
        <r>
          <rPr>
            <sz val="9"/>
            <color indexed="81"/>
            <rFont val="Calibri"/>
            <family val="2"/>
          </rPr>
          <t>Total outging if the player buys the extension just at the level where it is accessible.</t>
        </r>
      </text>
    </comment>
    <comment ref="W3" authorId="0">
      <text>
        <r>
          <rPr>
            <b/>
            <sz val="9"/>
            <color indexed="81"/>
            <rFont val="Calibri"/>
            <family val="2"/>
          </rPr>
          <t>Total outging if the player buys the plots just at the level where it is accessible.</t>
        </r>
      </text>
    </comment>
    <comment ref="X3" authorId="0">
      <text>
        <r>
          <rPr>
            <b/>
            <sz val="9"/>
            <color indexed="81"/>
            <rFont val="Calibri"/>
            <family val="2"/>
          </rPr>
          <t>Total ooutgoing if the player is buying it continusly these values are about correct.
If the player buys them just when he wants to raise his plots, than it is not that kind of "flow" but he will not spend less coins in total.
If the players buys the happyness more compact, then the cost is getting even higher.</t>
        </r>
      </text>
    </comment>
    <comment ref="AC3" authorId="0">
      <text>
        <r>
          <rPr>
            <b/>
            <sz val="9"/>
            <color indexed="81"/>
            <rFont val="Calibri"/>
            <family val="2"/>
          </rPr>
          <t>Based on the cheapest price for the player.</t>
        </r>
      </text>
    </comment>
  </commentList>
</comments>
</file>

<file path=xl/comments10.xml><?xml version="1.0" encoding="utf-8"?>
<comments xmlns="http://schemas.openxmlformats.org/spreadsheetml/2006/main">
  <authors>
    <author>Felix Hartung</author>
  </authors>
  <commentList>
    <comment ref="A27" authorId="0">
      <text>
        <r>
          <rPr>
            <b/>
            <sz val="9"/>
            <color indexed="81"/>
            <rFont val="Calibri"/>
            <family val="2"/>
          </rPr>
          <t>Felix Hartung:</t>
        </r>
        <r>
          <rPr>
            <sz val="9"/>
            <color indexed="81"/>
            <rFont val="Calibri"/>
            <family val="2"/>
          </rPr>
          <t xml:space="preserve">
Monster not hungry for time in seconds</t>
        </r>
      </text>
    </comment>
    <comment ref="A30" authorId="0">
      <text>
        <r>
          <rPr>
            <b/>
            <sz val="9"/>
            <color indexed="81"/>
            <rFont val="Calibri"/>
            <family val="2"/>
          </rPr>
          <t>Felix Hartung:</t>
        </r>
        <r>
          <rPr>
            <sz val="9"/>
            <color indexed="81"/>
            <rFont val="Calibri"/>
            <family val="2"/>
          </rPr>
          <t xml:space="preserve">
Fields in the garden, a player could not use, because we use hem for other things.</t>
        </r>
      </text>
    </comment>
  </commentList>
</comments>
</file>

<file path=xl/comments11.xml><?xml version="1.0" encoding="utf-8"?>
<comments xmlns="http://schemas.openxmlformats.org/spreadsheetml/2006/main">
  <authors>
    <author>Felix Hartung</author>
  </authors>
  <commentList>
    <comment ref="B1" authorId="0">
      <text>
        <r>
          <rPr>
            <b/>
            <sz val="9"/>
            <color indexed="81"/>
            <rFont val="Calibri"/>
            <family val="2"/>
          </rPr>
          <t>Felix Hartung:</t>
        </r>
        <r>
          <rPr>
            <sz val="9"/>
            <color indexed="81"/>
            <rFont val="Calibri"/>
            <family val="2"/>
          </rPr>
          <t xml:space="preserve">
43200 = 12 Stunden
86400 = 24 Stunden
</t>
        </r>
      </text>
    </comment>
    <comment ref="C1" authorId="0">
      <text>
        <r>
          <rPr>
            <b/>
            <sz val="9"/>
            <color indexed="81"/>
            <rFont val="Calibri"/>
            <family val="2"/>
          </rPr>
          <t>Felix Hartung:</t>
        </r>
        <r>
          <rPr>
            <sz val="9"/>
            <color indexed="81"/>
            <rFont val="Calibri"/>
            <family val="2"/>
          </rPr>
          <t xml:space="preserve">
3600 = 1 Stunde
7200 = 2 Stunden
10800 = 3 Stunden
14400 = 4 Stunden</t>
        </r>
      </text>
    </comment>
    <comment ref="U12" authorId="0">
      <text>
        <r>
          <rPr>
            <b/>
            <sz val="9"/>
            <color indexed="81"/>
            <rFont val="Calibri"/>
            <family val="2"/>
          </rPr>
          <t>Discount when the Player fills all fields after he placed all plots he will be able to have from beginning.</t>
        </r>
      </text>
    </comment>
    <comment ref="U13" authorId="0">
      <text>
        <r>
          <rPr>
            <b/>
            <sz val="9"/>
            <color indexed="81"/>
            <rFont val="Calibri"/>
            <family val="2"/>
          </rPr>
          <t>Discount when the Player fills all fields after he placed all plots he will be able to haveafter about 2 weeks.</t>
        </r>
      </text>
    </comment>
    <comment ref="U14" authorId="0">
      <text>
        <r>
          <rPr>
            <b/>
            <sz val="9"/>
            <color indexed="81"/>
            <rFont val="Calibri"/>
            <family val="2"/>
          </rPr>
          <t>Discount when the Player fills all fields after he placed all plots he will be able to haveafter about 100 Days.</t>
        </r>
      </text>
    </comment>
    <comment ref="U18" authorId="0">
      <text>
        <r>
          <rPr>
            <b/>
            <sz val="9"/>
            <color indexed="81"/>
            <rFont val="Calibri"/>
            <family val="2"/>
          </rPr>
          <t>The Discount will keep the Wand-Prive a bit longer below 100.</t>
        </r>
      </text>
    </comment>
    <comment ref="U19" authorId="0">
      <text>
        <r>
          <rPr>
            <b/>
            <sz val="9"/>
            <color indexed="81"/>
            <rFont val="Calibri"/>
            <family val="2"/>
          </rPr>
          <t>Another Dicount right bevor the Wand-Price reaches 200 with the Discount before.</t>
        </r>
      </text>
    </comment>
    <comment ref="V19" authorId="0">
      <text>
        <r>
          <rPr>
            <b/>
            <sz val="9"/>
            <color indexed="81"/>
            <rFont val="Calibri"/>
            <family val="2"/>
          </rPr>
          <t>Minimum Wand-Price is 199 to be sure that there is no  price drop by raising the basic Wand-Price.</t>
        </r>
      </text>
    </comment>
    <comment ref="U20" authorId="0">
      <text>
        <r>
          <rPr>
            <b/>
            <sz val="9"/>
            <color indexed="81"/>
            <rFont val="Calibri"/>
            <family val="2"/>
          </rPr>
          <t>Another Dicount right bevor the Wand-Price reaches 500 with the Discount before.</t>
        </r>
      </text>
    </comment>
    <comment ref="V20" authorId="0">
      <text>
        <r>
          <rPr>
            <b/>
            <sz val="9"/>
            <color indexed="81"/>
            <rFont val="Calibri"/>
            <family val="2"/>
          </rPr>
          <t>Minimum Wand-Price is 499 to be sure that there is no  price drop by raising the basic Wand-Price.</t>
        </r>
      </text>
    </comment>
  </commentList>
</comments>
</file>

<file path=xl/comments2.xml><?xml version="1.0" encoding="utf-8"?>
<comments xmlns="http://schemas.openxmlformats.org/spreadsheetml/2006/main">
  <authors>
    <author>Felix Hartung</author>
  </authors>
  <commentList>
    <comment ref="C1" authorId="0">
      <text>
        <r>
          <rPr>
            <b/>
            <sz val="9"/>
            <color indexed="81"/>
            <rFont val="Calibri"/>
            <family val="2"/>
          </rPr>
          <t>Felix Hartung:</t>
        </r>
        <r>
          <rPr>
            <sz val="9"/>
            <color indexed="81"/>
            <rFont val="Calibri"/>
            <family val="2"/>
          </rPr>
          <t xml:space="preserve">
Maximum 2 Rewards per Levelup visible.</t>
        </r>
      </text>
    </comment>
    <comment ref="M1" authorId="0">
      <text>
        <r>
          <rPr>
            <b/>
            <sz val="9"/>
            <color indexed="81"/>
            <rFont val="Calibri"/>
            <family val="2"/>
          </rPr>
          <t>Felix Hartung:</t>
        </r>
        <r>
          <rPr>
            <sz val="9"/>
            <color indexed="81"/>
            <rFont val="Calibri"/>
            <family val="2"/>
          </rPr>
          <t xml:space="preserve">
For Unlock of Plants and decorations, see tables Plants and Decoration.</t>
        </r>
      </text>
    </comment>
    <comment ref="C3" authorId="0">
      <text>
        <r>
          <rPr>
            <b/>
            <sz val="9"/>
            <color indexed="81"/>
            <rFont val="Calibri"/>
            <family val="2"/>
          </rPr>
          <t>Felix Hartung:</t>
        </r>
        <r>
          <rPr>
            <sz val="9"/>
            <color indexed="81"/>
            <rFont val="Calibri"/>
            <family val="2"/>
          </rPr>
          <t xml:space="preserve">
Number of Coins gifted to the Player by Levelup</t>
        </r>
      </text>
    </comment>
    <comment ref="D3" authorId="0">
      <text>
        <r>
          <rPr>
            <b/>
            <sz val="9"/>
            <color indexed="81"/>
            <rFont val="Calibri"/>
            <family val="2"/>
          </rPr>
          <t>Felix Hartung:</t>
        </r>
        <r>
          <rPr>
            <sz val="9"/>
            <color indexed="81"/>
            <rFont val="Calibri"/>
            <family val="2"/>
          </rPr>
          <t xml:space="preserve">
Number of MagicWands gifted to the Player by Levelup</t>
        </r>
      </text>
    </comment>
    <comment ref="M3" authorId="0">
      <text>
        <r>
          <rPr>
            <b/>
            <sz val="9"/>
            <color indexed="81"/>
            <rFont val="Calibri"/>
            <family val="2"/>
          </rPr>
          <t>Felix Hartung:</t>
        </r>
        <r>
          <rPr>
            <sz val="9"/>
            <color indexed="81"/>
            <rFont val="Calibri"/>
            <family val="2"/>
          </rPr>
          <t xml:space="preserve">
Maximum Number of Plots (Fields to plant plants) a player can regulary have.</t>
        </r>
      </text>
    </comment>
    <comment ref="N3" authorId="0">
      <text>
        <r>
          <rPr>
            <b/>
            <sz val="9"/>
            <color indexed="81"/>
            <rFont val="Calibri"/>
            <family val="2"/>
          </rPr>
          <t>Felix Hartung:</t>
        </r>
        <r>
          <rPr>
            <sz val="9"/>
            <color indexed="81"/>
            <rFont val="Calibri"/>
            <family val="2"/>
          </rPr>
          <t xml:space="preserve">
Maximum size a side of the garden of a player can regulary have.</t>
        </r>
      </text>
    </comment>
    <comment ref="O3" authorId="0">
      <text>
        <r>
          <rPr>
            <b/>
            <sz val="9"/>
            <color indexed="81"/>
            <rFont val="Calibri"/>
            <family val="2"/>
          </rPr>
          <t>Felix Hartung:</t>
        </r>
        <r>
          <rPr>
            <sz val="9"/>
            <color indexed="81"/>
            <rFont val="Calibri"/>
            <family val="2"/>
          </rPr>
          <t xml:space="preserve">
Maximum number of different Planttypes Robert will have in his offer.
Maximum: 4</t>
        </r>
      </text>
    </comment>
    <comment ref="Q3" authorId="0">
      <text>
        <r>
          <rPr>
            <b/>
            <sz val="9"/>
            <color indexed="81"/>
            <rFont val="Calibri"/>
            <family val="2"/>
          </rPr>
          <t>Felix Hartung:</t>
        </r>
        <r>
          <rPr>
            <sz val="9"/>
            <color indexed="81"/>
            <rFont val="Calibri"/>
            <family val="2"/>
          </rPr>
          <t xml:space="preserve">
Maximum number of Plants Robert will totaly offer. Will be multiplied with the amount of PlantTypes for the Deal.</t>
        </r>
      </text>
    </comment>
  </commentList>
</comments>
</file>

<file path=xl/comments3.xml><?xml version="1.0" encoding="utf-8"?>
<comments xmlns="http://schemas.openxmlformats.org/spreadsheetml/2006/main">
  <authors>
    <author>Felix Hartung</author>
  </authors>
  <commentList>
    <comment ref="A3" authorId="0">
      <text>
        <r>
          <rPr>
            <b/>
            <sz val="9"/>
            <color indexed="81"/>
            <rFont val="Calibri"/>
            <family val="2"/>
          </rPr>
          <t>Felix Hartung:</t>
        </r>
        <r>
          <rPr>
            <sz val="9"/>
            <color indexed="81"/>
            <rFont val="Calibri"/>
            <family val="2"/>
          </rPr>
          <t xml:space="preserve">
</t>
        </r>
      </text>
    </comment>
    <comment ref="D3" authorId="0">
      <text>
        <r>
          <rPr>
            <b/>
            <sz val="9"/>
            <color indexed="81"/>
            <rFont val="Calibri"/>
            <family val="2"/>
          </rPr>
          <t>Felix Hartung:</t>
        </r>
        <r>
          <rPr>
            <sz val="9"/>
            <color indexed="81"/>
            <rFont val="Calibri"/>
            <family val="2"/>
          </rPr>
          <t xml:space="preserve">
Goal with that Name must be done. I.e. b2g2</t>
        </r>
      </text>
    </comment>
    <comment ref="H3" authorId="0">
      <text>
        <r>
          <rPr>
            <b/>
            <sz val="9"/>
            <color indexed="81"/>
            <rFont val="Calibri"/>
            <family val="2"/>
          </rPr>
          <t>Felix Hartung:</t>
        </r>
        <r>
          <rPr>
            <sz val="9"/>
            <color indexed="81"/>
            <rFont val="Calibri"/>
            <family val="2"/>
          </rPr>
          <t xml:space="preserve">
How many plants you get 4 harvest.</t>
        </r>
      </text>
    </comment>
    <comment ref="I3" authorId="0">
      <text>
        <r>
          <rPr>
            <b/>
            <sz val="9"/>
            <color indexed="81"/>
            <rFont val="Calibri"/>
            <family val="2"/>
          </rPr>
          <t>Felix Hartung:</t>
        </r>
        <r>
          <rPr>
            <sz val="9"/>
            <color indexed="81"/>
            <rFont val="Calibri"/>
            <family val="2"/>
          </rPr>
          <t xml:space="preserve">
Time in seconds the plant need to grow.</t>
        </r>
      </text>
    </comment>
    <comment ref="J3" authorId="0">
      <text>
        <r>
          <rPr>
            <b/>
            <sz val="9"/>
            <color indexed="81"/>
            <rFont val="Calibri"/>
            <family val="2"/>
          </rPr>
          <t>Felix Hartung:</t>
        </r>
        <r>
          <rPr>
            <sz val="9"/>
            <color indexed="81"/>
            <rFont val="Calibri"/>
            <family val="2"/>
          </rPr>
          <t xml:space="preserve">
How many seconds of growingtime will be done by using a wand.
Default: 3600</t>
        </r>
      </text>
    </comment>
    <comment ref="K3" authorId="0">
      <text>
        <r>
          <rPr>
            <b/>
            <sz val="9"/>
            <color indexed="81"/>
            <rFont val="Calibri"/>
            <family val="2"/>
          </rPr>
          <t>Felix Hartung:</t>
        </r>
        <r>
          <rPr>
            <sz val="9"/>
            <color indexed="81"/>
            <rFont val="Calibri"/>
            <family val="2"/>
          </rPr>
          <t xml:space="preserve">
Is this Item buyable in the shop?</t>
        </r>
      </text>
    </comment>
    <comment ref="L3" authorId="0">
      <text>
        <r>
          <rPr>
            <b/>
            <sz val="9"/>
            <color indexed="81"/>
            <rFont val="Calibri"/>
            <family val="2"/>
          </rPr>
          <t>Felix Hartung:</t>
        </r>
        <r>
          <rPr>
            <sz val="9"/>
            <color indexed="81"/>
            <rFont val="Calibri"/>
            <family val="2"/>
          </rPr>
          <t xml:space="preserve">
Minimum Factor on duration, after that time a plant dried if it got no water, while the Plant is still growing.
Default: 1.0</t>
        </r>
      </text>
    </comment>
    <comment ref="M3" authorId="0">
      <text>
        <r>
          <rPr>
            <b/>
            <sz val="9"/>
            <color indexed="81"/>
            <rFont val="Calibri"/>
            <family val="2"/>
          </rPr>
          <t>Felix Hartung:</t>
        </r>
        <r>
          <rPr>
            <sz val="9"/>
            <color indexed="81"/>
            <rFont val="Calibri"/>
            <family val="2"/>
          </rPr>
          <t xml:space="preserve">
Maximum Factor on duration, after that time a plant dried if it got no water, while the Plant is still growing.
Default: 1.2</t>
        </r>
      </text>
    </comment>
    <comment ref="N3" authorId="0">
      <text>
        <r>
          <rPr>
            <b/>
            <sz val="9"/>
            <color indexed="81"/>
            <rFont val="Calibri"/>
            <family val="2"/>
          </rPr>
          <t>Felix Hartung:</t>
        </r>
        <r>
          <rPr>
            <sz val="9"/>
            <color indexed="81"/>
            <rFont val="Calibri"/>
            <family val="2"/>
          </rPr>
          <t xml:space="preserve">
Minimum Factor on duration, after that time a plant dried if it got no water after it is grown.
Default: 1.0</t>
        </r>
      </text>
    </comment>
    <comment ref="O3" authorId="0">
      <text>
        <r>
          <rPr>
            <b/>
            <sz val="9"/>
            <color indexed="81"/>
            <rFont val="Calibri"/>
            <family val="2"/>
          </rPr>
          <t>Felix Hartung:</t>
        </r>
        <r>
          <rPr>
            <sz val="9"/>
            <color indexed="81"/>
            <rFont val="Calibri"/>
            <family val="2"/>
          </rPr>
          <t xml:space="preserve">
Maximum Factor on duration, after that time a plant dried if it got no water after it is grown.
Default: 1.7</t>
        </r>
      </text>
    </comment>
    <comment ref="P3" authorId="0">
      <text>
        <r>
          <rPr>
            <b/>
            <sz val="9"/>
            <color indexed="81"/>
            <rFont val="Calibri"/>
            <family val="2"/>
          </rPr>
          <t>Felix Hartung:</t>
        </r>
        <r>
          <rPr>
            <sz val="9"/>
            <color indexed="81"/>
            <rFont val="Calibri"/>
            <family val="2"/>
          </rPr>
          <t xml:space="preserve">
dividing line between ingame Data and statistic data (contains Plantnumber again).</t>
        </r>
      </text>
    </comment>
    <comment ref="AL3" authorId="0">
      <text>
        <r>
          <rPr>
            <b/>
            <sz val="9"/>
            <color indexed="81"/>
            <rFont val="Calibri"/>
            <family val="2"/>
          </rPr>
          <t>Felix Hartung:</t>
        </r>
        <r>
          <rPr>
            <sz val="9"/>
            <color indexed="81"/>
            <rFont val="Calibri"/>
            <family val="2"/>
          </rPr>
          <t xml:space="preserve">
if the green is darker, then this time is used more often for duration (in other games).</t>
        </r>
      </text>
    </comment>
  </commentList>
</comments>
</file>

<file path=xl/comments4.xml><?xml version="1.0" encoding="utf-8"?>
<comments xmlns="http://schemas.openxmlformats.org/spreadsheetml/2006/main">
  <authors>
    <author>Felix Hartung</author>
  </authors>
  <commentList>
    <comment ref="C1" authorId="0">
      <text>
        <r>
          <rPr>
            <b/>
            <sz val="9"/>
            <color indexed="81"/>
            <rFont val="Calibri"/>
            <family val="2"/>
          </rPr>
          <t>If you set a value (number) here, than Decorations with this level-requirement will be highlighted by the level-field.</t>
        </r>
      </text>
    </comment>
    <comment ref="E3" authorId="0">
      <text>
        <r>
          <rPr>
            <b/>
            <sz val="9"/>
            <color indexed="81"/>
            <rFont val="Calibri"/>
            <family val="2"/>
          </rPr>
          <t>Felix Hartung:</t>
        </r>
        <r>
          <rPr>
            <sz val="9"/>
            <color indexed="81"/>
            <rFont val="Calibri"/>
            <family val="2"/>
          </rPr>
          <t xml:space="preserve">
coins or magicWands</t>
        </r>
      </text>
    </comment>
    <comment ref="H3" authorId="0">
      <text>
        <r>
          <rPr>
            <b/>
            <sz val="9"/>
            <color indexed="81"/>
            <rFont val="Calibri"/>
            <family val="2"/>
          </rPr>
          <t>in wich category it is placed in the shop</t>
        </r>
      </text>
    </comment>
    <comment ref="I3" authorId="0">
      <text>
        <r>
          <rPr>
            <b/>
            <sz val="9"/>
            <color indexed="81"/>
            <rFont val="Calibri"/>
            <family val="2"/>
          </rPr>
          <t>position in its category in the shop</t>
        </r>
      </text>
    </comment>
    <comment ref="R4" authorId="0">
      <text>
        <r>
          <rPr>
            <b/>
            <sz val="9"/>
            <color indexed="81"/>
            <rFont val="Calibri"/>
            <family val="2"/>
          </rPr>
          <t>Value not by formula</t>
        </r>
      </text>
    </comment>
    <comment ref="R5" authorId="0">
      <text>
        <r>
          <rPr>
            <b/>
            <sz val="9"/>
            <color indexed="81"/>
            <rFont val="Calibri"/>
            <family val="2"/>
          </rPr>
          <t>Value not by formula</t>
        </r>
      </text>
    </comment>
    <comment ref="R6" authorId="0">
      <text>
        <r>
          <rPr>
            <b/>
            <sz val="9"/>
            <color indexed="81"/>
            <rFont val="Calibri"/>
            <family val="2"/>
          </rPr>
          <t>Value not by formula</t>
        </r>
      </text>
    </comment>
    <comment ref="R7" authorId="0">
      <text>
        <r>
          <rPr>
            <b/>
            <sz val="9"/>
            <color indexed="81"/>
            <rFont val="Calibri"/>
            <family val="2"/>
          </rPr>
          <t>Value not by formula</t>
        </r>
      </text>
    </comment>
    <comment ref="R8" authorId="0">
      <text>
        <r>
          <rPr>
            <b/>
            <sz val="9"/>
            <color indexed="81"/>
            <rFont val="Calibri"/>
            <family val="2"/>
          </rPr>
          <t>Value not by formula</t>
        </r>
      </text>
    </comment>
    <comment ref="R9" authorId="0">
      <text>
        <r>
          <rPr>
            <b/>
            <sz val="9"/>
            <color indexed="81"/>
            <rFont val="Calibri"/>
            <family val="2"/>
          </rPr>
          <t>Value not by formula</t>
        </r>
      </text>
    </comment>
    <comment ref="R10" authorId="0">
      <text>
        <r>
          <rPr>
            <b/>
            <sz val="9"/>
            <color indexed="81"/>
            <rFont val="Calibri"/>
            <family val="2"/>
          </rPr>
          <t>Value not by formula</t>
        </r>
      </text>
    </comment>
    <comment ref="D11" authorId="0">
      <text>
        <r>
          <rPr>
            <b/>
            <sz val="9"/>
            <color indexed="81"/>
            <rFont val="Calibri"/>
            <family val="2"/>
          </rPr>
          <t>Value not by formula</t>
        </r>
      </text>
    </comment>
    <comment ref="G11" authorId="0">
      <text>
        <r>
          <rPr>
            <b/>
            <sz val="9"/>
            <color indexed="81"/>
            <rFont val="Calibri"/>
            <family val="2"/>
          </rPr>
          <t>Value not by formula</t>
        </r>
      </text>
    </comment>
    <comment ref="R11" authorId="0">
      <text>
        <r>
          <rPr>
            <b/>
            <sz val="9"/>
            <color indexed="81"/>
            <rFont val="Calibri"/>
            <family val="2"/>
          </rPr>
          <t>Value not by formula</t>
        </r>
      </text>
    </comment>
    <comment ref="R18" authorId="0">
      <text>
        <r>
          <rPr>
            <b/>
            <sz val="9"/>
            <color indexed="81"/>
            <rFont val="Calibri"/>
            <family val="2"/>
          </rPr>
          <t>Value not by formula</t>
        </r>
      </text>
    </comment>
    <comment ref="R41" authorId="0">
      <text>
        <r>
          <rPr>
            <b/>
            <sz val="9"/>
            <color indexed="81"/>
            <rFont val="Calibri"/>
            <family val="2"/>
          </rPr>
          <t>Value not by formula</t>
        </r>
      </text>
    </comment>
    <comment ref="R42" authorId="0">
      <text>
        <r>
          <rPr>
            <sz val="9"/>
            <color indexed="81"/>
            <rFont val="Calibri"/>
            <family val="2"/>
          </rPr>
          <t>Value not by formula</t>
        </r>
      </text>
    </comment>
    <comment ref="R44" authorId="0">
      <text>
        <r>
          <rPr>
            <b/>
            <sz val="9"/>
            <color indexed="81"/>
            <rFont val="Calibri"/>
            <family val="2"/>
          </rPr>
          <t>Value not by formula</t>
        </r>
      </text>
    </comment>
    <comment ref="R45" authorId="0">
      <text>
        <r>
          <rPr>
            <b/>
            <sz val="9"/>
            <color indexed="81"/>
            <rFont val="Calibri"/>
            <family val="2"/>
          </rPr>
          <t>Value not by formula</t>
        </r>
      </text>
    </comment>
    <comment ref="R46" authorId="0">
      <text>
        <r>
          <rPr>
            <b/>
            <sz val="9"/>
            <color indexed="81"/>
            <rFont val="Calibri"/>
            <family val="2"/>
          </rPr>
          <t>Value not by formula</t>
        </r>
      </text>
    </comment>
    <comment ref="R49" authorId="0">
      <text>
        <r>
          <rPr>
            <sz val="9"/>
            <color indexed="81"/>
            <rFont val="Calibri"/>
            <family val="2"/>
          </rPr>
          <t>Value not by formula</t>
        </r>
      </text>
    </comment>
    <comment ref="R51" authorId="0">
      <text>
        <r>
          <rPr>
            <b/>
            <sz val="9"/>
            <color indexed="81"/>
            <rFont val="Calibri"/>
            <family val="2"/>
          </rPr>
          <t>Value not by formula</t>
        </r>
      </text>
    </comment>
  </commentList>
</comments>
</file>

<file path=xl/comments5.xml><?xml version="1.0" encoding="utf-8"?>
<comments xmlns="http://schemas.openxmlformats.org/spreadsheetml/2006/main">
  <authors>
    <author>Felix Hartung</author>
  </authors>
  <commentList>
    <comment ref="A98" authorId="0">
      <text>
        <r>
          <rPr>
            <b/>
            <sz val="9"/>
            <color indexed="81"/>
            <rFont val="Calibri"/>
            <family val="2"/>
          </rPr>
          <t>Last Plant-Model in the system.</t>
        </r>
      </text>
    </comment>
  </commentList>
</comments>
</file>

<file path=xl/comments6.xml><?xml version="1.0" encoding="utf-8"?>
<comments xmlns="http://schemas.openxmlformats.org/spreadsheetml/2006/main">
  <authors>
    <author>Felix Hartung</author>
  </authors>
  <commentList>
    <comment ref="K1" authorId="0">
      <text>
        <r>
          <rPr>
            <b/>
            <sz val="9"/>
            <color indexed="81"/>
            <rFont val="Calibri"/>
            <family val="2"/>
          </rPr>
          <t>Felix Hartung:</t>
        </r>
        <r>
          <rPr>
            <sz val="9"/>
            <color indexed="81"/>
            <rFont val="Calibri"/>
            <family val="2"/>
          </rPr>
          <t xml:space="preserve">
Goal wich follows.</t>
        </r>
      </text>
    </comment>
    <comment ref="C3" authorId="0">
      <text>
        <r>
          <rPr>
            <b/>
            <sz val="9"/>
            <color indexed="81"/>
            <rFont val="Calibri"/>
            <family val="2"/>
          </rPr>
          <t xml:space="preserve">The Image shown as tab-head in the goals-menu.
Possible values are:
PLACEHOLDER_farmer.png
PLACEHOLDER_blobby.png
PLACEHOLDER_robotron.png
</t>
        </r>
      </text>
    </comment>
    <comment ref="D3" authorId="0">
      <text>
        <r>
          <rPr>
            <b/>
            <sz val="9"/>
            <color indexed="81"/>
            <rFont val="Calibri"/>
            <family val="2"/>
          </rPr>
          <t>Image shown at the top within a Tab in the goals-manu.
Possible values are:
PLACEHOLDER_story_farmer.png</t>
        </r>
      </text>
    </comment>
    <comment ref="E3" authorId="0">
      <text>
        <r>
          <rPr>
            <b/>
            <sz val="9"/>
            <color indexed="81"/>
            <rFont val="Calibri"/>
            <family val="2"/>
          </rPr>
          <t>Character shown, when the Goal is opened the first time and the "story" is told.
Possible values:
new_goal_monster.png
new_goal_robert.png</t>
        </r>
      </text>
    </comment>
    <comment ref="Z3" authorId="0">
      <text>
        <r>
          <rPr>
            <b/>
            <sz val="9"/>
            <color indexed="81"/>
            <rFont val="Calibri"/>
            <family val="2"/>
          </rPr>
          <t>Felix Hartung:</t>
        </r>
        <r>
          <rPr>
            <sz val="9"/>
            <color indexed="81"/>
            <rFont val="Calibri"/>
            <family val="2"/>
          </rPr>
          <t xml:space="preserve">
Coins the Player received by his 1st goal he has to finish before. Look at Goal-Flowchart!</t>
        </r>
      </text>
    </comment>
    <comment ref="AA3" authorId="0">
      <text>
        <r>
          <rPr>
            <b/>
            <sz val="9"/>
            <color indexed="81"/>
            <rFont val="Calibri"/>
            <family val="2"/>
          </rPr>
          <t>Felix Hartung:</t>
        </r>
        <r>
          <rPr>
            <sz val="9"/>
            <color indexed="81"/>
            <rFont val="Calibri"/>
            <family val="2"/>
          </rPr>
          <t xml:space="preserve">
Coins the Player received by his 2nd goal he has to finish before. Look at Goal-Flowchart!</t>
        </r>
      </text>
    </comment>
    <comment ref="AB3" authorId="0">
      <text>
        <r>
          <rPr>
            <b/>
            <sz val="9"/>
            <color indexed="81"/>
            <rFont val="Calibri"/>
            <family val="2"/>
          </rPr>
          <t>Felix Hartung:</t>
        </r>
        <r>
          <rPr>
            <sz val="9"/>
            <color indexed="81"/>
            <rFont val="Calibri"/>
            <family val="2"/>
          </rPr>
          <t xml:space="preserve">
Coins the Player received by his 3rd goal he has to finish before. Look at Goal-Flowchart!</t>
        </r>
      </text>
    </comment>
    <comment ref="AC3" authorId="0">
      <text>
        <r>
          <rPr>
            <b/>
            <sz val="9"/>
            <color indexed="81"/>
            <rFont val="Calibri"/>
            <family val="2"/>
          </rPr>
          <t>Felix Hartung:</t>
        </r>
        <r>
          <rPr>
            <sz val="9"/>
            <color indexed="81"/>
            <rFont val="Calibri"/>
            <family val="2"/>
          </rPr>
          <t xml:space="preserve">
XP the Player received by his 1st goal he has to finish before. Look at Goal-Flowchart!</t>
        </r>
      </text>
    </comment>
    <comment ref="AD3" authorId="0">
      <text>
        <r>
          <rPr>
            <b/>
            <sz val="9"/>
            <color indexed="81"/>
            <rFont val="Calibri"/>
            <family val="2"/>
          </rPr>
          <t>Felix Hartung:</t>
        </r>
        <r>
          <rPr>
            <sz val="9"/>
            <color indexed="81"/>
            <rFont val="Calibri"/>
            <family val="2"/>
          </rPr>
          <t xml:space="preserve">
XP the Player received by his 2nd goal he has to finish before. Look at Goal-Flowchart!</t>
        </r>
      </text>
    </comment>
    <comment ref="AE3" authorId="0">
      <text>
        <r>
          <rPr>
            <b/>
            <sz val="9"/>
            <color indexed="81"/>
            <rFont val="Calibri"/>
            <family val="2"/>
          </rPr>
          <t>Felix Hartung:</t>
        </r>
        <r>
          <rPr>
            <sz val="9"/>
            <color indexed="81"/>
            <rFont val="Calibri"/>
            <family val="2"/>
          </rPr>
          <t xml:space="preserve">
XP the Player received by his 3rd goal he has to finish before. Look at Goal-Flowchart!</t>
        </r>
      </text>
    </comment>
    <comment ref="AF3" authorId="0">
      <text>
        <r>
          <rPr>
            <sz val="9"/>
            <color indexed="81"/>
            <rFont val="Calibri"/>
            <family val="2"/>
          </rPr>
          <t>Happieness the Player received by his 1st goal he has to finish before. Look at Goal-Flowchart!</t>
        </r>
      </text>
    </comment>
    <comment ref="AG3" authorId="0">
      <text>
        <r>
          <rPr>
            <sz val="9"/>
            <color indexed="81"/>
            <rFont val="Calibri"/>
            <family val="2"/>
          </rPr>
          <t>Happieness the Player received by his 2nd goal he has to finish before. Look at Goal-Flowchart!</t>
        </r>
      </text>
    </comment>
    <comment ref="AH3" authorId="0">
      <text>
        <r>
          <rPr>
            <sz val="9"/>
            <color indexed="81"/>
            <rFont val="Calibri"/>
            <family val="2"/>
          </rPr>
          <t>Happieness the Player received by his 3rd goal he has to finish before. Look at Goal-Flowchart!</t>
        </r>
      </text>
    </comment>
    <comment ref="AI3" authorId="0">
      <text>
        <r>
          <rPr>
            <b/>
            <sz val="9"/>
            <color indexed="81"/>
            <rFont val="Calibri"/>
            <family val="2"/>
          </rPr>
          <t>Felix Hartung:</t>
        </r>
        <r>
          <rPr>
            <sz val="9"/>
            <color indexed="81"/>
            <rFont val="Calibri"/>
            <family val="2"/>
          </rPr>
          <t xml:space="preserve">
Corection for the coin-Value due to dubble-rating old goals.</t>
        </r>
      </text>
    </comment>
    <comment ref="AJ3" authorId="0">
      <text>
        <r>
          <rPr>
            <b/>
            <sz val="9"/>
            <color indexed="81"/>
            <rFont val="Calibri"/>
            <family val="2"/>
          </rPr>
          <t>Corection for theXP-Value due to dubble-rating old goals.</t>
        </r>
      </text>
    </comment>
    <comment ref="AK3" authorId="0">
      <text>
        <r>
          <rPr>
            <b/>
            <sz val="9"/>
            <color indexed="81"/>
            <rFont val="Calibri"/>
            <family val="2"/>
          </rPr>
          <t xml:space="preserve">Corection for the Happieness-Value due to dubble-rating old goals. </t>
        </r>
      </text>
    </comment>
    <comment ref="A12" authorId="0">
      <text>
        <r>
          <rPr>
            <sz val="9"/>
            <color indexed="81"/>
            <rFont val="Calibri"/>
            <family val="2"/>
          </rPr>
          <t xml:space="preserve">End of first Session
</t>
        </r>
      </text>
    </comment>
    <comment ref="A13" authorId="0">
      <text>
        <r>
          <rPr>
            <b/>
            <sz val="9"/>
            <color indexed="81"/>
            <rFont val="Calibri"/>
            <family val="2"/>
          </rPr>
          <t>Maybe add here the first Social Brunsh.</t>
        </r>
      </text>
    </comment>
    <comment ref="A16" authorId="0">
      <text>
        <r>
          <rPr>
            <b/>
            <sz val="9"/>
            <color indexed="81"/>
            <rFont val="Calibri"/>
            <family val="2"/>
          </rPr>
          <t>End of second session.</t>
        </r>
      </text>
    </comment>
  </commentList>
</comments>
</file>

<file path=xl/comments7.xml><?xml version="1.0" encoding="utf-8"?>
<comments xmlns="http://schemas.openxmlformats.org/spreadsheetml/2006/main">
  <authors>
    <author>Felix Hartung</author>
  </authors>
  <commentList>
    <comment ref="A3" authorId="0">
      <text>
        <r>
          <rPr>
            <b/>
            <sz val="9"/>
            <color indexed="81"/>
            <rFont val="Calibri"/>
            <family val="2"/>
          </rPr>
          <t>Felix Hartung:</t>
        </r>
        <r>
          <rPr>
            <sz val="9"/>
            <color indexed="81"/>
            <rFont val="Calibri"/>
            <family val="2"/>
          </rPr>
          <t xml:space="preserve">
</t>
        </r>
      </text>
    </comment>
    <comment ref="C3" authorId="0">
      <text>
        <r>
          <rPr>
            <b/>
            <sz val="9"/>
            <color indexed="81"/>
            <rFont val="Calibri"/>
            <family val="2"/>
          </rPr>
          <t>Felix Hartung:</t>
        </r>
        <r>
          <rPr>
            <sz val="9"/>
            <color indexed="81"/>
            <rFont val="Calibri"/>
            <family val="2"/>
          </rPr>
          <t xml:space="preserve">
A Shortcut may lead to a point wich is needed for a Task. I.e. to the Shop if the Player has to buy a decoration. </t>
        </r>
      </text>
    </comment>
    <comment ref="H3" authorId="0">
      <text>
        <r>
          <rPr>
            <b/>
            <sz val="9"/>
            <color indexed="81"/>
            <rFont val="Calibri"/>
            <family val="2"/>
          </rPr>
          <t>ID-Number of the Plant wich should be plant.
For the amount of the plants look at column "req.amount".</t>
        </r>
      </text>
    </comment>
    <comment ref="I3" authorId="0">
      <text>
        <r>
          <rPr>
            <b/>
            <sz val="9"/>
            <color indexed="81"/>
            <rFont val="Calibri"/>
            <family val="2"/>
          </rPr>
          <t>ID-Number of the Plant wich should be harvest.
For the amount of the plants look at column "req.amount".</t>
        </r>
      </text>
    </comment>
    <comment ref="J3" authorId="0">
      <text>
        <r>
          <rPr>
            <b/>
            <sz val="9"/>
            <color indexed="81"/>
            <rFont val="Calibri"/>
            <family val="2"/>
          </rPr>
          <t>ID-Number of the Plant wich should be sold.
For the amount of the plants look at column "req.amount".</t>
        </r>
        <r>
          <rPr>
            <sz val="9"/>
            <color indexed="81"/>
            <rFont val="Calibri"/>
            <family val="2"/>
          </rPr>
          <t xml:space="preserve">
</t>
        </r>
      </text>
    </comment>
    <comment ref="K3" authorId="0">
      <text>
        <r>
          <rPr>
            <b/>
            <sz val="9"/>
            <color indexed="81"/>
            <rFont val="Calibri"/>
            <family val="2"/>
          </rPr>
          <t>ID-Number of the Plant wich should be speeded up.
For the amount of the plants look at column "req.amount".</t>
        </r>
        <r>
          <rPr>
            <sz val="9"/>
            <color indexed="81"/>
            <rFont val="Calibri"/>
            <family val="2"/>
          </rPr>
          <t xml:space="preserve">
</t>
        </r>
      </text>
    </comment>
    <comment ref="L3" authorId="0">
      <text>
        <r>
          <rPr>
            <b/>
            <sz val="9"/>
            <color indexed="81"/>
            <rFont val="Calibri"/>
            <family val="2"/>
          </rPr>
          <t>ID-Number of the Plant wich should be revived.
For the amount of the plants look at column "req.amount".</t>
        </r>
      </text>
    </comment>
    <comment ref="M3" authorId="0">
      <text>
        <r>
          <rPr>
            <b/>
            <sz val="9"/>
            <color indexed="81"/>
            <rFont val="Calibri"/>
            <family val="2"/>
          </rPr>
          <t>ID-Number of the Plant wich should be delivered.
For the amount of the plants look at column "req.amount".</t>
        </r>
      </text>
    </comment>
    <comment ref="N3" authorId="0">
      <text>
        <r>
          <rPr>
            <b/>
            <sz val="9"/>
            <color indexed="81"/>
            <rFont val="Calibri"/>
            <family val="2"/>
          </rPr>
          <t>ID-Number of the Decoration wich should be bought
For the amount of the decorations look at column "req.amount".</t>
        </r>
      </text>
    </comment>
    <comment ref="Q3" authorId="0">
      <text>
        <r>
          <rPr>
            <sz val="9"/>
            <color indexed="81"/>
            <rFont val="Calibri"/>
            <family val="2"/>
          </rPr>
          <t>Number of deals made with Robert.</t>
        </r>
      </text>
    </comment>
    <comment ref="R3" authorId="0">
      <text>
        <r>
          <rPr>
            <b/>
            <sz val="9"/>
            <color indexed="81"/>
            <rFont val="Calibri"/>
            <family val="2"/>
          </rPr>
          <t>Make Deals with robert worth an amount of coins.</t>
        </r>
      </text>
    </comment>
    <comment ref="U3" authorId="0">
      <text>
        <r>
          <rPr>
            <b/>
            <sz val="9"/>
            <color indexed="81"/>
            <rFont val="Calibri"/>
            <family val="2"/>
          </rPr>
          <t>Felix Hartung:</t>
        </r>
        <r>
          <rPr>
            <sz val="9"/>
            <color indexed="81"/>
            <rFont val="Calibri"/>
            <family val="2"/>
          </rPr>
          <t xml:space="preserve">
bordersize of the garden.</t>
        </r>
      </text>
    </comment>
    <comment ref="V3" authorId="0">
      <text>
        <r>
          <rPr>
            <b/>
            <sz val="9"/>
            <color indexed="81"/>
            <rFont val="Calibri"/>
            <family val="2"/>
          </rPr>
          <t>Felix Hartung:</t>
        </r>
        <r>
          <rPr>
            <sz val="9"/>
            <color indexed="81"/>
            <rFont val="Calibri"/>
            <family val="2"/>
          </rPr>
          <t xml:space="preserve">
Number of plots the player has to have.</t>
        </r>
      </text>
    </comment>
    <comment ref="Z3" authorId="0">
      <text>
        <r>
          <rPr>
            <b/>
            <sz val="9"/>
            <color indexed="81"/>
            <rFont val="Calibri"/>
            <family val="2"/>
          </rPr>
          <t>Felix Hartung:</t>
        </r>
        <r>
          <rPr>
            <sz val="9"/>
            <color indexed="81"/>
            <rFont val="Calibri"/>
            <family val="2"/>
          </rPr>
          <t xml:space="preserve">
Minimum Level after Task, because he has to reach a specific Level to fulfill the action Requirements.</t>
        </r>
      </text>
    </comment>
  </commentList>
</comments>
</file>

<file path=xl/comments8.xml><?xml version="1.0" encoding="utf-8"?>
<comments xmlns="http://schemas.openxmlformats.org/spreadsheetml/2006/main">
  <authors>
    <author>Felix Hartung</author>
  </authors>
  <commentList>
    <comment ref="D3" authorId="0">
      <text>
        <r>
          <rPr>
            <b/>
            <sz val="9"/>
            <color indexed="81"/>
            <rFont val="Calibri"/>
            <family val="2"/>
          </rPr>
          <t>Felix Hartung:</t>
        </r>
        <r>
          <rPr>
            <sz val="9"/>
            <color indexed="81"/>
            <rFont val="Calibri"/>
            <family val="2"/>
          </rPr>
          <t xml:space="preserve">
Length of each side of the garden.</t>
        </r>
      </text>
    </comment>
  </commentList>
</comments>
</file>

<file path=xl/comments9.xml><?xml version="1.0" encoding="utf-8"?>
<comments xmlns="http://schemas.openxmlformats.org/spreadsheetml/2006/main">
  <authors>
    <author>Felix Hartung</author>
  </authors>
  <commentList>
    <comment ref="B2" authorId="0">
      <text>
        <r>
          <rPr>
            <b/>
            <sz val="9"/>
            <color indexed="81"/>
            <rFont val="Calibri"/>
            <family val="2"/>
          </rPr>
          <t>Lower Wand-Price by Level-Raise because a Wand is worth more Coins in higher levels?</t>
        </r>
      </text>
    </comment>
    <comment ref="E3" authorId="0">
      <text>
        <r>
          <rPr>
            <b/>
            <sz val="9"/>
            <color indexed="81"/>
            <rFont val="Calibri"/>
            <family val="2"/>
          </rPr>
          <t>Felix Hartung:</t>
        </r>
        <r>
          <rPr>
            <sz val="9"/>
            <color indexed="81"/>
            <rFont val="Calibri"/>
            <family val="2"/>
          </rPr>
          <t xml:space="preserve">
Including Decorations, Plants, Wands</t>
        </r>
      </text>
    </comment>
    <comment ref="B4" authorId="0">
      <text>
        <r>
          <rPr>
            <b/>
            <sz val="9"/>
            <color indexed="81"/>
            <rFont val="Calibri"/>
            <family val="2"/>
          </rPr>
          <t>Worth in Wands: 10</t>
        </r>
      </text>
    </comment>
    <comment ref="B11" authorId="0">
      <text>
        <r>
          <rPr>
            <b/>
            <sz val="9"/>
            <color indexed="81"/>
            <rFont val="Calibri"/>
            <family val="2"/>
          </rPr>
          <t>Lower Wand-Price by Level-Raise because a Wand is worth more Coins in higher levels?</t>
        </r>
      </text>
    </comment>
    <comment ref="E12" authorId="0">
      <text>
        <r>
          <rPr>
            <b/>
            <sz val="9"/>
            <color indexed="81"/>
            <rFont val="Calibri"/>
            <family val="2"/>
          </rPr>
          <t>Felix Hartung:</t>
        </r>
        <r>
          <rPr>
            <sz val="9"/>
            <color indexed="81"/>
            <rFont val="Calibri"/>
            <family val="2"/>
          </rPr>
          <t xml:space="preserve">
Including Decorations, Plants, Wands</t>
        </r>
      </text>
    </comment>
    <comment ref="B13" authorId="0">
      <text>
        <r>
          <rPr>
            <b/>
            <sz val="9"/>
            <color indexed="81"/>
            <rFont val="Calibri"/>
            <family val="2"/>
          </rPr>
          <t>Worth in Wands:
60 (maybe say 59)</t>
        </r>
      </text>
    </comment>
  </commentList>
</comments>
</file>

<file path=xl/sharedStrings.xml><?xml version="1.0" encoding="utf-8"?>
<sst xmlns="http://schemas.openxmlformats.org/spreadsheetml/2006/main" count="1403" uniqueCount="601">
  <si>
    <t>Level</t>
  </si>
  <si>
    <t>XP 4 Lvlup</t>
  </si>
  <si>
    <t>coinsForBuy</t>
  </si>
  <si>
    <t>Identification</t>
  </si>
  <si>
    <t>Requirements</t>
  </si>
  <si>
    <t>duration</t>
  </si>
  <si>
    <t>coinsForSell</t>
  </si>
  <si>
    <t>xpForHarvest</t>
  </si>
  <si>
    <t>crop</t>
  </si>
  <si>
    <t>wandEffect</t>
  </si>
  <si>
    <t>minDriFactorGrow</t>
  </si>
  <si>
    <t>maxDriFactorGrow</t>
  </si>
  <si>
    <t>minDriFactorReady</t>
  </si>
  <si>
    <t>maxDriFactorReady</t>
  </si>
  <si>
    <t>Properties</t>
  </si>
  <si>
    <t>buyPrice</t>
  </si>
  <si>
    <t>currencie</t>
  </si>
  <si>
    <t>name</t>
  </si>
  <si>
    <t>Reward</t>
  </si>
  <si>
    <t>Additional Informations</t>
  </si>
  <si>
    <t>Rewards</t>
  </si>
  <si>
    <t>xpForBuying</t>
  </si>
  <si>
    <t>happinessValue</t>
  </si>
  <si>
    <t>goalDone</t>
  </si>
  <si>
    <t>requiredXP</t>
  </si>
  <si>
    <t>robertMaxPlantTypes</t>
  </si>
  <si>
    <t>robertMaxAmount</t>
  </si>
  <si>
    <t>width</t>
  </si>
  <si>
    <t>height</t>
  </si>
  <si>
    <t>walkable</t>
  </si>
  <si>
    <t>animated</t>
  </si>
  <si>
    <t>anchorPoint</t>
  </si>
  <si>
    <t>false</t>
  </si>
  <si>
    <t>coins</t>
  </si>
  <si>
    <t>[x.xx, x.xx]</t>
  </si>
  <si>
    <t>ØIncome/Day</t>
  </si>
  <si>
    <t>ØXP/Day</t>
  </si>
  <si>
    <t>ØDays 4 Lvlup</t>
  </si>
  <si>
    <t>ØTotal Time</t>
  </si>
  <si>
    <t>Max.XP/Day</t>
  </si>
  <si>
    <t>Min.Days 4 Lvlup</t>
  </si>
  <si>
    <t>Min.Total Time</t>
  </si>
  <si>
    <t>Garden Size</t>
  </si>
  <si>
    <t>Plots</t>
  </si>
  <si>
    <t>Property</t>
  </si>
  <si>
    <t>next</t>
  </si>
  <si>
    <t>hideShortcut</t>
  </si>
  <si>
    <t>plants (2)</t>
  </si>
  <si>
    <t>plants (1)</t>
  </si>
  <si>
    <t>decoration (2)</t>
  </si>
  <si>
    <t>decoration (1)</t>
  </si>
  <si>
    <t>reward</t>
  </si>
  <si>
    <t>Default wandEffect</t>
  </si>
  <si>
    <t>Value</t>
  </si>
  <si>
    <t>Hint</t>
  </si>
  <si>
    <t>Can be overwritten by every Plant</t>
  </si>
  <si>
    <t>Minimum driedFactorRangeInStateGrowing</t>
  </si>
  <si>
    <t>Maximum driedFactorRangeInStateGrowing</t>
  </si>
  <si>
    <t>Minimum driedFactorRangeInStateReady</t>
  </si>
  <si>
    <t>Maximum driedFactorRangeInStateReady</t>
  </si>
  <si>
    <t>Ø driedFactorRangeInStateReady</t>
  </si>
  <si>
    <t>Ø driedFactorRangeInStateGrowing</t>
  </si>
  <si>
    <t>robertMinBuyFactor</t>
  </si>
  <si>
    <t>robertMaxBuyFactor</t>
  </si>
  <si>
    <t>Ø robertBuyFactor</t>
  </si>
  <si>
    <t>robertXpDivisor</t>
  </si>
  <si>
    <t>Used for Formula</t>
  </si>
  <si>
    <t>Roberts XP-Formula</t>
  </si>
  <si>
    <t>robertWandsDivisor</t>
  </si>
  <si>
    <t>robertSkipDealWandsPrice</t>
  </si>
  <si>
    <t>robertSecondsForOneDealMin</t>
  </si>
  <si>
    <t>robertSecondsForOneDealMax</t>
  </si>
  <si>
    <t>robertSecondsForOneDealUpperLimit</t>
  </si>
  <si>
    <t>Roberts Time4Deal-Formula</t>
  </si>
  <si>
    <t>Roberts offer-Formula</t>
  </si>
  <si>
    <t>Name</t>
  </si>
  <si>
    <t>initialMonsterFedDuration</t>
  </si>
  <si>
    <t>MIN(randOfMinMax + (max.Plants_duration[DealPlants] * 2), max.Plants_duration[DealPlants] + upperLimit)</t>
  </si>
  <si>
    <t>decorationSellDivisor</t>
  </si>
  <si>
    <t>decorationSellDivisorPremium</t>
  </si>
  <si>
    <t>(xpForPlant + xpForHarvest) / robertXpDivisor</t>
  </si>
  <si>
    <t>Unuseable Fields</t>
  </si>
  <si>
    <t>Coins per Wand</t>
  </si>
  <si>
    <t>Wands worth XP (max.)</t>
  </si>
  <si>
    <t>While(robertMaxPlantTypes&gt;0 &amp;&amp; robertMaxAmount&gt;0)
{
Amount_Plant_x = Rand(robertMaxAmount div (robertMaxPlantTypes +1) ,robertMaxAmount) * (Plant_x_crop -1);
robertMaxAmount -= Amount_Plant_x / (Plant_x_crop -1);
robertMaxPlantTypes--;
}</t>
  </si>
  <si>
    <t>Wands per € (Ø-Price)</t>
  </si>
  <si>
    <t>Coins per € (Ø-Price)</t>
  </si>
  <si>
    <t>Maximum Coins a player can have</t>
  </si>
  <si>
    <t>Maximum magicWands a player can have</t>
  </si>
  <si>
    <t>Maximum happyness a player can have</t>
  </si>
  <si>
    <t>Maximum price of a plant (buy &amp; sell)</t>
  </si>
  <si>
    <t>Time to reach everything</t>
  </si>
  <si>
    <t>1 - 1.5 years</t>
  </si>
  <si>
    <t>Total number of plants</t>
  </si>
  <si>
    <t>30 - 50</t>
  </si>
  <si>
    <t>Total number of decorations</t>
  </si>
  <si>
    <t>about 80 (coin- + wand-decorations)</t>
  </si>
  <si>
    <t>Maximum gardensize</t>
  </si>
  <si>
    <t>24 x 24 Fields</t>
  </si>
  <si>
    <t>goal1done</t>
  </si>
  <si>
    <t>goal2done</t>
  </si>
  <si>
    <t>goal3done</t>
  </si>
  <si>
    <t>event</t>
  </si>
  <si>
    <t>level</t>
  </si>
  <si>
    <t>-</t>
  </si>
  <si>
    <t>properties</t>
  </si>
  <si>
    <t>action Requirements</t>
  </si>
  <si>
    <t>b1g2</t>
  </si>
  <si>
    <t>b1g3</t>
  </si>
  <si>
    <t>b2g1</t>
  </si>
  <si>
    <t>b1g1</t>
  </si>
  <si>
    <t>b2g2</t>
  </si>
  <si>
    <t>Total Coins</t>
  </si>
  <si>
    <t>Total XP</t>
  </si>
  <si>
    <t>Splits</t>
  </si>
  <si>
    <t>brunch</t>
  </si>
  <si>
    <t>goal</t>
  </si>
  <si>
    <t>Status</t>
  </si>
  <si>
    <t>Open</t>
  </si>
  <si>
    <t>BumblebeePlant</t>
  </si>
  <si>
    <t>Max.Income/Day</t>
  </si>
  <si>
    <t>Wands</t>
  </si>
  <si>
    <t>Price</t>
  </si>
  <si>
    <t>Bonus</t>
  </si>
  <si>
    <t>Price/Wand</t>
  </si>
  <si>
    <t>Discount</t>
  </si>
  <si>
    <t>Average by Wands</t>
  </si>
  <si>
    <t>Average by packages</t>
  </si>
  <si>
    <t>courrently 0.2</t>
  </si>
  <si>
    <t>Plants</t>
  </si>
  <si>
    <t>XP</t>
  </si>
  <si>
    <t>ID</t>
  </si>
  <si>
    <t>Number</t>
  </si>
  <si>
    <t>XP_Plant_Harvest</t>
  </si>
  <si>
    <t>rwd.xp</t>
  </si>
  <si>
    <t>rwd.coins</t>
  </si>
  <si>
    <t>i.coins received</t>
  </si>
  <si>
    <t>i.XP received</t>
  </si>
  <si>
    <t>i.Coins PG1</t>
  </si>
  <si>
    <t>i.Coins PG2</t>
  </si>
  <si>
    <t>i.Coins PG3</t>
  </si>
  <si>
    <t>i.XP PG1</t>
  </si>
  <si>
    <t>i.XP PG2</t>
  </si>
  <si>
    <t>i.XP PG3</t>
  </si>
  <si>
    <t>i.Coin correction</t>
  </si>
  <si>
    <t>i.XP correction</t>
  </si>
  <si>
    <t>i.Total Coins</t>
  </si>
  <si>
    <t>i.Total XP</t>
  </si>
  <si>
    <t>i.Min. Level</t>
  </si>
  <si>
    <t>i.worth Coins</t>
  </si>
  <si>
    <t>i.worth XP</t>
  </si>
  <si>
    <t>Coins_Plant_Harvest</t>
  </si>
  <si>
    <t>Coins</t>
  </si>
  <si>
    <t>Best Robert-Deal</t>
  </si>
  <si>
    <t>Round</t>
  </si>
  <si>
    <t>Cost-Replay</t>
  </si>
  <si>
    <t>Ø-Reward</t>
  </si>
  <si>
    <t>Chance-2 Win</t>
  </si>
  <si>
    <t>Real Win per Reroll</t>
  </si>
  <si>
    <t>N/A</t>
  </si>
  <si>
    <t>Total with Player Reroll</t>
  </si>
  <si>
    <t>ØReal Win (No Reroll)</t>
  </si>
  <si>
    <t>Possible Total ØWin</t>
  </si>
  <si>
    <t>Strike</t>
  </si>
  <si>
    <t>belong together</t>
  </si>
  <si>
    <t>i.worth</t>
  </si>
  <si>
    <t>Cost in Wands worth Coins</t>
  </si>
  <si>
    <t>i.Ø</t>
  </si>
  <si>
    <t>Cost in Coins or Wands worth Coins</t>
  </si>
  <si>
    <t>i.Coins/Harvest</t>
  </si>
  <si>
    <t>i.XP/h</t>
  </si>
  <si>
    <t>i.Coins/h</t>
  </si>
  <si>
    <t>i.Max.XP/h</t>
  </si>
  <si>
    <t>i.Max.coins/h</t>
  </si>
  <si>
    <t>i.Coins/XP</t>
  </si>
  <si>
    <t>i.XP / Coins</t>
  </si>
  <si>
    <t>i.ØCoins/XP</t>
  </si>
  <si>
    <t>i.ØXP/Coins</t>
  </si>
  <si>
    <t>i.Max.Coins/XP</t>
  </si>
  <si>
    <t>i.Max.XP/Coins</t>
  </si>
  <si>
    <t>i.Wands(1)</t>
  </si>
  <si>
    <t>i.Wands(100)</t>
  </si>
  <si>
    <t>Wands/Plant</t>
  </si>
  <si>
    <t>Babygame Normal Chance (Pay 500 Coins or Wand worth the same, with a 85% Chance of winning for Round 2-4)</t>
  </si>
  <si>
    <t>Babygame 100% Chance (Pay Wands worth 500x6 Coins  with a 100% chance to win every round and triple the winnings)</t>
  </si>
  <si>
    <t>Wands
(without discount)</t>
  </si>
  <si>
    <t>Wand Dicount</t>
  </si>
  <si>
    <t>Wand Prices</t>
  </si>
  <si>
    <t>MWF Best</t>
  </si>
  <si>
    <t>0.16$</t>
  </si>
  <si>
    <t>0.25$</t>
  </si>
  <si>
    <t>Best Price/Wand
in $</t>
  </si>
  <si>
    <t>Worsed Price/Wand
in $</t>
  </si>
  <si>
    <t>Worsed Total
(No Discount)</t>
  </si>
  <si>
    <t>Best Total
(No Discount)</t>
  </si>
  <si>
    <t>MWF Worsed</t>
  </si>
  <si>
    <t>i.LevelAfterTask</t>
  </si>
  <si>
    <t>Gardensize</t>
  </si>
  <si>
    <t>i.Level</t>
  </si>
  <si>
    <t>i.GardenSquares</t>
  </si>
  <si>
    <t>i.duration(s)</t>
  </si>
  <si>
    <t>i.duration(m)</t>
  </si>
  <si>
    <t>i.duration(h)</t>
  </si>
  <si>
    <t>0 - 9 Plants</t>
  </si>
  <si>
    <t>10 - 35 Plants</t>
  </si>
  <si>
    <t>36 - 58 Plants</t>
  </si>
  <si>
    <t>59 - ?? Plants</t>
  </si>
  <si>
    <t>buyable</t>
  </si>
  <si>
    <t>Wands
(with Plant based Discount)</t>
  </si>
  <si>
    <t>Wands
(with Wand based Discount)</t>
  </si>
  <si>
    <t>Wand Dicount by Plant</t>
  </si>
  <si>
    <t>Wand Dicount by Wands</t>
  </si>
  <si>
    <t>dif. Wands
(PB)</t>
  </si>
  <si>
    <t>dif. Wands
(WB)</t>
  </si>
  <si>
    <t>0 - 99 Wands</t>
  </si>
  <si>
    <t>100 - 220 Wands</t>
  </si>
  <si>
    <t>221 - 550 Wands</t>
  </si>
  <si>
    <t>551 - ?? Wands</t>
  </si>
  <si>
    <t>Worsed Total
(PB Discount)</t>
  </si>
  <si>
    <t>Best Total
(PB Discount)</t>
  </si>
  <si>
    <t>Best Total
(WB Discount)</t>
  </si>
  <si>
    <t>Price increase
by +1 Plant
(No Discount)</t>
  </si>
  <si>
    <t>Price increase
by +1 Plant
(PB Discount)</t>
  </si>
  <si>
    <t>38 - 65 Plants</t>
  </si>
  <si>
    <t>66 - ?? Plants</t>
  </si>
  <si>
    <t>10 - 37 Plants</t>
  </si>
  <si>
    <t>Price increase
by +1 Plant
(WD Discount)</t>
  </si>
  <si>
    <t>Min_XP/Deal</t>
  </si>
  <si>
    <t>Robert-Deals</t>
  </si>
  <si>
    <t>Max_XP/Deal</t>
  </si>
  <si>
    <t>Ø_XP/Deal</t>
  </si>
  <si>
    <t>Min_Coins/Deal</t>
  </si>
  <si>
    <t>Max_Coins/Deal</t>
  </si>
  <si>
    <t>Ø_Coins/Deal</t>
  </si>
  <si>
    <t>robertMinAmount</t>
  </si>
  <si>
    <t>rwd.unlockPlant</t>
  </si>
  <si>
    <t>rwd.plantType</t>
  </si>
  <si>
    <t>rwd.plantAmount</t>
  </si>
  <si>
    <t>i.expectedLevel</t>
  </si>
  <si>
    <t>i.happy/size</t>
  </si>
  <si>
    <t>Wand-Coin-Multipl.</t>
  </si>
  <si>
    <t>Wand/Price</t>
  </si>
  <si>
    <t>=100% Bonus</t>
  </si>
  <si>
    <t>i.XP/Harvest</t>
  </si>
  <si>
    <t>i.Min.XP/Coins</t>
  </si>
  <si>
    <t>i.XP/Happy</t>
  </si>
  <si>
    <t>i.Min.Coins/Happy</t>
  </si>
  <si>
    <t>i.Min.XP/Happy</t>
  </si>
  <si>
    <t>i.Max.Coins/Happy</t>
  </si>
  <si>
    <t>i.Øcoins/Happy</t>
  </si>
  <si>
    <t>As price in "Hour-Wands"</t>
  </si>
  <si>
    <t>Shortest-Plants</t>
  </si>
  <si>
    <t>Longest-Plants</t>
  </si>
  <si>
    <t>as 12h plant</t>
  </si>
  <si>
    <t>0.013$ - 0.021$</t>
  </si>
  <si>
    <t>Wand Prices MWF</t>
  </si>
  <si>
    <t>Best</t>
  </si>
  <si>
    <t>Worsed</t>
  </si>
  <si>
    <t>Ø-Plant</t>
  </si>
  <si>
    <t>0.005$ - 0.007$</t>
  </si>
  <si>
    <t>0.002$ - 0.004$</t>
  </si>
  <si>
    <t>0.160$ - 0.250$</t>
  </si>
  <si>
    <t>as 8h plant</t>
  </si>
  <si>
    <t>0.020$ - 0.031$</t>
  </si>
  <si>
    <t>as 23h plant</t>
  </si>
  <si>
    <t>0.007$ - 0.011$</t>
  </si>
  <si>
    <t>b1g4</t>
  </si>
  <si>
    <t>b1g5</t>
  </si>
  <si>
    <t>b1g6</t>
  </si>
  <si>
    <t>b1g7</t>
  </si>
  <si>
    <t>b1g8</t>
  </si>
  <si>
    <t>HotairballoonPlant</t>
  </si>
  <si>
    <t>LadybugPlant</t>
  </si>
  <si>
    <t>b2g3</t>
  </si>
  <si>
    <t>b2g4</t>
  </si>
  <si>
    <t>b2g5</t>
  </si>
  <si>
    <t>b2g6</t>
  </si>
  <si>
    <t>b2g7</t>
  </si>
  <si>
    <t>b2g8</t>
  </si>
  <si>
    <t>b2g9</t>
  </si>
  <si>
    <t>i.Max.XP/Harvest</t>
  </si>
  <si>
    <t>i.Max.Coins/Harvest</t>
  </si>
  <si>
    <t>rwd.wands</t>
  </si>
  <si>
    <t>i.TotalHappy</t>
  </si>
  <si>
    <t>Coinberechnung aufgrund des Wertes einer 1 Stunden-Pflanze</t>
  </si>
  <si>
    <t>Level\Wands</t>
  </si>
  <si>
    <t>At Level 1, +1% per Level</t>
  </si>
  <si>
    <t>ChessPlant</t>
  </si>
  <si>
    <t>category</t>
  </si>
  <si>
    <t>order</t>
  </si>
  <si>
    <t>Specials</t>
  </si>
  <si>
    <t>reviveOffers.1.plantCount</t>
  </si>
  <si>
    <t>reviveOffers.1.priceFactor</t>
  </si>
  <si>
    <t>reviveOffers.2.plantCount</t>
  </si>
  <si>
    <t>reviveOffers.2.priceFactor</t>
  </si>
  <si>
    <t>reviveOffers.3.plantCount</t>
  </si>
  <si>
    <t>reviveOffers.3.priceFactor</t>
  </si>
  <si>
    <t>i.unlocked.PlotExpansion</t>
  </si>
  <si>
    <t>i.unlocked.GardenExpension</t>
  </si>
  <si>
    <t>[1.0, 1.2]</t>
  </si>
  <si>
    <t>driedConfig.driedFactorRangeInStateGrowing</t>
  </si>
  <si>
    <t>driedConfig.driedFactorRangeInStateReady</t>
  </si>
  <si>
    <t>[1.0, 1.7]</t>
  </si>
  <si>
    <t>speedupOffers.1.plantCount</t>
  </si>
  <si>
    <t>speedupOffers.1.priceFactor</t>
  </si>
  <si>
    <t>speedupOffers.2.plantCount</t>
  </si>
  <si>
    <t>speedupOffers.2.priceFactor</t>
  </si>
  <si>
    <t>speedupOffers.3.plantCount</t>
  </si>
  <si>
    <t>speedupOffers.3.priceFactor</t>
  </si>
  <si>
    <t>plantWandEffect</t>
  </si>
  <si>
    <t>expensionWandEffect</t>
  </si>
  <si>
    <t>initialPlotsAndPlants.1.gridPosition.X</t>
  </si>
  <si>
    <t>initialPlotsAndPlants.1.gridPosition.y</t>
  </si>
  <si>
    <t>initialPlotsAndPlants.1.plant.name</t>
  </si>
  <si>
    <t>initialPlotsAndPlants.1.plant.state</t>
  </si>
  <si>
    <t>initialPlotsAndPlants.2.gridPosition.X</t>
  </si>
  <si>
    <t>initialPlotsAndPlants.2.gridPosition.y</t>
  </si>
  <si>
    <t>initialPlotsAndPlants.2.plant.name</t>
  </si>
  <si>
    <t>initialPlotsAndPlants.2.plant.state</t>
  </si>
  <si>
    <t>initialPlotsAndPlants.3.gridPosition.X</t>
  </si>
  <si>
    <t>initialPlotsAndPlants.3.gridPosition.y</t>
  </si>
  <si>
    <t>initialPlotsAndPlants.3.plant.name</t>
  </si>
  <si>
    <t>initialPlotsAndPlants.3.plant.state</t>
  </si>
  <si>
    <t>initialPlotsAndPlants.4.gridPosition.X</t>
  </si>
  <si>
    <t>initialPlotsAndPlants.4.gridPosition.y</t>
  </si>
  <si>
    <t>PlantStateReady</t>
  </si>
  <si>
    <t>initialUnusedPlots</t>
  </si>
  <si>
    <t>priceFactor.robertMaxBuyFactor</t>
  </si>
  <si>
    <t>priceFactor.robertMinBuyFactor</t>
  </si>
  <si>
    <t>secondsForOneDeal.robertSecondsForOneDealMin</t>
  </si>
  <si>
    <t>secondsForOneDeal.robertSecondsForOneDealMax</t>
  </si>
  <si>
    <t>secondsForOneDeal.robertSecondsForOneDealUpperLimit</t>
  </si>
  <si>
    <t>monsterMeals.1.duration</t>
  </si>
  <si>
    <t>monsterMeals.1.price</t>
  </si>
  <si>
    <t>monsterMeals.1.currency</t>
  </si>
  <si>
    <t>monsterMeals.4.duration</t>
  </si>
  <si>
    <t>monsterMeals.4.price</t>
  </si>
  <si>
    <t>monsterMeals.4.currency</t>
  </si>
  <si>
    <t>monsterMeals.3.duration</t>
  </si>
  <si>
    <t>monsterMeals.3.price</t>
  </si>
  <si>
    <t>monsterMeals.3.currency</t>
  </si>
  <si>
    <t>monsterMeals.2.duration</t>
  </si>
  <si>
    <t>monsterMeals.2.price</t>
  </si>
  <si>
    <t>monsterMeals.2.currency</t>
  </si>
  <si>
    <t>i.happyCalc</t>
  </si>
  <si>
    <t>i.happy/field</t>
  </si>
  <si>
    <t>i.gardenFreeFields</t>
  </si>
  <si>
    <t>priceCoins</t>
  </si>
  <si>
    <t>size</t>
  </si>
  <si>
    <t>neededHappyness</t>
  </si>
  <si>
    <t>DonutPlant</t>
  </si>
  <si>
    <t>JackintheboxPlant</t>
  </si>
  <si>
    <t>LuckycatPlant</t>
  </si>
  <si>
    <t>MagicrabbitPlant</t>
  </si>
  <si>
    <t>SwirlpopPlant</t>
  </si>
  <si>
    <t>BonsaiPlant</t>
  </si>
  <si>
    <t>ChairoplanePlant</t>
  </si>
  <si>
    <t>EiffelPlant</t>
  </si>
  <si>
    <t>PillowPlant</t>
  </si>
  <si>
    <t>GiftboxPlant</t>
  </si>
  <si>
    <t>VolcanoPlant</t>
  </si>
  <si>
    <t>BalloonherbPlant</t>
  </si>
  <si>
    <t>DiscoballPlant</t>
  </si>
  <si>
    <t>RainbowpotPlant</t>
  </si>
  <si>
    <t>RainbowspiralPlant</t>
  </si>
  <si>
    <t>SnowglobePlant</t>
  </si>
  <si>
    <t>SunflowerPlant</t>
  </si>
  <si>
    <t>PuzzlepiecePlant</t>
  </si>
  <si>
    <t>[0.5, 0.18]</t>
  </si>
  <si>
    <t>[0.5, 0.15]</t>
  </si>
  <si>
    <t>true</t>
  </si>
  <si>
    <t>[0.5, 0.16]</t>
  </si>
  <si>
    <t>[0.5, 0.07]</t>
  </si>
  <si>
    <t>[0.5, 0.09]</t>
  </si>
  <si>
    <t>[0.5, 0.08]</t>
  </si>
  <si>
    <t>[0.5, -0.07]</t>
  </si>
  <si>
    <t>Buildings</t>
  </si>
  <si>
    <t>[0.21, 0.12]</t>
  </si>
  <si>
    <t>[0.22, 0.10]</t>
  </si>
  <si>
    <t>[0.5, 0.29]</t>
  </si>
  <si>
    <t>[0.5, 0.25]</t>
  </si>
  <si>
    <t>magicWands</t>
  </si>
  <si>
    <t>i.Happydifference</t>
  </si>
  <si>
    <t>i.Leveldifference</t>
  </si>
  <si>
    <t>i."K"/"L"</t>
  </si>
  <si>
    <t>Path&amp;River</t>
  </si>
  <si>
    <t>pathSand</t>
  </si>
  <si>
    <t>Nature</t>
  </si>
  <si>
    <t>flowerbedYellow</t>
  </si>
  <si>
    <t>[0.45, 0.15]</t>
  </si>
  <si>
    <t>[0.5, 0.1]</t>
  </si>
  <si>
    <t>[0.5, 0.37]</t>
  </si>
  <si>
    <t>[0.5, 0.17]</t>
  </si>
  <si>
    <t>[0.5, 0.03]</t>
  </si>
  <si>
    <t>[0.5, 0.02]</t>
  </si>
  <si>
    <t>i.coins/happy</t>
  </si>
  <si>
    <t>i.wands/happy</t>
  </si>
  <si>
    <t>i.Coins/Happy/Level</t>
  </si>
  <si>
    <t>Decorations</t>
  </si>
  <si>
    <t>i.ID</t>
  </si>
  <si>
    <t>[0.45, 0.25]</t>
  </si>
  <si>
    <t>[0.5, 0.2]</t>
  </si>
  <si>
    <t>[0.5, 0.45]</t>
  </si>
  <si>
    <t>[0.5, 0.42]</t>
  </si>
  <si>
    <t>[0.5, 0.41]</t>
  </si>
  <si>
    <t>Maximum Unlock</t>
  </si>
  <si>
    <t>i.CalculatedCoinprice</t>
  </si>
  <si>
    <t>i.happy/80%Fields</t>
  </si>
  <si>
    <t>i.&lt;-Forced?</t>
  </si>
  <si>
    <t>next.1</t>
  </si>
  <si>
    <t>next.2</t>
  </si>
  <si>
    <t>next.3</t>
  </si>
  <si>
    <t>rwd.decorations.1.name</t>
  </si>
  <si>
    <t>rwd.decorations.1.amount</t>
  </si>
  <si>
    <t>rwd.decorations.2.name</t>
  </si>
  <si>
    <t>rwd.decorations.2.amount</t>
  </si>
  <si>
    <t>rwd.plants.1.name</t>
  </si>
  <si>
    <t>rwd.plants.1.amount</t>
  </si>
  <si>
    <t>rwd.plants.2.name</t>
  </si>
  <si>
    <t>rwd.plants.2.amount</t>
  </si>
  <si>
    <t>yes</t>
  </si>
  <si>
    <t>"Rewards"</t>
  </si>
  <si>
    <t>tabIcon</t>
  </si>
  <si>
    <t>storyIcon</t>
  </si>
  <si>
    <t>introCharacterIcon</t>
  </si>
  <si>
    <t>new_goal_monster.png</t>
  </si>
  <si>
    <t>new_goal_robert.png</t>
  </si>
  <si>
    <t>PLACEHOLDER_story_farmer.png</t>
  </si>
  <si>
    <t>PLACEHOLDER_farmer.png</t>
  </si>
  <si>
    <t>PLACEHOLDER_robotron.png</t>
  </si>
  <si>
    <t>action</t>
  </si>
  <si>
    <t>object</t>
  </si>
  <si>
    <t>amount</t>
  </si>
  <si>
    <t>i.plant</t>
  </si>
  <si>
    <t>i.harvest</t>
  </si>
  <si>
    <t>i.sellPlant</t>
  </si>
  <si>
    <t>i.speedupPlant</t>
  </si>
  <si>
    <t>i.revivePlant</t>
  </si>
  <si>
    <t>i.deliver</t>
  </si>
  <si>
    <t>i.buyDecoration</t>
  </si>
  <si>
    <t>i.amount</t>
  </si>
  <si>
    <t>i.moveDecoration</t>
  </si>
  <si>
    <t>i.robertDeal</t>
  </si>
  <si>
    <t>i.robertDealEarnCoins</t>
  </si>
  <si>
    <t>i.addHappyness</t>
  </si>
  <si>
    <t>i.haveHappiness</t>
  </si>
  <si>
    <t>i.expandGarden</t>
  </si>
  <si>
    <t>i.plot</t>
  </si>
  <si>
    <t>i.durationHours</t>
  </si>
  <si>
    <t>i.timecalc</t>
  </si>
  <si>
    <t>i.durationDays</t>
  </si>
  <si>
    <t>Constant</t>
  </si>
  <si>
    <t>i.CalcXP</t>
  </si>
  <si>
    <t>i.Time in Days</t>
  </si>
  <si>
    <t>i.priceInDaylyIncome</t>
  </si>
  <si>
    <t>Ø Total</t>
  </si>
  <si>
    <t>Total Coin Income</t>
  </si>
  <si>
    <t>Max Total</t>
  </si>
  <si>
    <t>Max at Level</t>
  </si>
  <si>
    <t>Ø at Level</t>
  </si>
  <si>
    <t>i.totalPlotcost</t>
  </si>
  <si>
    <t>i.totalIncome</t>
  </si>
  <si>
    <t>i.%ofIncome</t>
  </si>
  <si>
    <t>Plotprice-Balancing</t>
  </si>
  <si>
    <t>i.TotalCost</t>
  </si>
  <si>
    <t>i.Øcoins/hByTime</t>
  </si>
  <si>
    <t>i.ØXP/hByTime</t>
  </si>
  <si>
    <t>i.ØXP/hByPlants</t>
  </si>
  <si>
    <t>i.Øcoins/hByPlants</t>
  </si>
  <si>
    <t>i.Playtime</t>
  </si>
  <si>
    <t>i.totalCoinRewardAtLevel</t>
  </si>
  <si>
    <t>i.totalXPRewardAtLevel</t>
  </si>
  <si>
    <t>i.decoObjects</t>
  </si>
  <si>
    <t>Happyness</t>
  </si>
  <si>
    <t>Coin-Price</t>
  </si>
  <si>
    <t>Selling-Price</t>
  </si>
  <si>
    <t>Coindif</t>
  </si>
  <si>
    <t>Price per Hapopy</t>
  </si>
  <si>
    <t>Check1</t>
  </si>
  <si>
    <t>Difference-60%</t>
  </si>
  <si>
    <t>TotalDecocost</t>
  </si>
  <si>
    <t>TotalIncome</t>
  </si>
  <si>
    <t>Difference</t>
  </si>
  <si>
    <t>Meaning</t>
  </si>
  <si>
    <t>Income</t>
  </si>
  <si>
    <t>Ø-Total</t>
  </si>
  <si>
    <t>Garden</t>
  </si>
  <si>
    <t>Outgoings</t>
  </si>
  <si>
    <t>Income vs Outgoing (Coins)</t>
  </si>
  <si>
    <t>In - Out</t>
  </si>
  <si>
    <t>Out as % of In</t>
  </si>
  <si>
    <t>i.increase</t>
  </si>
  <si>
    <t>tasks</t>
  </si>
  <si>
    <t>b1g9</t>
  </si>
  <si>
    <t>i.worthHappy</t>
  </si>
  <si>
    <t>i.priceCalc</t>
  </si>
  <si>
    <t>i.PriceCalc</t>
  </si>
  <si>
    <t>i.increaseofCoins</t>
  </si>
  <si>
    <t>biggestCoinNeed</t>
  </si>
  <si>
    <t>NeedWorth$</t>
  </si>
  <si>
    <t>biggestNeedWorth$</t>
  </si>
  <si>
    <t>Analyse</t>
  </si>
  <si>
    <t>Real-Cash-Income</t>
  </si>
  <si>
    <t>Ø-Happy</t>
  </si>
  <si>
    <t>i.Happy PG1</t>
  </si>
  <si>
    <t>i.Happy PG2</t>
  </si>
  <si>
    <t>i.Happy PG3</t>
  </si>
  <si>
    <t>i.Happy received</t>
  </si>
  <si>
    <t>i.Happy correction</t>
  </si>
  <si>
    <t>i.priceCopy</t>
  </si>
  <si>
    <t>a.Coins</t>
  </si>
  <si>
    <t>a.Wands</t>
  </si>
  <si>
    <t>a.Freebie</t>
  </si>
  <si>
    <t>a.CoinDecorationworth</t>
  </si>
  <si>
    <t>a.WandDecorationworth</t>
  </si>
  <si>
    <t>a.Plant.Worth</t>
  </si>
  <si>
    <t>a.Plant.Amount</t>
  </si>
  <si>
    <t>b.XP</t>
  </si>
  <si>
    <t>b.Coins</t>
  </si>
  <si>
    <t>b.Wands</t>
  </si>
  <si>
    <t>b.Freebie</t>
  </si>
  <si>
    <t>b.CoinDecorationworth</t>
  </si>
  <si>
    <t>b.WandDecorationworth</t>
  </si>
  <si>
    <t>b.Plant.Worth</t>
  </si>
  <si>
    <t>b.Plant.Amount</t>
  </si>
  <si>
    <t>c.XP</t>
  </si>
  <si>
    <t>c.Coins</t>
  </si>
  <si>
    <t>c.Wands</t>
  </si>
  <si>
    <t>c.Freebie</t>
  </si>
  <si>
    <t>c.CoinDecorationworth</t>
  </si>
  <si>
    <t>c.WandDecorationworth</t>
  </si>
  <si>
    <t>c.Plant.Worth</t>
  </si>
  <si>
    <t>c.Plant.Amount</t>
  </si>
  <si>
    <t>decorationsequence.Path&amp;River</t>
  </si>
  <si>
    <t>available</t>
  </si>
  <si>
    <t>coinSellPrice</t>
  </si>
  <si>
    <t>decorationsequence.Specials</t>
  </si>
  <si>
    <t>decorationsequence.Buildings</t>
  </si>
  <si>
    <t>decorationsequence.Nature</t>
  </si>
  <si>
    <t>decorationsequence.Decorations</t>
  </si>
  <si>
    <t>All these values are only true if the player does nothing else than making his Goals.
Means i.e., that he will not harvest and sell  a Plant if he is only told to plant it.</t>
  </si>
  <si>
    <t>a.XP</t>
  </si>
  <si>
    <t>i.totalWandRewardAtLevel</t>
  </si>
  <si>
    <t>Highlight-Level</t>
  </si>
  <si>
    <t>WoolFlowerPot</t>
  </si>
  <si>
    <t>WoolCat</t>
  </si>
  <si>
    <t>WoolSheep</t>
  </si>
  <si>
    <t>WoolTree</t>
  </si>
  <si>
    <t>WoolTreeShirt</t>
  </si>
  <si>
    <t>WoolBags</t>
  </si>
  <si>
    <t>WoolSock</t>
  </si>
  <si>
    <t>AntHeadquarters</t>
  </si>
  <si>
    <t>PartyTentSmall</t>
  </si>
  <si>
    <t>GazeboModern</t>
  </si>
  <si>
    <t>GazeboLuxury</t>
  </si>
  <si>
    <t>SandcastleSmall</t>
  </si>
  <si>
    <t>SandcastleMedium</t>
  </si>
  <si>
    <t>SandcastleLarge</t>
  </si>
  <si>
    <t>PathSand</t>
  </si>
  <si>
    <t>PathFlowerbed</t>
  </si>
  <si>
    <t>PathPlainRiver</t>
  </si>
  <si>
    <t>PathWoodPlank</t>
  </si>
  <si>
    <t>ClematisWhite</t>
  </si>
  <si>
    <t>ClematisYellow</t>
  </si>
  <si>
    <t>ReporterBush</t>
  </si>
  <si>
    <t>RockStructureSmall</t>
  </si>
  <si>
    <t>RockStructureMedium</t>
  </si>
  <si>
    <t>FlowerbedBlue</t>
  </si>
  <si>
    <t>FlowerbedPurple</t>
  </si>
  <si>
    <t>FlowerbedRed</t>
  </si>
  <si>
    <t>FlowerbedWhite</t>
  </si>
  <si>
    <t>FlowerbedYellow</t>
  </si>
  <si>
    <t>FlowerplanterBlue</t>
  </si>
  <si>
    <t>FlowerplanterGroup</t>
  </si>
  <si>
    <t>BbqGrill</t>
  </si>
  <si>
    <t>BbqCampfire</t>
  </si>
  <si>
    <t>BbqPicnic</t>
  </si>
  <si>
    <t>BbqTable</t>
  </si>
  <si>
    <t>PingPongTable</t>
  </si>
  <si>
    <t>Well</t>
  </si>
  <si>
    <t>WellBucket</t>
  </si>
  <si>
    <t>ArcheologicalDigsiteSmall</t>
  </si>
  <si>
    <t>ArcheologicalDigsiteMedium</t>
  </si>
  <si>
    <t>ArcheologicalDigsiteLarge</t>
  </si>
  <si>
    <t>rwd.decorationType</t>
  </si>
  <si>
    <t>Days to get missing Money</t>
  </si>
  <si>
    <t>BaobabTree</t>
  </si>
  <si>
    <t>BrainTree</t>
  </si>
  <si>
    <t>CherryBlossomTree</t>
  </si>
  <si>
    <t>ChineseFlameTree</t>
  </si>
  <si>
    <t>DragonFruitTree</t>
  </si>
  <si>
    <t>FernBlue</t>
  </si>
  <si>
    <t>FernGreen</t>
  </si>
  <si>
    <t>FernOrange</t>
  </si>
  <si>
    <t>FernYellow</t>
  </si>
  <si>
    <t>GoldenLarchTree</t>
  </si>
  <si>
    <t>SmallFirTree</t>
  </si>
  <si>
    <t>YellowGinkoTree</t>
  </si>
  <si>
    <t>&lt;- max</t>
  </si>
  <si>
    <t>Total</t>
  </si>
  <si>
    <t>Unlocks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</si>
</sst>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
    <numFmt numFmtId="166" formatCode="0.0%"/>
    <numFmt numFmtId="167" formatCode="0.000"/>
    <numFmt numFmtId="168" formatCode="0.000%"/>
    <numFmt numFmtId="169" formatCode="0.0000%"/>
    <numFmt numFmtId="170" formatCode="0.00000"/>
    <numFmt numFmtId="171" formatCode="0.0000"/>
  </numFmts>
  <fonts count="12" x14ac:knownFonts="1">
    <font>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8"/>
      <name val="Calibri"/>
      <family val="2"/>
      <scheme val="minor"/>
    </font>
    <font>
      <sz val="12"/>
      <color rgb="FF000000"/>
      <name val="Calibri"/>
      <family val="2"/>
      <scheme val="minor"/>
    </font>
    <font>
      <sz val="12"/>
      <color rgb="FF000000"/>
      <name val="Calibri"/>
    </font>
    <font>
      <sz val="12"/>
      <color theme="1"/>
      <name val="Calibri"/>
    </font>
    <font>
      <b/>
      <sz val="12"/>
      <color theme="1"/>
      <name val="Calibri"/>
      <family val="2"/>
      <scheme val="minor"/>
    </font>
    <font>
      <sz val="12"/>
      <name val="Calibri"/>
      <scheme val="minor"/>
    </font>
    <font>
      <sz val="12"/>
      <color theme="0" tint="-0.14999847407452621"/>
      <name val="Calibri"/>
      <scheme val="minor"/>
    </font>
  </fonts>
  <fills count="24">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
      <patternFill patternType="solid">
        <fgColor rgb="FFEBF1DE"/>
        <bgColor rgb="FF000000"/>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6" tint="0.59999389629810485"/>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8000"/>
        <bgColor indexed="64"/>
      </patternFill>
    </fill>
    <fill>
      <patternFill patternType="solid">
        <fgColor theme="6"/>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C9F297"/>
        <bgColor rgb="FF000000"/>
      </patternFill>
    </fill>
  </fills>
  <borders count="5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top/>
      <bottom style="medium">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thin">
        <color rgb="FF000000"/>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diagonal/>
    </border>
    <border>
      <left style="thin">
        <color auto="1"/>
      </left>
      <right style="thin">
        <color auto="1"/>
      </right>
      <top/>
      <bottom style="medium">
        <color auto="1"/>
      </bottom>
      <diagonal/>
    </border>
    <border>
      <left style="thin">
        <color auto="1"/>
      </left>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s>
  <cellStyleXfs count="6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1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4" xfId="0" applyBorder="1" applyAlignment="1">
      <alignment horizontal="center" vertical="center"/>
    </xf>
    <xf numFmtId="0" fontId="6" fillId="0" borderId="0"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9" xfId="0" applyBorder="1"/>
    <xf numFmtId="0" fontId="0" fillId="0" borderId="20" xfId="0" applyBorder="1"/>
    <xf numFmtId="0" fontId="0" fillId="0" borderId="0" xfId="0"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vertical="top"/>
    </xf>
    <xf numFmtId="0" fontId="0" fillId="0" borderId="0" xfId="0" applyFont="1" applyAlignment="1">
      <alignment vertical="top"/>
    </xf>
    <xf numFmtId="0" fontId="0" fillId="0" borderId="0" xfId="0" applyFill="1" applyAlignment="1">
      <alignment vertical="top"/>
    </xf>
    <xf numFmtId="0" fontId="0" fillId="3" borderId="0" xfId="0" applyFill="1" applyAlignment="1">
      <alignment horizontal="left" vertical="top"/>
    </xf>
    <xf numFmtId="0" fontId="0" fillId="3" borderId="0" xfId="0" applyFill="1" applyAlignment="1">
      <alignment vertical="top"/>
    </xf>
    <xf numFmtId="0" fontId="9" fillId="0" borderId="0" xfId="0" applyFont="1" applyAlignment="1">
      <alignment vertical="top"/>
    </xf>
    <xf numFmtId="4" fontId="0" fillId="0" borderId="0" xfId="0" applyNumberFormat="1" applyAlignment="1">
      <alignment vertical="top"/>
    </xf>
    <xf numFmtId="4" fontId="8" fillId="0" borderId="0" xfId="0" applyNumberFormat="1" applyFont="1" applyAlignment="1">
      <alignment vertical="top"/>
    </xf>
    <xf numFmtId="4" fontId="7" fillId="0" borderId="0" xfId="0" applyNumberFormat="1" applyFont="1" applyAlignment="1">
      <alignment vertical="top"/>
    </xf>
    <xf numFmtId="4" fontId="0" fillId="3" borderId="0" xfId="0" applyNumberFormat="1" applyFill="1" applyAlignment="1">
      <alignment vertical="top"/>
    </xf>
    <xf numFmtId="4" fontId="0" fillId="3" borderId="0" xfId="0" applyNumberFormat="1" applyFill="1" applyAlignment="1">
      <alignment horizontal="right" vertical="top"/>
    </xf>
    <xf numFmtId="49" fontId="0" fillId="5" borderId="14" xfId="0" applyNumberFormat="1" applyFill="1" applyBorder="1" applyAlignment="1">
      <alignment horizontal="center"/>
    </xf>
    <xf numFmtId="0" fontId="0" fillId="0" borderId="15" xfId="0" applyBorder="1"/>
    <xf numFmtId="0" fontId="0" fillId="0" borderId="13" xfId="0" applyBorder="1"/>
    <xf numFmtId="0" fontId="0" fillId="0" borderId="14" xfId="0" applyBorder="1"/>
    <xf numFmtId="0" fontId="0" fillId="0" borderId="4" xfId="0" applyBorder="1"/>
    <xf numFmtId="0" fontId="0" fillId="0" borderId="5" xfId="0" applyBorder="1"/>
    <xf numFmtId="0" fontId="0" fillId="0" borderId="6"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 xfId="0" applyBorder="1"/>
    <xf numFmtId="0" fontId="0" fillId="0" borderId="2" xfId="0" applyBorder="1"/>
    <xf numFmtId="0" fontId="6" fillId="0" borderId="2" xfId="0" applyFont="1" applyBorder="1"/>
    <xf numFmtId="0" fontId="0" fillId="0" borderId="3" xfId="0" applyBorder="1"/>
    <xf numFmtId="0" fontId="6" fillId="0" borderId="14" xfId="0" applyFont="1" applyBorder="1"/>
    <xf numFmtId="0" fontId="0" fillId="5" borderId="0" xfId="0" applyFill="1" applyAlignment="1">
      <alignment horizontal="center" vertical="center"/>
    </xf>
    <xf numFmtId="0" fontId="0" fillId="5" borderId="0" xfId="0" applyFill="1"/>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0" fillId="0" borderId="23" xfId="0" applyBorder="1" applyAlignment="1">
      <alignment horizontal="center" vertical="center"/>
    </xf>
    <xf numFmtId="0" fontId="7" fillId="2" borderId="24" xfId="0" applyFont="1" applyFill="1" applyBorder="1" applyAlignment="1">
      <alignment horizontal="center" vertical="center"/>
    </xf>
    <xf numFmtId="0" fontId="0" fillId="2" borderId="14" xfId="0" applyFill="1" applyBorder="1" applyAlignment="1">
      <alignment horizontal="center" vertical="center"/>
    </xf>
    <xf numFmtId="0" fontId="6" fillId="4" borderId="14" xfId="0" applyFont="1" applyFill="1" applyBorder="1" applyAlignment="1">
      <alignment horizontal="center" vertical="center"/>
    </xf>
    <xf numFmtId="0" fontId="0" fillId="0" borderId="13" xfId="0" applyBorder="1" applyAlignment="1"/>
    <xf numFmtId="0" fontId="0" fillId="0" borderId="14" xfId="0" applyBorder="1" applyAlignme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0" fillId="0" borderId="14" xfId="0" applyNumberFormat="1" applyBorder="1"/>
    <xf numFmtId="165" fontId="0" fillId="0" borderId="14" xfId="0" applyNumberFormat="1" applyFill="1" applyBorder="1"/>
    <xf numFmtId="165" fontId="0" fillId="0" borderId="14" xfId="0" applyNumberFormat="1" applyBorder="1"/>
    <xf numFmtId="164" fontId="0" fillId="0" borderId="14" xfId="0" applyNumberFormat="1" applyBorder="1"/>
    <xf numFmtId="0" fontId="0" fillId="0" borderId="2" xfId="0" applyBorder="1" applyAlignment="1">
      <alignment horizontal="center"/>
    </xf>
    <xf numFmtId="0" fontId="0" fillId="3" borderId="3" xfId="0" applyFill="1" applyBorder="1" applyAlignment="1">
      <alignment horizontal="center"/>
    </xf>
    <xf numFmtId="0" fontId="0" fillId="0" borderId="21" xfId="0" applyBorder="1" applyAlignment="1">
      <alignment horizontal="center"/>
    </xf>
    <xf numFmtId="0" fontId="0" fillId="0" borderId="22" xfId="0" applyBorder="1"/>
    <xf numFmtId="0" fontId="0" fillId="3" borderId="25" xfId="0" applyFill="1" applyBorder="1" applyAlignment="1">
      <alignment horizontal="center"/>
    </xf>
    <xf numFmtId="3" fontId="0" fillId="0" borderId="26" xfId="0" applyNumberFormat="1" applyFill="1" applyBorder="1"/>
    <xf numFmtId="0" fontId="0" fillId="3" borderId="1" xfId="0" applyFill="1" applyBorder="1" applyAlignment="1">
      <alignment horizontal="center"/>
    </xf>
    <xf numFmtId="3" fontId="0" fillId="0" borderId="13" xfId="0" applyNumberFormat="1" applyBorder="1"/>
    <xf numFmtId="0" fontId="0" fillId="0" borderId="0" xfId="0" applyAlignment="1">
      <alignment horizontal="center"/>
    </xf>
    <xf numFmtId="0" fontId="0" fillId="6" borderId="3" xfId="0" applyFill="1" applyBorder="1"/>
    <xf numFmtId="0" fontId="0" fillId="6" borderId="15" xfId="0" applyFill="1" applyBorder="1"/>
    <xf numFmtId="0" fontId="0" fillId="6" borderId="14" xfId="0" applyFill="1" applyBorder="1"/>
    <xf numFmtId="0" fontId="0" fillId="6" borderId="13" xfId="0" applyFill="1" applyBorder="1"/>
    <xf numFmtId="165" fontId="0" fillId="0" borderId="0" xfId="0" applyNumberFormat="1"/>
    <xf numFmtId="1" fontId="0" fillId="0" borderId="0" xfId="0" applyNumberFormat="1"/>
    <xf numFmtId="0" fontId="0" fillId="6" borderId="0" xfId="0" applyFill="1"/>
    <xf numFmtId="0" fontId="0" fillId="6" borderId="0" xfId="0" applyFill="1" applyBorder="1"/>
    <xf numFmtId="0" fontId="0" fillId="2" borderId="15" xfId="0" applyFill="1" applyBorder="1"/>
    <xf numFmtId="0" fontId="0" fillId="7" borderId="13" xfId="0" applyFill="1" applyBorder="1" applyAlignment="1"/>
    <xf numFmtId="0" fontId="0" fillId="7" borderId="15" xfId="0" applyFill="1" applyBorder="1" applyAlignment="1"/>
    <xf numFmtId="0" fontId="0" fillId="7" borderId="13" xfId="0" applyFill="1" applyBorder="1"/>
    <xf numFmtId="0" fontId="0" fillId="7" borderId="15" xfId="0" applyFill="1" applyBorder="1"/>
    <xf numFmtId="0" fontId="0" fillId="7" borderId="4" xfId="0" applyFill="1" applyBorder="1"/>
    <xf numFmtId="0" fontId="0" fillId="7" borderId="6" xfId="0" applyFill="1" applyBorder="1"/>
    <xf numFmtId="0" fontId="6" fillId="8" borderId="13" xfId="0" applyFont="1" applyFill="1" applyBorder="1"/>
    <xf numFmtId="0" fontId="0" fillId="9" borderId="13" xfId="0" applyFill="1" applyBorder="1" applyAlignment="1"/>
    <xf numFmtId="0" fontId="0" fillId="9" borderId="15" xfId="0" applyFill="1" applyBorder="1" applyAlignment="1"/>
    <xf numFmtId="0" fontId="0" fillId="9" borderId="13" xfId="0" applyFill="1" applyBorder="1"/>
    <xf numFmtId="0" fontId="0" fillId="9" borderId="4" xfId="0" applyFill="1" applyBorder="1"/>
    <xf numFmtId="0" fontId="6" fillId="10" borderId="13" xfId="0" applyFont="1" applyFill="1" applyBorder="1"/>
    <xf numFmtId="0" fontId="0" fillId="11" borderId="13" xfId="0" applyFill="1" applyBorder="1" applyAlignment="1"/>
    <xf numFmtId="0" fontId="0" fillId="11" borderId="15" xfId="0" applyFill="1" applyBorder="1" applyAlignment="1"/>
    <xf numFmtId="0" fontId="0" fillId="11" borderId="13" xfId="0" applyFill="1" applyBorder="1"/>
    <xf numFmtId="0" fontId="0" fillId="11" borderId="15" xfId="0" applyFill="1" applyBorder="1"/>
    <xf numFmtId="0" fontId="0" fillId="11" borderId="4" xfId="0" applyFill="1" applyBorder="1"/>
    <xf numFmtId="49" fontId="0" fillId="2" borderId="13" xfId="0" applyNumberFormat="1" applyFill="1" applyBorder="1" applyAlignment="1">
      <alignment horizontal="center"/>
    </xf>
    <xf numFmtId="49" fontId="0" fillId="2" borderId="14" xfId="0" applyNumberFormat="1" applyFill="1" applyBorder="1" applyAlignment="1">
      <alignment horizontal="center"/>
    </xf>
    <xf numFmtId="49" fontId="0" fillId="2" borderId="15" xfId="0" applyNumberFormat="1" applyFill="1" applyBorder="1" applyAlignment="1">
      <alignment horizontal="center"/>
    </xf>
    <xf numFmtId="0" fontId="0" fillId="12" borderId="12" xfId="0" applyFill="1" applyBorder="1" applyAlignment="1">
      <alignment horizontal="center" vertical="center"/>
    </xf>
    <xf numFmtId="0" fontId="0" fillId="12" borderId="5" xfId="0" applyFill="1" applyBorder="1" applyAlignment="1">
      <alignment horizontal="center" vertical="center"/>
    </xf>
    <xf numFmtId="0" fontId="0" fillId="12" borderId="6" xfId="0" applyFill="1" applyBorder="1" applyAlignment="1">
      <alignment horizontal="center" vertical="center"/>
    </xf>
    <xf numFmtId="166" fontId="0" fillId="0" borderId="14" xfId="0" applyNumberFormat="1" applyBorder="1"/>
    <xf numFmtId="166" fontId="0" fillId="0" borderId="5" xfId="0" applyNumberFormat="1" applyBorder="1"/>
    <xf numFmtId="167" fontId="0" fillId="0" borderId="0" xfId="0" applyNumberFormat="1"/>
    <xf numFmtId="0" fontId="0" fillId="0" borderId="27" xfId="0" applyBorder="1" applyAlignment="1"/>
    <xf numFmtId="166" fontId="0" fillId="0" borderId="27" xfId="0" applyNumberFormat="1" applyBorder="1" applyAlignment="1"/>
    <xf numFmtId="167" fontId="0" fillId="0" borderId="27" xfId="0" applyNumberFormat="1" applyBorder="1"/>
    <xf numFmtId="166" fontId="0" fillId="0" borderId="27" xfId="0" applyNumberFormat="1" applyFill="1" applyBorder="1"/>
    <xf numFmtId="167" fontId="0" fillId="0" borderId="0" xfId="0" applyNumberFormat="1" applyBorder="1"/>
    <xf numFmtId="166" fontId="0" fillId="0" borderId="0" xfId="0" applyNumberFormat="1" applyFill="1" applyBorder="1"/>
    <xf numFmtId="166" fontId="0" fillId="0" borderId="0" xfId="0" applyNumberFormat="1" applyFill="1" applyBorder="1" applyAlignment="1"/>
    <xf numFmtId="0" fontId="0" fillId="0" borderId="0" xfId="0" applyBorder="1" applyAlignment="1"/>
    <xf numFmtId="4" fontId="0" fillId="13" borderId="0" xfId="0" applyNumberFormat="1" applyFill="1" applyAlignment="1">
      <alignment vertical="top"/>
    </xf>
    <xf numFmtId="167" fontId="0" fillId="6" borderId="14" xfId="0" applyNumberFormat="1" applyFill="1" applyBorder="1"/>
    <xf numFmtId="166" fontId="0" fillId="6" borderId="14" xfId="0" applyNumberFormat="1" applyFill="1" applyBorder="1"/>
    <xf numFmtId="167" fontId="0" fillId="6" borderId="5" xfId="0" applyNumberFormat="1" applyFill="1" applyBorder="1"/>
    <xf numFmtId="10" fontId="0" fillId="6" borderId="5" xfId="0" applyNumberFormat="1" applyFill="1" applyBorder="1"/>
    <xf numFmtId="166" fontId="0" fillId="6" borderId="5" xfId="0" applyNumberFormat="1" applyFill="1" applyBorder="1"/>
    <xf numFmtId="0" fontId="0" fillId="6" borderId="4" xfId="0" applyFill="1" applyBorder="1"/>
    <xf numFmtId="166" fontId="0" fillId="6" borderId="15" xfId="0" applyNumberFormat="1" applyFill="1" applyBorder="1"/>
    <xf numFmtId="166" fontId="0" fillId="6" borderId="6" xfId="0" applyNumberFormat="1" applyFill="1" applyBorder="1"/>
    <xf numFmtId="0" fontId="0" fillId="13" borderId="0" xfId="0" applyFill="1" applyAlignment="1">
      <alignment vertical="top"/>
    </xf>
    <xf numFmtId="4" fontId="0" fillId="13" borderId="0" xfId="0" applyNumberFormat="1" applyFill="1" applyAlignment="1">
      <alignment vertical="top" wrapText="1"/>
    </xf>
    <xf numFmtId="49" fontId="0" fillId="0" borderId="0" xfId="0" applyNumberFormat="1" applyFill="1" applyBorder="1" applyAlignment="1">
      <alignment horizontal="center"/>
    </xf>
    <xf numFmtId="0" fontId="11" fillId="5" borderId="0" xfId="0" applyFont="1" applyFill="1"/>
    <xf numFmtId="0" fontId="9" fillId="0" borderId="0" xfId="0" applyFont="1" applyAlignment="1">
      <alignment horizontal="center"/>
    </xf>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2" fontId="0" fillId="0" borderId="0" xfId="0" applyNumberFormat="1"/>
    <xf numFmtId="0" fontId="0" fillId="0" borderId="3"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xf>
    <xf numFmtId="1" fontId="0" fillId="0" borderId="14" xfId="0" applyNumberFormat="1" applyBorder="1"/>
    <xf numFmtId="0" fontId="6" fillId="0" borderId="37" xfId="0" applyFont="1" applyBorder="1"/>
    <xf numFmtId="0" fontId="6" fillId="0" borderId="30" xfId="0" applyFont="1" applyBorder="1"/>
    <xf numFmtId="10" fontId="6" fillId="0" borderId="37" xfId="0" applyNumberFormat="1" applyFont="1" applyBorder="1"/>
    <xf numFmtId="1" fontId="6" fillId="0" borderId="37" xfId="0" applyNumberFormat="1" applyFont="1" applyBorder="1"/>
    <xf numFmtId="1" fontId="0" fillId="2" borderId="14" xfId="0" applyNumberFormat="1" applyFill="1" applyBorder="1"/>
    <xf numFmtId="0" fontId="0" fillId="2" borderId="14" xfId="0" applyFill="1" applyBorder="1" applyAlignment="1">
      <alignment horizontal="right"/>
    </xf>
    <xf numFmtId="0" fontId="0" fillId="2" borderId="14" xfId="0" applyFill="1" applyBorder="1"/>
    <xf numFmtId="3" fontId="0" fillId="2" borderId="15" xfId="0" applyNumberFormat="1" applyFill="1" applyBorder="1" applyAlignment="1">
      <alignment horizontal="right"/>
    </xf>
    <xf numFmtId="3" fontId="0" fillId="2" borderId="15" xfId="0" applyNumberFormat="1" applyFill="1" applyBorder="1"/>
    <xf numFmtId="3" fontId="0" fillId="0" borderId="0" xfId="0" applyNumberFormat="1"/>
    <xf numFmtId="1" fontId="0" fillId="0" borderId="14" xfId="0" applyNumberFormat="1" applyBorder="1" applyAlignment="1">
      <alignment horizontal="right"/>
    </xf>
    <xf numFmtId="0" fontId="0" fillId="14" borderId="0" xfId="0" applyFill="1"/>
    <xf numFmtId="10" fontId="0" fillId="14" borderId="0" xfId="0" applyNumberFormat="1" applyFill="1"/>
    <xf numFmtId="0" fontId="9" fillId="5" borderId="0" xfId="0" applyFont="1" applyFill="1" applyAlignment="1">
      <alignment horizontal="center"/>
    </xf>
    <xf numFmtId="9" fontId="0" fillId="0" borderId="0" xfId="0" applyNumberFormat="1"/>
    <xf numFmtId="1" fontId="0" fillId="6" borderId="13" xfId="0" applyNumberFormat="1" applyFill="1" applyBorder="1"/>
    <xf numFmtId="10" fontId="0" fillId="0" borderId="15" xfId="0" applyNumberFormat="1" applyBorder="1"/>
    <xf numFmtId="0" fontId="9" fillId="15" borderId="1" xfId="0" applyFont="1" applyFill="1" applyBorder="1"/>
    <xf numFmtId="0" fontId="9" fillId="15" borderId="2" xfId="0" applyFont="1" applyFill="1" applyBorder="1"/>
    <xf numFmtId="167" fontId="9" fillId="15" borderId="2" xfId="0" applyNumberFormat="1" applyFont="1" applyFill="1" applyBorder="1"/>
    <xf numFmtId="0" fontId="0" fillId="15" borderId="2" xfId="0" applyFill="1" applyBorder="1"/>
    <xf numFmtId="0" fontId="0" fillId="15" borderId="3" xfId="0" applyFill="1" applyBorder="1"/>
    <xf numFmtId="0" fontId="9" fillId="15" borderId="1" xfId="0" applyFont="1" applyFill="1" applyBorder="1" applyAlignment="1">
      <alignment horizontal="center"/>
    </xf>
    <xf numFmtId="0" fontId="9" fillId="15" borderId="2" xfId="0" applyFont="1" applyFill="1" applyBorder="1" applyAlignment="1">
      <alignment horizontal="center"/>
    </xf>
    <xf numFmtId="0" fontId="9" fillId="15" borderId="2" xfId="0" applyFont="1" applyFill="1" applyBorder="1" applyAlignment="1">
      <alignment horizontal="center" wrapText="1"/>
    </xf>
    <xf numFmtId="0" fontId="9" fillId="15" borderId="1" xfId="0" applyFont="1" applyFill="1" applyBorder="1" applyAlignment="1">
      <alignment horizontal="center" wrapText="1"/>
    </xf>
    <xf numFmtId="4" fontId="0" fillId="0" borderId="0" xfId="0" applyNumberFormat="1"/>
    <xf numFmtId="9" fontId="0" fillId="0" borderId="14" xfId="0" applyNumberFormat="1" applyBorder="1"/>
    <xf numFmtId="167" fontId="0" fillId="0" borderId="13" xfId="0" applyNumberFormat="1" applyBorder="1"/>
    <xf numFmtId="2" fontId="0" fillId="0" borderId="15" xfId="0" applyNumberFormat="1" applyBorder="1"/>
    <xf numFmtId="2" fontId="0" fillId="0" borderId="5" xfId="0" applyNumberFormat="1" applyBorder="1"/>
    <xf numFmtId="168" fontId="6" fillId="0" borderId="37" xfId="0" applyNumberFormat="1" applyFont="1" applyBorder="1"/>
    <xf numFmtId="169" fontId="0" fillId="14" borderId="0" xfId="0" applyNumberFormat="1" applyFill="1"/>
    <xf numFmtId="0" fontId="9" fillId="0" borderId="0" xfId="0" applyFont="1" applyAlignment="1"/>
    <xf numFmtId="0" fontId="0" fillId="0" borderId="14" xfId="0" applyBorder="1" applyAlignment="1">
      <alignment horizontal="center" vertical="center"/>
    </xf>
    <xf numFmtId="0" fontId="0" fillId="0" borderId="0" xfId="0" applyAlignment="1">
      <alignment horizontal="center"/>
    </xf>
    <xf numFmtId="0" fontId="0" fillId="0" borderId="14" xfId="0" applyBorder="1" applyAlignment="1">
      <alignment horizontal="right"/>
    </xf>
    <xf numFmtId="0" fontId="0" fillId="0" borderId="0" xfId="0" applyAlignment="1">
      <alignment horizontal="center" vertical="center"/>
    </xf>
    <xf numFmtId="0" fontId="0" fillId="7" borderId="14" xfId="0" applyFill="1" applyBorder="1"/>
    <xf numFmtId="0" fontId="0" fillId="17" borderId="14" xfId="0" applyFill="1" applyBorder="1"/>
    <xf numFmtId="0" fontId="0" fillId="16" borderId="14" xfId="0" applyFill="1" applyBorder="1"/>
    <xf numFmtId="0" fontId="0" fillId="18" borderId="14" xfId="0" applyFill="1" applyBorder="1"/>
    <xf numFmtId="0" fontId="0" fillId="9" borderId="14" xfId="0" applyFill="1" applyBorder="1"/>
    <xf numFmtId="0" fontId="9" fillId="16" borderId="2" xfId="0" applyFont="1" applyFill="1" applyBorder="1" applyAlignment="1">
      <alignment horizontal="center" wrapText="1"/>
    </xf>
    <xf numFmtId="0" fontId="9" fillId="17" borderId="2" xfId="0" applyFont="1" applyFill="1" applyBorder="1" applyAlignment="1">
      <alignment horizontal="center" wrapText="1"/>
    </xf>
    <xf numFmtId="2" fontId="0" fillId="0" borderId="22" xfId="0" applyNumberFormat="1" applyBorder="1"/>
    <xf numFmtId="2" fontId="0" fillId="0" borderId="39" xfId="0" applyNumberFormat="1" applyBorder="1"/>
    <xf numFmtId="0" fontId="0" fillId="0" borderId="32" xfId="0" applyBorder="1"/>
    <xf numFmtId="0" fontId="9" fillId="16" borderId="21" xfId="0" applyFont="1" applyFill="1" applyBorder="1" applyAlignment="1">
      <alignment horizontal="center" wrapText="1"/>
    </xf>
    <xf numFmtId="0" fontId="9" fillId="17" borderId="3" xfId="0" applyFont="1" applyFill="1" applyBorder="1" applyAlignment="1">
      <alignment horizontal="center" wrapText="1"/>
    </xf>
    <xf numFmtId="10" fontId="0" fillId="0" borderId="14" xfId="0" applyNumberFormat="1" applyBorder="1"/>
    <xf numFmtId="0" fontId="0" fillId="6" borderId="38" xfId="0" applyFill="1" applyBorder="1"/>
    <xf numFmtId="0" fontId="0" fillId="12" borderId="38" xfId="0" applyFill="1" applyBorder="1" applyAlignment="1">
      <alignment horizontal="center" vertical="center"/>
    </xf>
    <xf numFmtId="0" fontId="0" fillId="0" borderId="0" xfId="0" applyFill="1"/>
    <xf numFmtId="0" fontId="0" fillId="0" borderId="3"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xf>
    <xf numFmtId="0" fontId="0" fillId="0" borderId="22" xfId="0" applyBorder="1" applyAlignment="1">
      <alignment horizontal="center"/>
    </xf>
    <xf numFmtId="0" fontId="0" fillId="0" borderId="39" xfId="0" applyBorder="1"/>
    <xf numFmtId="49" fontId="0" fillId="12" borderId="14" xfId="0" applyNumberFormat="1" applyFill="1" applyBorder="1" applyAlignment="1">
      <alignment horizontal="center"/>
    </xf>
    <xf numFmtId="1" fontId="0" fillId="0" borderId="15" xfId="0" applyNumberFormat="1" applyFill="1" applyBorder="1"/>
    <xf numFmtId="1" fontId="0" fillId="0" borderId="0" xfId="0" applyNumberFormat="1" applyFill="1" applyBorder="1"/>
    <xf numFmtId="170" fontId="0" fillId="6" borderId="14" xfId="0" applyNumberFormat="1" applyFill="1" applyBorder="1"/>
    <xf numFmtId="170" fontId="0" fillId="6" borderId="5" xfId="0" applyNumberFormat="1" applyFill="1" applyBorder="1"/>
    <xf numFmtId="170" fontId="0" fillId="0" borderId="27" xfId="0" applyNumberFormat="1" applyBorder="1"/>
    <xf numFmtId="170" fontId="0" fillId="0" borderId="0" xfId="0" applyNumberFormat="1" applyBorder="1"/>
    <xf numFmtId="0" fontId="9" fillId="0" borderId="6" xfId="0" quotePrefix="1" applyFont="1" applyBorder="1"/>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6" xfId="0" applyBorder="1" applyAlignment="1"/>
    <xf numFmtId="0" fontId="0" fillId="0" borderId="17" xfId="0" applyBorder="1" applyAlignment="1"/>
    <xf numFmtId="0" fontId="0" fillId="0" borderId="0" xfId="0"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19" borderId="13" xfId="0" applyFill="1" applyBorder="1"/>
    <xf numFmtId="0" fontId="0" fillId="19" borderId="14" xfId="0" applyFill="1" applyBorder="1"/>
    <xf numFmtId="0" fontId="0" fillId="19" borderId="15" xfId="0" applyFill="1" applyBorder="1"/>
    <xf numFmtId="0" fontId="9" fillId="0" borderId="0" xfId="0" applyFont="1" applyAlignment="1">
      <alignment horizontal="center"/>
    </xf>
    <xf numFmtId="0" fontId="0" fillId="0" borderId="0" xfId="0" applyAlignment="1"/>
    <xf numFmtId="0" fontId="9" fillId="0" borderId="41" xfId="0" applyFont="1" applyBorder="1"/>
    <xf numFmtId="0" fontId="0" fillId="0" borderId="7" xfId="0" applyBorder="1"/>
    <xf numFmtId="0" fontId="0" fillId="0" borderId="42" xfId="0" applyBorder="1"/>
    <xf numFmtId="0" fontId="9" fillId="0" borderId="40" xfId="0" applyFont="1" applyBorder="1"/>
    <xf numFmtId="0" fontId="0" fillId="0" borderId="9" xfId="0"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25" xfId="0" applyFont="1" applyBorder="1" applyAlignment="1">
      <alignment horizontal="center"/>
    </xf>
    <xf numFmtId="0" fontId="0" fillId="0" borderId="26" xfId="0" applyBorder="1"/>
    <xf numFmtId="0" fontId="9" fillId="0" borderId="19" xfId="0" applyFont="1" applyBorder="1" applyAlignment="1">
      <alignment horizontal="center"/>
    </xf>
    <xf numFmtId="0" fontId="0" fillId="0" borderId="14" xfId="0" applyBorder="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0" borderId="0" xfId="0" applyBorder="1"/>
    <xf numFmtId="0" fontId="9" fillId="0" borderId="0" xfId="0" applyFont="1"/>
    <xf numFmtId="4" fontId="0" fillId="0" borderId="0" xfId="0" applyNumberFormat="1" applyAlignment="1">
      <alignment horizontal="right" vertical="top"/>
    </xf>
    <xf numFmtId="0" fontId="0" fillId="0" borderId="0" xfId="0" applyAlignment="1">
      <alignment horizontal="right"/>
    </xf>
    <xf numFmtId="0" fontId="0" fillId="0" borderId="0" xfId="0" applyBorder="1" applyAlignment="1">
      <alignment horizontal="center" vertical="center"/>
    </xf>
    <xf numFmtId="0" fontId="0" fillId="0" borderId="5" xfId="0" applyBorder="1" applyAlignment="1">
      <alignment vertical="center"/>
    </xf>
    <xf numFmtId="0" fontId="0" fillId="0" borderId="0" xfId="0" applyBorder="1" applyAlignment="1">
      <alignment horizontal="right" vertical="center"/>
    </xf>
    <xf numFmtId="0" fontId="0" fillId="0" borderId="0" xfId="0" applyBorder="1" applyAlignment="1">
      <alignment horizontal="right"/>
    </xf>
    <xf numFmtId="0" fontId="0" fillId="0" borderId="0" xfId="0" applyAlignment="1">
      <alignment horizontal="right" vertical="center"/>
    </xf>
    <xf numFmtId="0" fontId="0" fillId="0" borderId="0" xfId="0" applyAlignment="1">
      <alignment horizontal="center" vertical="center"/>
    </xf>
    <xf numFmtId="0" fontId="0" fillId="13" borderId="15" xfId="0" applyFill="1" applyBorder="1"/>
    <xf numFmtId="0" fontId="0" fillId="13" borderId="15" xfId="0" applyFont="1" applyFill="1" applyBorder="1"/>
    <xf numFmtId="0" fontId="0" fillId="20" borderId="15" xfId="0" applyFill="1" applyBorder="1"/>
    <xf numFmtId="3" fontId="0" fillId="0" borderId="14" xfId="0" applyNumberFormat="1" applyBorder="1" applyAlignment="1">
      <alignment horizontal="right"/>
    </xf>
    <xf numFmtId="4" fontId="0" fillId="0" borderId="14" xfId="0" applyNumberFormat="1" applyBorder="1" applyAlignment="1">
      <alignment horizontal="right"/>
    </xf>
    <xf numFmtId="0" fontId="0" fillId="0" borderId="25" xfId="0" applyBorder="1"/>
    <xf numFmtId="0" fontId="10" fillId="0" borderId="15" xfId="0" applyFont="1" applyBorder="1"/>
    <xf numFmtId="0" fontId="0" fillId="12" borderId="3" xfId="0" applyFill="1" applyBorder="1"/>
    <xf numFmtId="0" fontId="0" fillId="12" borderId="15" xfId="0" applyFill="1" applyBorder="1"/>
    <xf numFmtId="0" fontId="0" fillId="12" borderId="13" xfId="0" applyFill="1" applyBorder="1"/>
    <xf numFmtId="0" fontId="0" fillId="0" borderId="16" xfId="0" applyBorder="1"/>
    <xf numFmtId="171" fontId="0" fillId="0" borderId="0" xfId="0" applyNumberFormat="1"/>
    <xf numFmtId="0" fontId="0" fillId="3" borderId="0" xfId="0"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10" fontId="0" fillId="0" borderId="0" xfId="0" applyNumberFormat="1" applyAlignment="1">
      <alignment horizontal="right" vertical="center"/>
    </xf>
    <xf numFmtId="0" fontId="0" fillId="0" borderId="0" xfId="0" applyFill="1" applyAlignment="1">
      <alignment horizontal="center" vertical="center"/>
    </xf>
    <xf numFmtId="0" fontId="0" fillId="0" borderId="19" xfId="0" applyBorder="1" applyAlignment="1">
      <alignment horizontal="right"/>
    </xf>
    <xf numFmtId="0" fontId="0" fillId="5" borderId="0" xfId="0" applyFill="1" applyAlignment="1">
      <alignment horizontal="right" vertical="center"/>
    </xf>
    <xf numFmtId="0" fontId="0" fillId="0" borderId="0" xfId="0" applyFill="1" applyAlignment="1">
      <alignment horizontal="right" vertical="center"/>
    </xf>
    <xf numFmtId="171" fontId="0" fillId="0" borderId="14" xfId="0" applyNumberFormat="1" applyBorder="1"/>
    <xf numFmtId="2" fontId="0" fillId="0" borderId="0" xfId="0" applyNumberFormat="1" applyAlignment="1">
      <alignment horizontal="right" vertical="center"/>
    </xf>
    <xf numFmtId="0" fontId="0" fillId="0" borderId="0" xfId="0" applyAlignment="1">
      <alignment horizontal="center"/>
    </xf>
    <xf numFmtId="10" fontId="0" fillId="0" borderId="0" xfId="0" applyNumberFormat="1"/>
    <xf numFmtId="0" fontId="0" fillId="0" borderId="9" xfId="0" applyBorder="1" applyAlignment="1"/>
    <xf numFmtId="0" fontId="0" fillId="0" borderId="11" xfId="0" applyBorder="1" applyAlignment="1"/>
    <xf numFmtId="0" fontId="0" fillId="5" borderId="0" xfId="0" applyFill="1" applyBorder="1" applyAlignment="1">
      <alignment horizontal="center"/>
    </xf>
    <xf numFmtId="0" fontId="0" fillId="5" borderId="43" xfId="0" applyFill="1" applyBorder="1" applyAlignment="1">
      <alignment horizontal="center"/>
    </xf>
    <xf numFmtId="49" fontId="0" fillId="5" borderId="44" xfId="0" applyNumberFormat="1" applyFill="1" applyBorder="1" applyAlignment="1">
      <alignment horizontal="center"/>
    </xf>
    <xf numFmtId="0" fontId="0" fillId="5" borderId="44" xfId="0" applyFill="1" applyBorder="1"/>
    <xf numFmtId="0" fontId="0" fillId="5" borderId="0" xfId="0" applyFill="1" applyBorder="1"/>
    <xf numFmtId="49" fontId="9" fillId="2" borderId="13" xfId="0" applyNumberFormat="1" applyFont="1" applyFill="1" applyBorder="1" applyAlignment="1">
      <alignment horizontal="center"/>
    </xf>
    <xf numFmtId="49" fontId="9" fillId="2" borderId="14" xfId="0" applyNumberFormat="1" applyFont="1" applyFill="1" applyBorder="1" applyAlignment="1">
      <alignment horizontal="center"/>
    </xf>
    <xf numFmtId="0" fontId="0" fillId="0" borderId="0" xfId="0" applyAlignment="1">
      <alignment horizontal="center"/>
    </xf>
    <xf numFmtId="0" fontId="9" fillId="19" borderId="19" xfId="0" applyFont="1" applyFill="1" applyBorder="1"/>
    <xf numFmtId="0" fontId="9" fillId="19" borderId="20" xfId="0" applyFont="1" applyFill="1" applyBorder="1"/>
    <xf numFmtId="0" fontId="9" fillId="19" borderId="40" xfId="0" applyFont="1" applyFill="1" applyBorder="1"/>
    <xf numFmtId="0" fontId="9" fillId="19" borderId="45" xfId="0" applyFont="1" applyFill="1" applyBorder="1"/>
    <xf numFmtId="0" fontId="0" fillId="19" borderId="30" xfId="0" applyFill="1" applyBorder="1"/>
    <xf numFmtId="0" fontId="0" fillId="19" borderId="34" xfId="0" applyFill="1" applyBorder="1"/>
    <xf numFmtId="0" fontId="0" fillId="19" borderId="1" xfId="0" applyFill="1" applyBorder="1"/>
    <xf numFmtId="0" fontId="0" fillId="19" borderId="2" xfId="0" applyFill="1" applyBorder="1"/>
    <xf numFmtId="0" fontId="0" fillId="19" borderId="4" xfId="0" applyFill="1" applyBorder="1"/>
    <xf numFmtId="0" fontId="0" fillId="19" borderId="5" xfId="0" applyFill="1" applyBorder="1"/>
    <xf numFmtId="0" fontId="0" fillId="0" borderId="0" xfId="0"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0" fillId="0" borderId="0" xfId="0" applyFont="1" applyFill="1" applyAlignment="1">
      <alignment horizontal="center"/>
    </xf>
    <xf numFmtId="0" fontId="10" fillId="0" borderId="0" xfId="0" applyFont="1" applyFill="1"/>
    <xf numFmtId="0" fontId="9" fillId="19" borderId="42" xfId="0" applyFont="1" applyFill="1" applyBorder="1"/>
    <xf numFmtId="0" fontId="0" fillId="19" borderId="33" xfId="0" applyFill="1" applyBorder="1"/>
    <xf numFmtId="0" fontId="0" fillId="5" borderId="35" xfId="0" applyFill="1" applyBorder="1"/>
    <xf numFmtId="0" fontId="0" fillId="19" borderId="3" xfId="0" applyFill="1" applyBorder="1"/>
    <xf numFmtId="0" fontId="0" fillId="0" borderId="27" xfId="0" applyFill="1" applyBorder="1"/>
    <xf numFmtId="0" fontId="0" fillId="0" borderId="27" xfId="0" applyBorder="1"/>
    <xf numFmtId="1" fontId="0" fillId="0" borderId="27" xfId="0" applyNumberFormat="1" applyBorder="1"/>
    <xf numFmtId="0" fontId="0" fillId="0" borderId="0" xfId="0" applyFill="1" applyBorder="1"/>
    <xf numFmtId="1" fontId="0" fillId="0" borderId="0" xfId="0" applyNumberFormat="1" applyBorder="1"/>
    <xf numFmtId="0" fontId="0" fillId="5" borderId="46" xfId="0" applyFill="1" applyBorder="1"/>
    <xf numFmtId="0" fontId="0" fillId="19" borderId="6" xfId="0" applyFill="1" applyBorder="1"/>
    <xf numFmtId="0" fontId="0" fillId="0" borderId="10" xfId="0" applyFill="1" applyBorder="1"/>
    <xf numFmtId="0" fontId="0" fillId="0" borderId="10" xfId="0" applyBorder="1"/>
    <xf numFmtId="1" fontId="0" fillId="0" borderId="10" xfId="0" applyNumberFormat="1" applyBorder="1"/>
    <xf numFmtId="0" fontId="0" fillId="0" borderId="14" xfId="0" applyNumberFormat="1" applyBorder="1"/>
    <xf numFmtId="166" fontId="0" fillId="0" borderId="0" xfId="0" applyNumberFormat="1" applyAlignment="1">
      <alignment horizontal="right" vertical="center"/>
    </xf>
    <xf numFmtId="0" fontId="0" fillId="0" borderId="33" xfId="0" applyBorder="1" applyAlignment="1">
      <alignment horizontal="center"/>
    </xf>
    <xf numFmtId="0" fontId="0" fillId="0" borderId="30" xfId="0" applyBorder="1"/>
    <xf numFmtId="0" fontId="0" fillId="0" borderId="34" xfId="0" applyBorder="1"/>
    <xf numFmtId="0" fontId="0" fillId="0" borderId="33" xfId="0" applyBorder="1"/>
    <xf numFmtId="0" fontId="0" fillId="0" borderId="30" xfId="0" applyBorder="1" applyAlignment="1">
      <alignment horizontal="center"/>
    </xf>
    <xf numFmtId="0" fontId="0" fillId="0" borderId="34" xfId="0" applyBorder="1" applyAlignment="1">
      <alignment horizontal="center"/>
    </xf>
    <xf numFmtId="0" fontId="0" fillId="6" borderId="33" xfId="0" applyFill="1" applyBorder="1"/>
    <xf numFmtId="0" fontId="0" fillId="0" borderId="47" xfId="0" applyBorder="1"/>
    <xf numFmtId="0" fontId="0" fillId="0" borderId="21" xfId="0" applyBorder="1"/>
    <xf numFmtId="0" fontId="0" fillId="5" borderId="27" xfId="0" applyFill="1" applyBorder="1"/>
    <xf numFmtId="0" fontId="10" fillId="0" borderId="27" xfId="0" applyFont="1" applyFill="1" applyBorder="1" applyAlignment="1">
      <alignment horizontal="center"/>
    </xf>
    <xf numFmtId="0" fontId="10" fillId="0" borderId="27" xfId="0" applyFont="1" applyFill="1" applyBorder="1"/>
    <xf numFmtId="0" fontId="10" fillId="0" borderId="0" xfId="0" applyFont="1" applyFill="1" applyBorder="1" applyAlignment="1">
      <alignment horizontal="center"/>
    </xf>
    <xf numFmtId="0" fontId="10" fillId="0" borderId="0" xfId="0" applyFont="1" applyFill="1" applyBorder="1"/>
    <xf numFmtId="0" fontId="0" fillId="6" borderId="6" xfId="0" applyFill="1" applyBorder="1"/>
    <xf numFmtId="0" fontId="0" fillId="5" borderId="10" xfId="0" applyFill="1" applyBorder="1"/>
    <xf numFmtId="0" fontId="10" fillId="0" borderId="10" xfId="0" applyFont="1" applyFill="1" applyBorder="1" applyAlignment="1">
      <alignment horizontal="center"/>
    </xf>
    <xf numFmtId="0" fontId="10" fillId="0" borderId="10" xfId="0" applyFont="1" applyFill="1" applyBorder="1"/>
    <xf numFmtId="0" fontId="0" fillId="0" borderId="9" xfId="0" applyBorder="1" applyAlignment="1">
      <alignment horizontal="center"/>
    </xf>
    <xf numFmtId="0" fontId="6" fillId="0" borderId="12" xfId="0" applyFont="1" applyBorder="1" applyAlignment="1">
      <alignment horizontal="center" vertical="center"/>
    </xf>
    <xf numFmtId="0" fontId="0" fillId="0" borderId="31" xfId="0" applyBorder="1"/>
    <xf numFmtId="0" fontId="0" fillId="0" borderId="14" xfId="0" applyBorder="1" applyAlignment="1">
      <alignment horizontal="center"/>
    </xf>
    <xf numFmtId="0" fontId="0" fillId="0" borderId="15" xfId="0" applyBorder="1" applyAlignment="1">
      <alignment horizontal="center"/>
    </xf>
    <xf numFmtId="0" fontId="0" fillId="0" borderId="1" xfId="0" applyFill="1" applyBorder="1"/>
    <xf numFmtId="0" fontId="0" fillId="0" borderId="13" xfId="0" applyFill="1" applyBorder="1"/>
    <xf numFmtId="0" fontId="0" fillId="18" borderId="0" xfId="0" applyFill="1"/>
    <xf numFmtId="0" fontId="10" fillId="23" borderId="15" xfId="0" applyFont="1" applyFill="1" applyBorder="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49" fontId="0" fillId="2" borderId="22" xfId="0" applyNumberFormat="1" applyFill="1" applyBorder="1" applyAlignment="1">
      <alignment horizontal="center"/>
    </xf>
    <xf numFmtId="0" fontId="0" fillId="0" borderId="0" xfId="0" applyAlignment="1">
      <alignment horizontal="center" wrapText="1"/>
    </xf>
    <xf numFmtId="0" fontId="0" fillId="21" borderId="0" xfId="0" applyFill="1" applyAlignment="1">
      <alignment horizontal="center"/>
    </xf>
    <xf numFmtId="0" fontId="0" fillId="18" borderId="0" xfId="0" applyFill="1" applyAlignment="1">
      <alignment horizontal="center"/>
    </xf>
    <xf numFmtId="0" fontId="0" fillId="0" borderId="0" xfId="0" applyAlignment="1">
      <alignment horizontal="center"/>
    </xf>
    <xf numFmtId="0" fontId="0" fillId="22" borderId="0" xfId="0" applyFill="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38" xfId="0" applyBorder="1"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2" xfId="0" applyBorder="1" applyAlignment="1">
      <alignment horizontal="center"/>
    </xf>
    <xf numFmtId="0" fontId="0" fillId="0" borderId="38" xfId="0"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9" fillId="7" borderId="1" xfId="0" applyFont="1" applyFill="1" applyBorder="1" applyAlignment="1">
      <alignment horizontal="center"/>
    </xf>
    <xf numFmtId="0" fontId="9" fillId="7" borderId="3" xfId="0" applyFont="1" applyFill="1" applyBorder="1" applyAlignment="1">
      <alignment horizontal="center"/>
    </xf>
    <xf numFmtId="0" fontId="9" fillId="11" borderId="1" xfId="0" applyFont="1" applyFill="1" applyBorder="1" applyAlignment="1">
      <alignment horizontal="center"/>
    </xf>
    <xf numFmtId="0" fontId="9" fillId="11" borderId="3" xfId="0" applyFont="1" applyFill="1" applyBorder="1" applyAlignment="1">
      <alignment horizontal="center"/>
    </xf>
    <xf numFmtId="0" fontId="9" fillId="9" borderId="1" xfId="0" applyFont="1" applyFill="1" applyBorder="1" applyAlignment="1">
      <alignment horizontal="center"/>
    </xf>
    <xf numFmtId="0" fontId="9" fillId="9" borderId="3" xfId="0" applyFont="1" applyFill="1" applyBorder="1" applyAlignment="1">
      <alignment horizontal="center"/>
    </xf>
    <xf numFmtId="0" fontId="0" fillId="14" borderId="0" xfId="0" applyFill="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6" fillId="0" borderId="35" xfId="0" applyFont="1" applyBorder="1" applyAlignment="1">
      <alignment horizontal="center" wrapText="1"/>
    </xf>
    <xf numFmtId="0" fontId="6" fillId="0" borderId="34" xfId="0" applyFont="1" applyBorder="1" applyAlignment="1">
      <alignment horizontal="center" wrapText="1"/>
    </xf>
    <xf numFmtId="1" fontId="6" fillId="0" borderId="35" xfId="0" applyNumberFormat="1" applyFont="1" applyBorder="1" applyAlignment="1">
      <alignment horizontal="center"/>
    </xf>
    <xf numFmtId="1" fontId="6" fillId="0" borderId="34" xfId="0" applyNumberFormat="1" applyFont="1" applyBorder="1" applyAlignment="1">
      <alignment horizontal="center"/>
    </xf>
    <xf numFmtId="1" fontId="6" fillId="0" borderId="21" xfId="0" applyNumberFormat="1" applyFont="1" applyBorder="1" applyAlignment="1">
      <alignment horizontal="center"/>
    </xf>
    <xf numFmtId="1" fontId="6" fillId="0" borderId="9" xfId="0" applyNumberFormat="1" applyFont="1" applyBorder="1" applyAlignment="1">
      <alignment horizontal="center"/>
    </xf>
    <xf numFmtId="0" fontId="6" fillId="0" borderId="35" xfId="0" applyFont="1" applyBorder="1" applyAlignment="1">
      <alignment horizontal="center"/>
    </xf>
    <xf numFmtId="0" fontId="6" fillId="0" borderId="36" xfId="0" applyFont="1" applyBorder="1" applyAlignment="1">
      <alignment horizontal="center"/>
    </xf>
    <xf numFmtId="0" fontId="0" fillId="2" borderId="2" xfId="0" applyFill="1" applyBorder="1" applyAlignment="1">
      <alignment horizontal="center" wrapText="1"/>
    </xf>
    <xf numFmtId="0" fontId="0" fillId="2" borderId="14" xfId="0" applyFill="1" applyBorder="1" applyAlignment="1">
      <alignment horizontal="center" wrapText="1"/>
    </xf>
    <xf numFmtId="3" fontId="0" fillId="2" borderId="3" xfId="0" applyNumberFormat="1" applyFill="1" applyBorder="1" applyAlignment="1">
      <alignment horizontal="center" wrapText="1"/>
    </xf>
    <xf numFmtId="3" fontId="0" fillId="2" borderId="15" xfId="0" applyNumberFormat="1" applyFill="1" applyBorder="1" applyAlignment="1">
      <alignment horizontal="center" wrapText="1"/>
    </xf>
    <xf numFmtId="0" fontId="0" fillId="0" borderId="35" xfId="0" applyBorder="1" applyAlignment="1">
      <alignment horizontal="center" wrapText="1"/>
    </xf>
    <xf numFmtId="0" fontId="0" fillId="0" borderId="34" xfId="0" applyBorder="1" applyAlignment="1">
      <alignment horizontal="center" wrapText="1"/>
    </xf>
    <xf numFmtId="0" fontId="9" fillId="0" borderId="0" xfId="0" applyFont="1" applyAlignment="1">
      <alignment horizontal="center"/>
    </xf>
    <xf numFmtId="0" fontId="9" fillId="0" borderId="14" xfId="0" applyFont="1" applyBorder="1" applyAlignment="1">
      <alignment horizontal="center"/>
    </xf>
    <xf numFmtId="0" fontId="9" fillId="18" borderId="1" xfId="0" applyFont="1" applyFill="1" applyBorder="1" applyAlignment="1">
      <alignment horizontal="center"/>
    </xf>
    <xf numFmtId="0" fontId="9" fillId="18" borderId="2" xfId="0" applyFont="1" applyFill="1" applyBorder="1" applyAlignment="1">
      <alignment horizontal="center"/>
    </xf>
    <xf numFmtId="0" fontId="9" fillId="18" borderId="3" xfId="0" applyFont="1" applyFill="1" applyBorder="1" applyAlignment="1">
      <alignment horizontal="center"/>
    </xf>
  </cellXfs>
  <cellStyles count="66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Besuchter Link" xfId="304" builtinId="9" hidden="1"/>
    <cellStyle name="Besuchter Link" xfId="306" builtinId="9" hidden="1"/>
    <cellStyle name="Besuchter Link" xfId="308" builtinId="9" hidden="1"/>
    <cellStyle name="Besuchter Link" xfId="310" builtinId="9" hidden="1"/>
    <cellStyle name="Besuchter Link" xfId="312" builtinId="9" hidden="1"/>
    <cellStyle name="Besuchter Link" xfId="314" builtinId="9" hidden="1"/>
    <cellStyle name="Besuchter Link" xfId="316" builtinId="9" hidden="1"/>
    <cellStyle name="Besuchter Link" xfId="318" builtinId="9" hidden="1"/>
    <cellStyle name="Besuchter Link" xfId="320" builtinId="9" hidden="1"/>
    <cellStyle name="Besuchter Link" xfId="322" builtinId="9" hidden="1"/>
    <cellStyle name="Besuchter Link" xfId="324" builtinId="9" hidden="1"/>
    <cellStyle name="Besuchter Link" xfId="326" builtinId="9" hidden="1"/>
    <cellStyle name="Besuchter Link" xfId="328" builtinId="9" hidden="1"/>
    <cellStyle name="Besuchter Link" xfId="330" builtinId="9" hidden="1"/>
    <cellStyle name="Besuchter Link" xfId="332" builtinId="9" hidden="1"/>
    <cellStyle name="Besuchter Link" xfId="334" builtinId="9" hidden="1"/>
    <cellStyle name="Besuchter Link" xfId="336" builtinId="9" hidden="1"/>
    <cellStyle name="Besuchter Link" xfId="338" builtinId="9" hidden="1"/>
    <cellStyle name="Besuchter Link" xfId="340" builtinId="9" hidden="1"/>
    <cellStyle name="Besuchter Link" xfId="342" builtinId="9" hidden="1"/>
    <cellStyle name="Besuchter Link" xfId="344" builtinId="9" hidden="1"/>
    <cellStyle name="Besuchter Link" xfId="346" builtinId="9" hidden="1"/>
    <cellStyle name="Besuchter Link" xfId="348" builtinId="9" hidden="1"/>
    <cellStyle name="Besuchter Link" xfId="350" builtinId="9" hidden="1"/>
    <cellStyle name="Besuchter Link" xfId="352" builtinId="9" hidden="1"/>
    <cellStyle name="Besuchter Link" xfId="354" builtinId="9" hidden="1"/>
    <cellStyle name="Besuchter Link" xfId="356" builtinId="9" hidden="1"/>
    <cellStyle name="Besuchter Link" xfId="358" builtinId="9" hidden="1"/>
    <cellStyle name="Besuchter Link" xfId="360" builtinId="9" hidden="1"/>
    <cellStyle name="Besuchter Link" xfId="362" builtinId="9" hidden="1"/>
    <cellStyle name="Besuchter Link" xfId="364" builtinId="9" hidden="1"/>
    <cellStyle name="Besuchter Link" xfId="366" builtinId="9" hidden="1"/>
    <cellStyle name="Besuchter Link" xfId="368" builtinId="9" hidden="1"/>
    <cellStyle name="Besuchter Link" xfId="370" builtinId="9" hidden="1"/>
    <cellStyle name="Besuchter Link" xfId="372" builtinId="9" hidden="1"/>
    <cellStyle name="Besuchter Link" xfId="374" builtinId="9" hidden="1"/>
    <cellStyle name="Besuchter Link" xfId="376" builtinId="9" hidden="1"/>
    <cellStyle name="Besuchter Link" xfId="378" builtinId="9" hidden="1"/>
    <cellStyle name="Besuchter Link" xfId="380" builtinId="9" hidden="1"/>
    <cellStyle name="Besuchter Link" xfId="382" builtinId="9" hidden="1"/>
    <cellStyle name="Besuchter Link" xfId="384" builtinId="9" hidden="1"/>
    <cellStyle name="Besuchter Link" xfId="386" builtinId="9" hidden="1"/>
    <cellStyle name="Besuchter Link" xfId="388" builtinId="9" hidden="1"/>
    <cellStyle name="Besuchter Link" xfId="390" builtinId="9" hidden="1"/>
    <cellStyle name="Besuchter Link" xfId="392" builtinId="9" hidden="1"/>
    <cellStyle name="Besuchter Link" xfId="394" builtinId="9" hidden="1"/>
    <cellStyle name="Besuchter Link" xfId="396" builtinId="9" hidden="1"/>
    <cellStyle name="Besuchter Link" xfId="398" builtinId="9" hidden="1"/>
    <cellStyle name="Besuchter Link" xfId="400" builtinId="9" hidden="1"/>
    <cellStyle name="Besuchter Link" xfId="402" builtinId="9" hidden="1"/>
    <cellStyle name="Besuchter Link" xfId="404" builtinId="9" hidden="1"/>
    <cellStyle name="Besuchter Link" xfId="406" builtinId="9" hidden="1"/>
    <cellStyle name="Besuchter Link" xfId="408" builtinId="9" hidden="1"/>
    <cellStyle name="Besuchter Link" xfId="410" builtinId="9" hidden="1"/>
    <cellStyle name="Besuchter Link" xfId="412" builtinId="9" hidden="1"/>
    <cellStyle name="Besuchter Link" xfId="414" builtinId="9" hidden="1"/>
    <cellStyle name="Besuchter Link" xfId="416" builtinId="9" hidden="1"/>
    <cellStyle name="Besuchter Link" xfId="418" builtinId="9" hidden="1"/>
    <cellStyle name="Besuchter Link" xfId="420" builtinId="9" hidden="1"/>
    <cellStyle name="Besuchter Link" xfId="422" builtinId="9" hidden="1"/>
    <cellStyle name="Besuchter Link" xfId="424" builtinId="9" hidden="1"/>
    <cellStyle name="Besuchter Link" xfId="426" builtinId="9" hidden="1"/>
    <cellStyle name="Besuchter Link" xfId="428" builtinId="9" hidden="1"/>
    <cellStyle name="Besuchter Link" xfId="430" builtinId="9" hidden="1"/>
    <cellStyle name="Besuchter Link" xfId="432" builtinId="9" hidden="1"/>
    <cellStyle name="Besuchter Link" xfId="434" builtinId="9" hidden="1"/>
    <cellStyle name="Besuchter Link" xfId="436" builtinId="9" hidden="1"/>
    <cellStyle name="Besuchter Link" xfId="438" builtinId="9" hidden="1"/>
    <cellStyle name="Besuchter Link" xfId="440" builtinId="9" hidden="1"/>
    <cellStyle name="Besuchter Link" xfId="442" builtinId="9" hidden="1"/>
    <cellStyle name="Besuchter Link" xfId="444" builtinId="9" hidden="1"/>
    <cellStyle name="Besuchter Link" xfId="446" builtinId="9" hidden="1"/>
    <cellStyle name="Besuchter Link" xfId="448" builtinId="9" hidden="1"/>
    <cellStyle name="Besuchter Link" xfId="450" builtinId="9" hidden="1"/>
    <cellStyle name="Besuchter Link" xfId="452" builtinId="9" hidden="1"/>
    <cellStyle name="Besuchter Link" xfId="454" builtinId="9" hidden="1"/>
    <cellStyle name="Besuchter Link" xfId="456" builtinId="9" hidden="1"/>
    <cellStyle name="Besuchter Link" xfId="458" builtinId="9" hidden="1"/>
    <cellStyle name="Besuchter Link" xfId="460" builtinId="9" hidden="1"/>
    <cellStyle name="Besuchter Link" xfId="462" builtinId="9" hidden="1"/>
    <cellStyle name="Besuchter Link" xfId="464" builtinId="9" hidden="1"/>
    <cellStyle name="Besuchter Link" xfId="466" builtinId="9" hidden="1"/>
    <cellStyle name="Besuchter Link" xfId="468" builtinId="9" hidden="1"/>
    <cellStyle name="Besuchter Link" xfId="470" builtinId="9" hidden="1"/>
    <cellStyle name="Besuchter Link" xfId="472" builtinId="9" hidden="1"/>
    <cellStyle name="Besuchter Link" xfId="474" builtinId="9" hidden="1"/>
    <cellStyle name="Besuchter Link" xfId="476" builtinId="9" hidden="1"/>
    <cellStyle name="Besuchter Link" xfId="478" builtinId="9" hidden="1"/>
    <cellStyle name="Besuchter Link" xfId="480" builtinId="9" hidden="1"/>
    <cellStyle name="Besuchter Link" xfId="482" builtinId="9" hidden="1"/>
    <cellStyle name="Besuchter Link" xfId="484" builtinId="9" hidden="1"/>
    <cellStyle name="Besuchter Link" xfId="486" builtinId="9" hidden="1"/>
    <cellStyle name="Besuchter Link" xfId="488" builtinId="9" hidden="1"/>
    <cellStyle name="Besuchter Link" xfId="490" builtinId="9" hidden="1"/>
    <cellStyle name="Besuchter Link" xfId="492" builtinId="9" hidden="1"/>
    <cellStyle name="Besuchter Link" xfId="494" builtinId="9" hidden="1"/>
    <cellStyle name="Besuchter Link" xfId="496" builtinId="9" hidden="1"/>
    <cellStyle name="Besuchter Link" xfId="498" builtinId="9" hidden="1"/>
    <cellStyle name="Besuchter Link" xfId="500" builtinId="9" hidden="1"/>
    <cellStyle name="Besuchter Link" xfId="502" builtinId="9" hidden="1"/>
    <cellStyle name="Besuchter Link" xfId="504" builtinId="9" hidden="1"/>
    <cellStyle name="Besuchter Link" xfId="506" builtinId="9" hidden="1"/>
    <cellStyle name="Besuchter Link" xfId="508" builtinId="9" hidden="1"/>
    <cellStyle name="Besuchter Link" xfId="510" builtinId="9" hidden="1"/>
    <cellStyle name="Besuchter Link" xfId="512" builtinId="9" hidden="1"/>
    <cellStyle name="Besuchter Link" xfId="514" builtinId="9" hidden="1"/>
    <cellStyle name="Besuchter Link" xfId="516" builtinId="9" hidden="1"/>
    <cellStyle name="Besuchter Link" xfId="518" builtinId="9" hidden="1"/>
    <cellStyle name="Besuchter Link" xfId="520" builtinId="9" hidden="1"/>
    <cellStyle name="Besuchter Link" xfId="522" builtinId="9" hidden="1"/>
    <cellStyle name="Besuchter Link" xfId="524" builtinId="9" hidden="1"/>
    <cellStyle name="Besuchter Link" xfId="526" builtinId="9" hidden="1"/>
    <cellStyle name="Besuchter Link" xfId="528" builtinId="9" hidden="1"/>
    <cellStyle name="Besuchter Link" xfId="530" builtinId="9" hidden="1"/>
    <cellStyle name="Besuchter Link" xfId="532" builtinId="9" hidden="1"/>
    <cellStyle name="Besuchter Link" xfId="534" builtinId="9" hidden="1"/>
    <cellStyle name="Besuchter Link" xfId="536" builtinId="9" hidden="1"/>
    <cellStyle name="Besuchter Link" xfId="538" builtinId="9" hidden="1"/>
    <cellStyle name="Besuchter Link" xfId="540" builtinId="9" hidden="1"/>
    <cellStyle name="Besuchter Link" xfId="542" builtinId="9" hidden="1"/>
    <cellStyle name="Besuchter Link" xfId="544" builtinId="9" hidden="1"/>
    <cellStyle name="Besuchter Link" xfId="546" builtinId="9" hidden="1"/>
    <cellStyle name="Besuchter Link" xfId="548" builtinId="9" hidden="1"/>
    <cellStyle name="Besuchter Link" xfId="550" builtinId="9" hidden="1"/>
    <cellStyle name="Besuchter Link" xfId="552" builtinId="9" hidden="1"/>
    <cellStyle name="Besuchter Link" xfId="554" builtinId="9" hidden="1"/>
    <cellStyle name="Besuchter Link" xfId="556" builtinId="9" hidden="1"/>
    <cellStyle name="Besuchter Link" xfId="558" builtinId="9" hidden="1"/>
    <cellStyle name="Besuchter Link" xfId="560" builtinId="9" hidden="1"/>
    <cellStyle name="Besuchter Link" xfId="562" builtinId="9" hidden="1"/>
    <cellStyle name="Besuchter Link" xfId="564" builtinId="9" hidden="1"/>
    <cellStyle name="Besuchter Link" xfId="566" builtinId="9" hidden="1"/>
    <cellStyle name="Besuchter Link" xfId="568" builtinId="9" hidden="1"/>
    <cellStyle name="Besuchter Link" xfId="570" builtinId="9" hidden="1"/>
    <cellStyle name="Besuchter Link" xfId="572" builtinId="9" hidden="1"/>
    <cellStyle name="Besuchter Link" xfId="574" builtinId="9" hidden="1"/>
    <cellStyle name="Besuchter Link" xfId="576" builtinId="9" hidden="1"/>
    <cellStyle name="Besuchter Link" xfId="578" builtinId="9" hidden="1"/>
    <cellStyle name="Besuchter Link" xfId="580" builtinId="9" hidden="1"/>
    <cellStyle name="Besuchter Link" xfId="582" builtinId="9" hidden="1"/>
    <cellStyle name="Besuchter Link" xfId="584" builtinId="9" hidden="1"/>
    <cellStyle name="Besuchter Link" xfId="586" builtinId="9" hidden="1"/>
    <cellStyle name="Besuchter Link" xfId="588" builtinId="9" hidden="1"/>
    <cellStyle name="Besuchter Link" xfId="590" builtinId="9" hidden="1"/>
    <cellStyle name="Besuchter Link" xfId="592" builtinId="9" hidden="1"/>
    <cellStyle name="Besuchter Link" xfId="594" builtinId="9" hidden="1"/>
    <cellStyle name="Besuchter Link" xfId="596" builtinId="9" hidden="1"/>
    <cellStyle name="Besuchter Link" xfId="598" builtinId="9" hidden="1"/>
    <cellStyle name="Besuchter Link" xfId="600" builtinId="9" hidden="1"/>
    <cellStyle name="Besuchter Link" xfId="602" builtinId="9" hidden="1"/>
    <cellStyle name="Besuchter Link" xfId="604" builtinId="9" hidden="1"/>
    <cellStyle name="Besuchter Link" xfId="606" builtinId="9" hidden="1"/>
    <cellStyle name="Besuchter Link" xfId="608" builtinId="9" hidden="1"/>
    <cellStyle name="Besuchter Link" xfId="610" builtinId="9" hidden="1"/>
    <cellStyle name="Besuchter Link" xfId="612" builtinId="9" hidden="1"/>
    <cellStyle name="Besuchter Link" xfId="614" builtinId="9" hidden="1"/>
    <cellStyle name="Besuchter Link" xfId="616" builtinId="9" hidden="1"/>
    <cellStyle name="Besuchter Link" xfId="618" builtinId="9" hidden="1"/>
    <cellStyle name="Besuchter Link" xfId="620" builtinId="9" hidden="1"/>
    <cellStyle name="Besuchter Link" xfId="622" builtinId="9" hidden="1"/>
    <cellStyle name="Besuchter Link" xfId="624" builtinId="9" hidden="1"/>
    <cellStyle name="Besuchter Link" xfId="626" builtinId="9" hidden="1"/>
    <cellStyle name="Besuchter Link" xfId="628" builtinId="9" hidden="1"/>
    <cellStyle name="Besuchter Link" xfId="630" builtinId="9" hidden="1"/>
    <cellStyle name="Besuchter Link" xfId="632" builtinId="9" hidden="1"/>
    <cellStyle name="Besuchter Link" xfId="634" builtinId="9" hidden="1"/>
    <cellStyle name="Besuchter Link" xfId="636" builtinId="9" hidden="1"/>
    <cellStyle name="Besuchter Link" xfId="638" builtinId="9" hidden="1"/>
    <cellStyle name="Besuchter Link" xfId="640" builtinId="9" hidden="1"/>
    <cellStyle name="Besuchter Link" xfId="642" builtinId="9" hidden="1"/>
    <cellStyle name="Besuchter Link" xfId="644" builtinId="9" hidden="1"/>
    <cellStyle name="Besuchter Link" xfId="646" builtinId="9" hidden="1"/>
    <cellStyle name="Besuchter Link" xfId="648" builtinId="9" hidden="1"/>
    <cellStyle name="Besuchter Link" xfId="650" builtinId="9" hidden="1"/>
    <cellStyle name="Besuchter Link" xfId="652" builtinId="9" hidden="1"/>
    <cellStyle name="Besuchter Link" xfId="654" builtinId="9" hidden="1"/>
    <cellStyle name="Besuchter Link" xfId="656" builtinId="9" hidden="1"/>
    <cellStyle name="Besuchter Link" xfId="658" builtinId="9" hidden="1"/>
    <cellStyle name="Besuchter Link" xfId="660" builtinId="9" hidden="1"/>
    <cellStyle name="Besuchter Link" xfId="662" builtinId="9" hidden="1"/>
    <cellStyle name="Besuchter Link" xfId="664" builtinId="9" hidden="1"/>
    <cellStyle name="Besuchter Link" xfId="666" builtinId="9" hidden="1"/>
    <cellStyle name="Besuchter Link" xfId="66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Link" xfId="365" builtinId="8" hidden="1"/>
    <cellStyle name="Link" xfId="367" builtinId="8" hidden="1"/>
    <cellStyle name="Link" xfId="369" builtinId="8" hidden="1"/>
    <cellStyle name="Link" xfId="371" builtinId="8" hidden="1"/>
    <cellStyle name="Link" xfId="373" builtinId="8" hidden="1"/>
    <cellStyle name="Link" xfId="375" builtinId="8" hidden="1"/>
    <cellStyle name="Link" xfId="377" builtinId="8" hidden="1"/>
    <cellStyle name="Link" xfId="379" builtinId="8" hidden="1"/>
    <cellStyle name="Link" xfId="381" builtinId="8" hidden="1"/>
    <cellStyle name="Link" xfId="383" builtinId="8" hidden="1"/>
    <cellStyle name="Link" xfId="385" builtinId="8" hidden="1"/>
    <cellStyle name="Link" xfId="387" builtinId="8" hidden="1"/>
    <cellStyle name="Link" xfId="389" builtinId="8" hidden="1"/>
    <cellStyle name="Link" xfId="391" builtinId="8" hidden="1"/>
    <cellStyle name="Link" xfId="393" builtinId="8" hidden="1"/>
    <cellStyle name="Link" xfId="395" builtinId="8" hidden="1"/>
    <cellStyle name="Link" xfId="397" builtinId="8" hidden="1"/>
    <cellStyle name="Link" xfId="399" builtinId="8" hidden="1"/>
    <cellStyle name="Link" xfId="401" builtinId="8" hidden="1"/>
    <cellStyle name="Link" xfId="403" builtinId="8" hidden="1"/>
    <cellStyle name="Link" xfId="405" builtinId="8" hidden="1"/>
    <cellStyle name="Link" xfId="407" builtinId="8" hidden="1"/>
    <cellStyle name="Link" xfId="409" builtinId="8" hidden="1"/>
    <cellStyle name="Link" xfId="411" builtinId="8" hidden="1"/>
    <cellStyle name="Link" xfId="413" builtinId="8" hidden="1"/>
    <cellStyle name="Link" xfId="415" builtinId="8" hidden="1"/>
    <cellStyle name="Link" xfId="417" builtinId="8" hidden="1"/>
    <cellStyle name="Link" xfId="419" builtinId="8" hidden="1"/>
    <cellStyle name="Link" xfId="421" builtinId="8" hidden="1"/>
    <cellStyle name="Link" xfId="423" builtinId="8" hidden="1"/>
    <cellStyle name="Link" xfId="425" builtinId="8" hidden="1"/>
    <cellStyle name="Link" xfId="427" builtinId="8" hidden="1"/>
    <cellStyle name="Link" xfId="429" builtinId="8" hidden="1"/>
    <cellStyle name="Link" xfId="431" builtinId="8" hidden="1"/>
    <cellStyle name="Link" xfId="433" builtinId="8" hidden="1"/>
    <cellStyle name="Link" xfId="435" builtinId="8" hidden="1"/>
    <cellStyle name="Link" xfId="437" builtinId="8" hidden="1"/>
    <cellStyle name="Link" xfId="439" builtinId="8" hidden="1"/>
    <cellStyle name="Link" xfId="441" builtinId="8" hidden="1"/>
    <cellStyle name="Link" xfId="443" builtinId="8" hidden="1"/>
    <cellStyle name="Link" xfId="445"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 xfId="535" builtinId="8" hidden="1"/>
    <cellStyle name="Link" xfId="537" builtinId="8" hidden="1"/>
    <cellStyle name="Link" xfId="539" builtinId="8" hidden="1"/>
    <cellStyle name="Link" xfId="541" builtinId="8" hidden="1"/>
    <cellStyle name="Link" xfId="543" builtinId="8" hidden="1"/>
    <cellStyle name="Link" xfId="545" builtinId="8" hidden="1"/>
    <cellStyle name="Link" xfId="547" builtinId="8" hidden="1"/>
    <cellStyle name="Link" xfId="549" builtinId="8" hidden="1"/>
    <cellStyle name="Link" xfId="551" builtinId="8" hidden="1"/>
    <cellStyle name="Link" xfId="553" builtinId="8" hidden="1"/>
    <cellStyle name="Link" xfId="555" builtinId="8" hidden="1"/>
    <cellStyle name="Link" xfId="557" builtinId="8" hidden="1"/>
    <cellStyle name="Link" xfId="559" builtinId="8" hidden="1"/>
    <cellStyle name="Link" xfId="561" builtinId="8" hidden="1"/>
    <cellStyle name="Link" xfId="563" builtinId="8" hidden="1"/>
    <cellStyle name="Link" xfId="565" builtinId="8" hidden="1"/>
    <cellStyle name="Link" xfId="567" builtinId="8" hidden="1"/>
    <cellStyle name="Link" xfId="569" builtinId="8" hidden="1"/>
    <cellStyle name="Link" xfId="571" builtinId="8" hidden="1"/>
    <cellStyle name="Link" xfId="573" builtinId="8" hidden="1"/>
    <cellStyle name="Link" xfId="575" builtinId="8" hidden="1"/>
    <cellStyle name="Link" xfId="577" builtinId="8" hidden="1"/>
    <cellStyle name="Link" xfId="579" builtinId="8" hidden="1"/>
    <cellStyle name="Link" xfId="581" builtinId="8" hidden="1"/>
    <cellStyle name="Link" xfId="583" builtinId="8" hidden="1"/>
    <cellStyle name="Link" xfId="585" builtinId="8" hidden="1"/>
    <cellStyle name="Link" xfId="587" builtinId="8" hidden="1"/>
    <cellStyle name="Link" xfId="589" builtinId="8" hidden="1"/>
    <cellStyle name="Link" xfId="591" builtinId="8" hidden="1"/>
    <cellStyle name="Link" xfId="593" builtinId="8" hidden="1"/>
    <cellStyle name="Link" xfId="595" builtinId="8" hidden="1"/>
    <cellStyle name="Link" xfId="597" builtinId="8" hidden="1"/>
    <cellStyle name="Link" xfId="599" builtinId="8" hidden="1"/>
    <cellStyle name="Link" xfId="601" builtinId="8" hidden="1"/>
    <cellStyle name="Link" xfId="603" builtinId="8" hidden="1"/>
    <cellStyle name="Link" xfId="605" builtinId="8" hidden="1"/>
    <cellStyle name="Link" xfId="607" builtinId="8" hidden="1"/>
    <cellStyle name="Link" xfId="609" builtinId="8" hidden="1"/>
    <cellStyle name="Link" xfId="611" builtinId="8" hidden="1"/>
    <cellStyle name="Link" xfId="613" builtinId="8" hidden="1"/>
    <cellStyle name="Link" xfId="615" builtinId="8" hidden="1"/>
    <cellStyle name="Link" xfId="617" builtinId="8" hidden="1"/>
    <cellStyle name="Link" xfId="619" builtinId="8" hidden="1"/>
    <cellStyle name="Link" xfId="621" builtinId="8" hidden="1"/>
    <cellStyle name="Link" xfId="623" builtinId="8" hidden="1"/>
    <cellStyle name="Link" xfId="625" builtinId="8" hidden="1"/>
    <cellStyle name="Link" xfId="627" builtinId="8" hidden="1"/>
    <cellStyle name="Link" xfId="629" builtinId="8" hidden="1"/>
    <cellStyle name="Link" xfId="631" builtinId="8" hidden="1"/>
    <cellStyle name="Link" xfId="633" builtinId="8" hidden="1"/>
    <cellStyle name="Link" xfId="635" builtinId="8" hidden="1"/>
    <cellStyle name="Link" xfId="637" builtinId="8" hidden="1"/>
    <cellStyle name="Link" xfId="639" builtinId="8" hidden="1"/>
    <cellStyle name="Link" xfId="641" builtinId="8" hidden="1"/>
    <cellStyle name="Link" xfId="643" builtinId="8" hidden="1"/>
    <cellStyle name="Link" xfId="645" builtinId="8" hidden="1"/>
    <cellStyle name="Link" xfId="647" builtinId="8" hidden="1"/>
    <cellStyle name="Link" xfId="649" builtinId="8" hidden="1"/>
    <cellStyle name="Link" xfId="651" builtinId="8" hidden="1"/>
    <cellStyle name="Link" xfId="653" builtinId="8" hidden="1"/>
    <cellStyle name="Link" xfId="655" builtinId="8" hidden="1"/>
    <cellStyle name="Link" xfId="657" builtinId="8" hidden="1"/>
    <cellStyle name="Link" xfId="659" builtinId="8" hidden="1"/>
    <cellStyle name="Link" xfId="661" builtinId="8" hidden="1"/>
    <cellStyle name="Link" xfId="663" builtinId="8" hidden="1"/>
    <cellStyle name="Link" xfId="665" builtinId="8" hidden="1"/>
    <cellStyle name="Link" xfId="667" builtinId="8" hidden="1"/>
    <cellStyle name="Standard" xfId="0" builtinId="0"/>
  </cellStyles>
  <dxfs count="155">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rgb="FFFFFF00"/>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rgb="FFFFFF00"/>
        </patternFill>
      </fill>
    </dxf>
    <dxf>
      <font>
        <color auto="1"/>
      </font>
      <fill>
        <patternFill patternType="solid">
          <fgColor indexed="64"/>
          <bgColor theme="9" tint="-0.499984740745262"/>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9" tint="-0.499984740745262"/>
        </patternFill>
      </fill>
    </dxf>
    <dxf>
      <font>
        <color auto="1"/>
      </font>
      <fill>
        <patternFill patternType="solid">
          <fgColor indexed="64"/>
          <bgColor theme="9" tint="-0.499984740745262"/>
        </patternFill>
      </fill>
    </dxf>
    <dxf>
      <font>
        <color auto="1"/>
      </font>
      <fill>
        <patternFill patternType="solid">
          <fgColor indexed="64"/>
          <bgColor theme="9" tint="0.79998168889431442"/>
        </patternFill>
      </fill>
    </dxf>
    <dxf>
      <font>
        <color theme="6" tint="-0.499984740745262"/>
      </font>
      <fill>
        <patternFill patternType="solid">
          <fgColor indexed="64"/>
          <bgColor theme="9" tint="0.79998168889431442"/>
        </patternFill>
      </fill>
    </dxf>
    <dxf>
      <font>
        <color auto="1"/>
      </font>
      <fill>
        <patternFill patternType="solid">
          <fgColor indexed="64"/>
          <bgColor theme="0" tint="-4.9989318521683403E-2"/>
        </patternFill>
      </fill>
    </dxf>
    <dxf>
      <font>
        <color theme="6" tint="-0.499984740745262"/>
      </font>
      <fill>
        <patternFill patternType="solid">
          <fgColor indexed="64"/>
          <bgColor theme="0" tint="-4.9989318521683403E-2"/>
        </patternFill>
      </fill>
    </dxf>
    <dxf>
      <font>
        <color auto="1"/>
      </font>
      <fill>
        <patternFill patternType="solid">
          <fgColor indexed="64"/>
          <bgColor theme="4" tint="0.79998168889431442"/>
        </patternFill>
      </fill>
    </dxf>
    <dxf>
      <font>
        <color theme="6" tint="-0.499984740745262"/>
      </font>
      <fill>
        <patternFill patternType="solid">
          <fgColor auto="1"/>
          <bgColor theme="4" tint="0.79998168889431442"/>
        </patternFill>
      </fill>
    </dxf>
    <dxf>
      <font>
        <color auto="1"/>
      </font>
      <fill>
        <patternFill patternType="solid">
          <fgColor indexed="64"/>
          <bgColor theme="6" tint="0.79998168889431442"/>
        </patternFill>
      </fill>
    </dxf>
    <dxf>
      <font>
        <color theme="6" tint="-0.499984740745262"/>
      </font>
      <fill>
        <patternFill patternType="solid">
          <fgColor indexed="64"/>
          <bgColor theme="6" tint="0.79998168889431442"/>
        </patternFill>
      </fill>
    </dxf>
    <dxf>
      <font>
        <color auto="1"/>
      </font>
      <fill>
        <patternFill patternType="solid">
          <fgColor indexed="64"/>
          <bgColor theme="7" tint="0.79998168889431442"/>
        </patternFill>
      </fill>
    </dxf>
    <dxf>
      <font>
        <color theme="6" tint="-0.499984740745262"/>
      </font>
      <fill>
        <patternFill patternType="solid">
          <fgColor indexed="64"/>
          <bgColor theme="7" tint="0.79998168889431442"/>
        </patternFill>
      </fill>
    </dxf>
    <dxf>
      <font>
        <color rgb="FF9C0006"/>
      </font>
      <fill>
        <patternFill>
          <bgColor rgb="FFFFC7CE"/>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rgb="FFFFFF00"/>
        </patternFill>
      </fill>
    </dxf>
    <dxf>
      <font>
        <color auto="1"/>
      </font>
      <fill>
        <patternFill patternType="solid">
          <fgColor indexed="64"/>
          <bgColor theme="9" tint="-0.499984740745262"/>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9" tint="-0.499984740745262"/>
        </patternFill>
      </fill>
    </dxf>
    <dxf>
      <font>
        <color auto="1"/>
      </font>
      <fill>
        <patternFill patternType="solid">
          <fgColor indexed="64"/>
          <bgColor theme="9" tint="-0.499984740745262"/>
        </patternFill>
      </fill>
    </dxf>
    <dxf>
      <font>
        <color auto="1"/>
      </font>
      <fill>
        <patternFill patternType="solid">
          <fgColor indexed="64"/>
          <bgColor theme="9" tint="0.79998168889431442"/>
        </patternFill>
      </fill>
    </dxf>
    <dxf>
      <font>
        <color theme="6" tint="-0.499984740745262"/>
      </font>
      <fill>
        <patternFill patternType="solid">
          <fgColor indexed="64"/>
          <bgColor theme="9" tint="0.79998168889431442"/>
        </patternFill>
      </fill>
    </dxf>
    <dxf>
      <font>
        <color auto="1"/>
      </font>
      <fill>
        <patternFill patternType="solid">
          <fgColor indexed="64"/>
          <bgColor theme="0" tint="-4.9989318521683403E-2"/>
        </patternFill>
      </fill>
    </dxf>
    <dxf>
      <font>
        <color theme="6" tint="-0.499984740745262"/>
      </font>
      <fill>
        <patternFill patternType="solid">
          <fgColor indexed="64"/>
          <bgColor theme="0" tint="-4.9989318521683403E-2"/>
        </patternFill>
      </fill>
    </dxf>
    <dxf>
      <font>
        <color auto="1"/>
      </font>
      <fill>
        <patternFill patternType="solid">
          <fgColor indexed="64"/>
          <bgColor theme="4" tint="0.79998168889431442"/>
        </patternFill>
      </fill>
    </dxf>
    <dxf>
      <font>
        <color theme="6" tint="-0.499984740745262"/>
      </font>
      <fill>
        <patternFill patternType="solid">
          <fgColor auto="1"/>
          <bgColor theme="4" tint="0.79998168889431442"/>
        </patternFill>
      </fill>
    </dxf>
    <dxf>
      <font>
        <color auto="1"/>
      </font>
      <fill>
        <patternFill patternType="solid">
          <fgColor indexed="64"/>
          <bgColor theme="6" tint="0.79998168889431442"/>
        </patternFill>
      </fill>
    </dxf>
    <dxf>
      <font>
        <color theme="6" tint="-0.499984740745262"/>
      </font>
      <fill>
        <patternFill patternType="solid">
          <fgColor indexed="64"/>
          <bgColor theme="6" tint="0.79998168889431442"/>
        </patternFill>
      </fill>
    </dxf>
    <dxf>
      <font>
        <color auto="1"/>
      </font>
      <fill>
        <patternFill patternType="solid">
          <fgColor indexed="64"/>
          <bgColor theme="7" tint="0.79998168889431442"/>
        </patternFill>
      </fill>
    </dxf>
    <dxf>
      <font>
        <color theme="6" tint="-0.499984740745262"/>
      </font>
      <fill>
        <patternFill patternType="solid">
          <fgColor indexed="64"/>
          <bgColor theme="7" tint="0.79998168889431442"/>
        </patternFill>
      </fill>
    </dxf>
    <dxf>
      <font>
        <color rgb="FF9C0006"/>
      </font>
      <fill>
        <patternFill>
          <bgColor rgb="FFFFC7CE"/>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6" tint="-0.249977111117893"/>
        </patternFill>
      </fill>
    </dxf>
    <dxf>
      <font>
        <color rgb="FF9C0006"/>
      </font>
      <fill>
        <patternFill>
          <bgColor rgb="FFFFC7CE"/>
        </patternFill>
      </fill>
    </dxf>
    <dxf>
      <font>
        <color auto="1"/>
      </font>
      <fill>
        <patternFill patternType="solid">
          <fgColor indexed="64"/>
          <bgColor theme="6" tint="-0.249977111117893"/>
        </patternFill>
      </fill>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theme="3" tint="-0.249977111117893"/>
      </font>
      <fill>
        <patternFill patternType="solid">
          <fgColor indexed="64"/>
          <bgColor rgb="FFFCF8A0"/>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9" tint="-0.499984740745262"/>
        </patternFill>
      </fill>
    </dxf>
    <dxf>
      <font>
        <color auto="1"/>
      </font>
      <fill>
        <patternFill patternType="solid">
          <fgColor indexed="64"/>
          <bgColor theme="6" tint="0.39997558519241921"/>
        </patternFill>
      </fill>
    </dxf>
    <dxf>
      <font>
        <strike val="0"/>
        <color auto="1"/>
      </font>
      <fill>
        <patternFill patternType="solid">
          <fgColor indexed="64"/>
          <bgColor rgb="FFFFF4D3"/>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rgb="FFFF0000"/>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5"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rgb="FFFEFFA5"/>
        </patternFill>
      </fill>
    </dxf>
    <dxf>
      <font>
        <color auto="1"/>
      </font>
      <fill>
        <patternFill patternType="solid">
          <fgColor indexed="64"/>
          <bgColor rgb="FFCCFFCC"/>
        </patternFill>
      </fill>
    </dxf>
    <dxf>
      <font>
        <color auto="1"/>
      </font>
      <fill>
        <patternFill patternType="solid">
          <fgColor indexed="64"/>
          <bgColor rgb="FFFEFFA5"/>
        </patternFill>
      </fill>
    </dxf>
    <dxf>
      <font>
        <color auto="1"/>
      </font>
      <fill>
        <patternFill patternType="solid">
          <fgColor indexed="64"/>
          <bgColor rgb="FFCCFFCC"/>
        </patternFill>
      </fill>
    </dxf>
    <dxf>
      <font>
        <color auto="1"/>
      </font>
      <fill>
        <patternFill patternType="solid">
          <fgColor indexed="64"/>
          <bgColor rgb="FFFEFFA5"/>
        </patternFill>
      </fill>
    </dxf>
    <dxf>
      <font>
        <color auto="1"/>
      </font>
      <fill>
        <patternFill patternType="solid">
          <fgColor indexed="64"/>
          <bgColor rgb="FFCCFFCC"/>
        </patternFill>
      </fill>
    </dxf>
    <dxf>
      <font>
        <color auto="1"/>
      </font>
      <fill>
        <patternFill patternType="solid">
          <fgColor indexed="64"/>
          <bgColor rgb="FFFEFFA5"/>
        </patternFill>
      </fill>
    </dxf>
    <dxf>
      <font>
        <color auto="1"/>
      </font>
      <fill>
        <patternFill patternType="solid">
          <fgColor indexed="64"/>
          <bgColor rgb="FFCCFFCC"/>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6" tint="0.59999389629810485"/>
        </patternFill>
      </fill>
    </dxf>
    <dxf>
      <font>
        <color auto="1"/>
      </font>
      <fill>
        <patternFill patternType="solid">
          <fgColor indexed="64"/>
          <bgColor rgb="FFF3F08D"/>
        </patternFill>
      </fill>
    </dxf>
    <dxf>
      <font>
        <color auto="1"/>
      </font>
      <fill>
        <patternFill>
          <bgColor rgb="FFFFC7CE"/>
        </patternFill>
      </fill>
    </dxf>
    <dxf>
      <font>
        <color rgb="FF9C0006"/>
      </font>
      <fill>
        <patternFill>
          <bgColor rgb="FFFFC7CE"/>
        </patternFill>
      </fill>
    </dxf>
    <dxf>
      <font>
        <color theme="0" tint="-4.9989318521683403E-2"/>
      </font>
      <fill>
        <patternFill patternType="none">
          <fgColor indexed="64"/>
          <bgColor auto="1"/>
        </patternFill>
      </fill>
    </dxf>
    <dxf>
      <font>
        <color theme="0" tint="-4.9989318521683403E-2"/>
      </font>
      <fill>
        <patternFill patternType="none">
          <fgColor indexed="64"/>
          <bgColor auto="1"/>
        </patternFill>
      </fill>
    </dxf>
    <dxf>
      <font>
        <color theme="0" tint="-4.9989318521683403E-2"/>
      </font>
      <fill>
        <patternFill patternType="none">
          <fgColor indexed="64"/>
          <bgColor auto="1"/>
        </patternFill>
      </fill>
    </dxf>
    <dxf>
      <font>
        <color auto="1"/>
      </font>
      <fill>
        <patternFill patternType="solid">
          <fgColor indexed="64"/>
          <bgColor theme="6" tint="0.59999389629810485"/>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0</xdr:rowOff>
    </xdr:from>
    <xdr:to>
      <xdr:col>4</xdr:col>
      <xdr:colOff>0</xdr:colOff>
      <xdr:row>9</xdr:row>
      <xdr:rowOff>0</xdr:rowOff>
    </xdr:to>
    <xdr:cxnSp macro="">
      <xdr:nvCxnSpPr>
        <xdr:cNvPr id="5" name="Gerade Verbindung 4"/>
        <xdr:cNvCxnSpPr/>
      </xdr:nvCxnSpPr>
      <xdr:spPr>
        <a:xfrm>
          <a:off x="825500" y="1549400"/>
          <a:ext cx="0" cy="3937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7</xdr:row>
      <xdr:rowOff>0</xdr:rowOff>
    </xdr:from>
    <xdr:to>
      <xdr:col>1</xdr:col>
      <xdr:colOff>0</xdr:colOff>
      <xdr:row>9</xdr:row>
      <xdr:rowOff>0</xdr:rowOff>
    </xdr:to>
    <xdr:cxnSp macro="">
      <xdr:nvCxnSpPr>
        <xdr:cNvPr id="8" name="Gerade Verbindung 7"/>
        <xdr:cNvCxnSpPr/>
      </xdr:nvCxnSpPr>
      <xdr:spPr>
        <a:xfrm>
          <a:off x="3302000" y="1346200"/>
          <a:ext cx="0" cy="3937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15</xdr:row>
      <xdr:rowOff>190500</xdr:rowOff>
    </xdr:from>
    <xdr:to>
      <xdr:col>1</xdr:col>
      <xdr:colOff>0</xdr:colOff>
      <xdr:row>18</xdr:row>
      <xdr:rowOff>0</xdr:rowOff>
    </xdr:to>
    <xdr:cxnSp macro="">
      <xdr:nvCxnSpPr>
        <xdr:cNvPr id="10" name="Gerade Verbindung mit Pfeil 9"/>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16</xdr:row>
      <xdr:rowOff>25400</xdr:rowOff>
    </xdr:from>
    <xdr:to>
      <xdr:col>4</xdr:col>
      <xdr:colOff>25400</xdr:colOff>
      <xdr:row>18</xdr:row>
      <xdr:rowOff>0</xdr:rowOff>
    </xdr:to>
    <xdr:cxnSp macro="">
      <xdr:nvCxnSpPr>
        <xdr:cNvPr id="12" name="Gerade Verbindung mit Pfeil 11"/>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xdr:colOff>
      <xdr:row>1</xdr:row>
      <xdr:rowOff>25400</xdr:rowOff>
    </xdr:from>
    <xdr:to>
      <xdr:col>3</xdr:col>
      <xdr:colOff>12700</xdr:colOff>
      <xdr:row>75</xdr:row>
      <xdr:rowOff>38100</xdr:rowOff>
    </xdr:to>
    <xdr:cxnSp macro="">
      <xdr:nvCxnSpPr>
        <xdr:cNvPr id="14" name="Gerade Verbindung mit Pfeil 13"/>
        <xdr:cNvCxnSpPr/>
      </xdr:nvCxnSpPr>
      <xdr:spPr>
        <a:xfrm flipV="1">
          <a:off x="1663700" y="215900"/>
          <a:ext cx="825500" cy="143129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7</xdr:row>
      <xdr:rowOff>0</xdr:rowOff>
    </xdr:from>
    <xdr:to>
      <xdr:col>7</xdr:col>
      <xdr:colOff>0</xdr:colOff>
      <xdr:row>9</xdr:row>
      <xdr:rowOff>0</xdr:rowOff>
    </xdr:to>
    <xdr:cxnSp macro="">
      <xdr:nvCxnSpPr>
        <xdr:cNvPr id="15" name="Gerade Verbindung 14"/>
        <xdr:cNvCxnSpPr/>
      </xdr:nvCxnSpPr>
      <xdr:spPr>
        <a:xfrm>
          <a:off x="3302000" y="1346200"/>
          <a:ext cx="0" cy="3937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0</xdr:colOff>
      <xdr:row>1</xdr:row>
      <xdr:rowOff>25400</xdr:rowOff>
    </xdr:from>
    <xdr:to>
      <xdr:col>6</xdr:col>
      <xdr:colOff>12700</xdr:colOff>
      <xdr:row>75</xdr:row>
      <xdr:rowOff>12700</xdr:rowOff>
    </xdr:to>
    <xdr:cxnSp macro="">
      <xdr:nvCxnSpPr>
        <xdr:cNvPr id="17" name="Gerade Verbindung mit Pfeil 16"/>
        <xdr:cNvCxnSpPr/>
      </xdr:nvCxnSpPr>
      <xdr:spPr>
        <a:xfrm flipV="1">
          <a:off x="4127500" y="215900"/>
          <a:ext cx="838200" cy="14287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24</xdr:row>
      <xdr:rowOff>190500</xdr:rowOff>
    </xdr:from>
    <xdr:to>
      <xdr:col>1</xdr:col>
      <xdr:colOff>0</xdr:colOff>
      <xdr:row>27</xdr:row>
      <xdr:rowOff>0</xdr:rowOff>
    </xdr:to>
    <xdr:cxnSp macro="">
      <xdr:nvCxnSpPr>
        <xdr:cNvPr id="9" name="Gerade Verbindung mit Pfeil 8"/>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33</xdr:row>
      <xdr:rowOff>190500</xdr:rowOff>
    </xdr:from>
    <xdr:to>
      <xdr:col>1</xdr:col>
      <xdr:colOff>0</xdr:colOff>
      <xdr:row>36</xdr:row>
      <xdr:rowOff>0</xdr:rowOff>
    </xdr:to>
    <xdr:cxnSp macro="">
      <xdr:nvCxnSpPr>
        <xdr:cNvPr id="11" name="Gerade Verbindung mit Pfeil 10"/>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42</xdr:row>
      <xdr:rowOff>190500</xdr:rowOff>
    </xdr:from>
    <xdr:to>
      <xdr:col>1</xdr:col>
      <xdr:colOff>0</xdr:colOff>
      <xdr:row>45</xdr:row>
      <xdr:rowOff>0</xdr:rowOff>
    </xdr:to>
    <xdr:cxnSp macro="">
      <xdr:nvCxnSpPr>
        <xdr:cNvPr id="13" name="Gerade Verbindung mit Pfeil 12"/>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51</xdr:row>
      <xdr:rowOff>190500</xdr:rowOff>
    </xdr:from>
    <xdr:to>
      <xdr:col>1</xdr:col>
      <xdr:colOff>0</xdr:colOff>
      <xdr:row>54</xdr:row>
      <xdr:rowOff>0</xdr:rowOff>
    </xdr:to>
    <xdr:cxnSp macro="">
      <xdr:nvCxnSpPr>
        <xdr:cNvPr id="16" name="Gerade Verbindung mit Pfeil 15"/>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60</xdr:row>
      <xdr:rowOff>190500</xdr:rowOff>
    </xdr:from>
    <xdr:to>
      <xdr:col>1</xdr:col>
      <xdr:colOff>0</xdr:colOff>
      <xdr:row>63</xdr:row>
      <xdr:rowOff>0</xdr:rowOff>
    </xdr:to>
    <xdr:cxnSp macro="">
      <xdr:nvCxnSpPr>
        <xdr:cNvPr id="18" name="Gerade Verbindung mit Pfeil 17"/>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69</xdr:row>
      <xdr:rowOff>190500</xdr:rowOff>
    </xdr:from>
    <xdr:to>
      <xdr:col>1</xdr:col>
      <xdr:colOff>0</xdr:colOff>
      <xdr:row>72</xdr:row>
      <xdr:rowOff>0</xdr:rowOff>
    </xdr:to>
    <xdr:cxnSp macro="">
      <xdr:nvCxnSpPr>
        <xdr:cNvPr id="19" name="Gerade Verbindung mit Pfeil 18"/>
        <xdr:cNvCxnSpPr/>
      </xdr:nvCxnSpPr>
      <xdr:spPr>
        <a:xfrm>
          <a:off x="825500" y="3073400"/>
          <a:ext cx="0" cy="406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25</xdr:row>
      <xdr:rowOff>25400</xdr:rowOff>
    </xdr:from>
    <xdr:to>
      <xdr:col>4</xdr:col>
      <xdr:colOff>25400</xdr:colOff>
      <xdr:row>27</xdr:row>
      <xdr:rowOff>0</xdr:rowOff>
    </xdr:to>
    <xdr:cxnSp macro="">
      <xdr:nvCxnSpPr>
        <xdr:cNvPr id="20" name="Gerade Verbindung mit Pfeil 19"/>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34</xdr:row>
      <xdr:rowOff>25400</xdr:rowOff>
    </xdr:from>
    <xdr:to>
      <xdr:col>4</xdr:col>
      <xdr:colOff>25400</xdr:colOff>
      <xdr:row>36</xdr:row>
      <xdr:rowOff>0</xdr:rowOff>
    </xdr:to>
    <xdr:cxnSp macro="">
      <xdr:nvCxnSpPr>
        <xdr:cNvPr id="21" name="Gerade Verbindung mit Pfeil 20"/>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43</xdr:row>
      <xdr:rowOff>25400</xdr:rowOff>
    </xdr:from>
    <xdr:to>
      <xdr:col>4</xdr:col>
      <xdr:colOff>25400</xdr:colOff>
      <xdr:row>45</xdr:row>
      <xdr:rowOff>0</xdr:rowOff>
    </xdr:to>
    <xdr:cxnSp macro="">
      <xdr:nvCxnSpPr>
        <xdr:cNvPr id="22" name="Gerade Verbindung mit Pfeil 21"/>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52</xdr:row>
      <xdr:rowOff>25400</xdr:rowOff>
    </xdr:from>
    <xdr:to>
      <xdr:col>4</xdr:col>
      <xdr:colOff>25400</xdr:colOff>
      <xdr:row>54</xdr:row>
      <xdr:rowOff>0</xdr:rowOff>
    </xdr:to>
    <xdr:cxnSp macro="">
      <xdr:nvCxnSpPr>
        <xdr:cNvPr id="23" name="Gerade Verbindung mit Pfeil 22"/>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61</xdr:row>
      <xdr:rowOff>25400</xdr:rowOff>
    </xdr:from>
    <xdr:to>
      <xdr:col>4</xdr:col>
      <xdr:colOff>25400</xdr:colOff>
      <xdr:row>63</xdr:row>
      <xdr:rowOff>0</xdr:rowOff>
    </xdr:to>
    <xdr:cxnSp macro="">
      <xdr:nvCxnSpPr>
        <xdr:cNvPr id="24" name="Gerade Verbindung mit Pfeil 23"/>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12700</xdr:colOff>
      <xdr:row>70</xdr:row>
      <xdr:rowOff>25400</xdr:rowOff>
    </xdr:from>
    <xdr:to>
      <xdr:col>4</xdr:col>
      <xdr:colOff>25400</xdr:colOff>
      <xdr:row>72</xdr:row>
      <xdr:rowOff>0</xdr:rowOff>
    </xdr:to>
    <xdr:cxnSp macro="">
      <xdr:nvCxnSpPr>
        <xdr:cNvPr id="25" name="Gerade Verbindung mit Pfeil 24"/>
        <xdr:cNvCxnSpPr/>
      </xdr:nvCxnSpPr>
      <xdr:spPr>
        <a:xfrm>
          <a:off x="3314700" y="3111500"/>
          <a:ext cx="12700" cy="368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Design">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1" enableFormatConditionsCalculation="0"/>
  <dimension ref="A1:AK203"/>
  <sheetViews>
    <sheetView workbookViewId="0">
      <pane xSplit="1" ySplit="3" topLeftCell="B4" activePane="bottomRight" state="frozen"/>
      <selection pane="topRight" activeCell="B1" sqref="B1"/>
      <selection pane="bottomLeft" activeCell="A2" sqref="A2"/>
      <selection pane="bottomRight" activeCell="U63" sqref="U63"/>
    </sheetView>
  </sheetViews>
  <sheetFormatPr baseColWidth="10" defaultRowHeight="15" x14ac:dyDescent="0"/>
  <cols>
    <col min="4" max="4" width="11.33203125" bestFit="1" customWidth="1"/>
    <col min="6" max="6" width="12.5" bestFit="1" customWidth="1"/>
    <col min="7" max="7" width="12.5" customWidth="1"/>
    <col min="8" max="8" width="15" bestFit="1" customWidth="1"/>
    <col min="9" max="9" width="13.5" bestFit="1" customWidth="1"/>
    <col min="10" max="10" width="14.83203125" bestFit="1" customWidth="1"/>
    <col min="11" max="14" width="14.83203125" customWidth="1"/>
    <col min="15" max="15" width="12" bestFit="1" customWidth="1"/>
    <col min="16" max="16" width="12.1640625" bestFit="1" customWidth="1"/>
    <col min="17" max="17" width="10" bestFit="1" customWidth="1"/>
    <col min="18" max="18" width="14.33203125" bestFit="1" customWidth="1"/>
    <col min="19" max="19" width="14.5" bestFit="1" customWidth="1"/>
    <col min="20" max="20" width="12.33203125" bestFit="1" customWidth="1"/>
    <col min="21" max="21" width="10.33203125" customWidth="1"/>
    <col min="26" max="26" width="12.5" bestFit="1" customWidth="1"/>
    <col min="27" max="27" width="15" bestFit="1" customWidth="1"/>
    <col min="28" max="28" width="11.83203125" bestFit="1" customWidth="1"/>
    <col min="29" max="29" width="17.6640625" bestFit="1" customWidth="1"/>
  </cols>
  <sheetData>
    <row r="1" spans="1:37">
      <c r="U1" s="353" t="s">
        <v>488</v>
      </c>
      <c r="V1" s="353"/>
      <c r="W1" s="353"/>
      <c r="X1" s="353"/>
      <c r="Y1" s="353"/>
      <c r="Z1" s="353"/>
      <c r="AA1" s="353"/>
      <c r="AB1" s="353"/>
      <c r="AC1" s="353"/>
      <c r="AE1" s="349" t="s">
        <v>585</v>
      </c>
      <c r="AG1" s="352" t="s">
        <v>600</v>
      </c>
      <c r="AH1" s="352"/>
      <c r="AI1" s="352"/>
      <c r="AJ1" s="352"/>
      <c r="AK1" s="352"/>
    </row>
    <row r="2" spans="1:37" ht="16" thickBot="1">
      <c r="K2" s="351" t="s">
        <v>456</v>
      </c>
      <c r="L2" s="351"/>
      <c r="M2" s="351"/>
      <c r="N2" s="351"/>
      <c r="O2" s="350" t="s">
        <v>228</v>
      </c>
      <c r="P2" s="350"/>
      <c r="Q2" s="350"/>
      <c r="R2" s="350"/>
      <c r="S2" s="350"/>
      <c r="T2" s="350"/>
      <c r="U2" s="271" t="s">
        <v>484</v>
      </c>
      <c r="V2" s="352" t="s">
        <v>487</v>
      </c>
      <c r="W2" s="352"/>
      <c r="X2" s="352"/>
      <c r="Y2" s="352" t="s">
        <v>501</v>
      </c>
      <c r="Z2" s="352"/>
      <c r="AA2" s="352"/>
      <c r="AB2" s="352" t="s">
        <v>502</v>
      </c>
      <c r="AC2" s="352"/>
      <c r="AE2" s="349"/>
      <c r="AG2" s="352"/>
      <c r="AH2" s="352"/>
      <c r="AI2" s="352"/>
      <c r="AJ2" s="352"/>
      <c r="AK2" s="352"/>
    </row>
    <row r="3" spans="1:37" s="1" customFormat="1">
      <c r="A3" s="19" t="s">
        <v>0</v>
      </c>
      <c r="B3" s="68" t="s">
        <v>1</v>
      </c>
      <c r="C3" s="72" t="s">
        <v>36</v>
      </c>
      <c r="D3" s="66" t="s">
        <v>37</v>
      </c>
      <c r="E3" s="66" t="s">
        <v>38</v>
      </c>
      <c r="F3" s="67" t="s">
        <v>35</v>
      </c>
      <c r="G3" s="70" t="s">
        <v>39</v>
      </c>
      <c r="H3" s="66" t="s">
        <v>40</v>
      </c>
      <c r="I3" s="66" t="s">
        <v>41</v>
      </c>
      <c r="J3" s="67" t="s">
        <v>120</v>
      </c>
      <c r="K3" s="261" t="s">
        <v>459</v>
      </c>
      <c r="L3" s="261" t="s">
        <v>455</v>
      </c>
      <c r="M3" s="261" t="s">
        <v>458</v>
      </c>
      <c r="N3" s="261" t="s">
        <v>457</v>
      </c>
      <c r="O3" s="1" t="s">
        <v>227</v>
      </c>
      <c r="P3" s="1" t="s">
        <v>229</v>
      </c>
      <c r="Q3" s="1" t="s">
        <v>230</v>
      </c>
      <c r="R3" s="179" t="s">
        <v>231</v>
      </c>
      <c r="S3" s="179" t="s">
        <v>232</v>
      </c>
      <c r="T3" s="179" t="s">
        <v>233</v>
      </c>
      <c r="U3" s="1" t="s">
        <v>485</v>
      </c>
      <c r="V3" s="1" t="s">
        <v>486</v>
      </c>
      <c r="W3" s="1" t="s">
        <v>43</v>
      </c>
      <c r="X3" s="1" t="s">
        <v>398</v>
      </c>
      <c r="Y3" s="1" t="s">
        <v>489</v>
      </c>
      <c r="Z3" s="1" t="s">
        <v>490</v>
      </c>
      <c r="AA3" s="1" t="s">
        <v>498</v>
      </c>
      <c r="AB3" s="1" t="s">
        <v>499</v>
      </c>
      <c r="AC3" s="1" t="s">
        <v>500</v>
      </c>
      <c r="AD3" s="1" t="s">
        <v>503</v>
      </c>
      <c r="AE3" s="349"/>
      <c r="AF3" s="1" t="s">
        <v>598</v>
      </c>
      <c r="AG3" s="1" t="s">
        <v>129</v>
      </c>
      <c r="AH3" s="1" t="s">
        <v>398</v>
      </c>
      <c r="AI3" s="1" t="s">
        <v>486</v>
      </c>
      <c r="AJ3" s="1" t="s">
        <v>43</v>
      </c>
      <c r="AK3" s="1" t="s">
        <v>599</v>
      </c>
    </row>
    <row r="4" spans="1:37">
      <c r="A4" s="36">
        <v>1</v>
      </c>
      <c r="B4" s="69">
        <f>Level!B5-Level!B4</f>
        <v>18</v>
      </c>
      <c r="C4" s="73">
        <f>Level!M4*VLOOKUP(A4,Plants!$C$4:$AH$47,32)*24+(10/Level!T4)</f>
        <v>9766.8615984405442</v>
      </c>
      <c r="D4" s="269">
        <f>B4/C4</f>
        <v>1.8429666294108259E-3</v>
      </c>
      <c r="E4" s="37">
        <v>0</v>
      </c>
      <c r="F4" s="205">
        <f>Level!M4*VLOOKUP(A4,Plants!$C$4:$AI$47,33)*24*1.15+IF(VLOOKUP(A4,Goals!$AO$4:$AO$120,1)=A4,VLOOKUP(A4,Goals!$AO$4:$AQ$120,3)/D4,0)+VLOOKUP(A4,Level!$A$4:$C$203,3)/D4</f>
        <v>461682.73770846863</v>
      </c>
      <c r="G4" s="71">
        <f>Level!M4*VLOOKUP(A4,Plants!$C$4:$X$47,21)*24</f>
        <v>4800</v>
      </c>
      <c r="H4" s="63">
        <f>B4/G4</f>
        <v>3.7499999999999999E-3</v>
      </c>
      <c r="I4" s="64">
        <v>0</v>
      </c>
      <c r="J4" s="35">
        <f>Level!M4*VLOOKUP(A4,Plants!$C$4:$X$47,22)*24</f>
        <v>24000</v>
      </c>
      <c r="K4" s="239">
        <f>ROUND(D4*F4,0)</f>
        <v>851</v>
      </c>
      <c r="L4" s="239">
        <f>SUM($K$4:K4)</f>
        <v>851</v>
      </c>
      <c r="M4" s="239">
        <f>ROUND(H4*J4,0)</f>
        <v>90</v>
      </c>
      <c r="N4" s="239">
        <f>SUM($M$4:M4)</f>
        <v>90</v>
      </c>
      <c r="O4">
        <f>ROUNDUP(MIN(50,ROUNDUP(A4/3,0),Level!M4)*Plants!Q$4*0.005,0)</f>
        <v>1</v>
      </c>
      <c r="P4">
        <f>ROUNDUP(MAX(4,MIN(A4,VLOOKUP(A4,Level!$A$4:$M$203,13))*MIN(4,ROUNDUP(VLOOKUP(A4,Background!$C$3:$D$52,2)/5,0)))*VLOOKUP(A4,Plants!$C$4:$AJ$53,30)*0.025,0)</f>
        <v>1</v>
      </c>
      <c r="Q4">
        <f>O4+P4/2</f>
        <v>1.5</v>
      </c>
      <c r="R4">
        <f>ROUND(MIN(50,ROUNDUP(A4/3,0),Level!M4)*Plants!R$4,0)</f>
        <v>5</v>
      </c>
      <c r="S4" s="153">
        <f>ROUNDUP(MAX(4,MIN(A4,VLOOKUP(A4,Level!$A$4:$M$203,13))*MIN(4,ROUNDUP(VLOOKUP(A4,Background!$C$3:$D$52,2)/5,0)))*VLOOKUP(A4,Plants!$C$4:$AJ$53,31)*1.25,0)</f>
        <v>200</v>
      </c>
      <c r="T4" s="153">
        <f>(R4+S4)/2</f>
        <v>102.5</v>
      </c>
      <c r="U4">
        <f>SUM($K$4:K4)</f>
        <v>851</v>
      </c>
      <c r="V4">
        <f>VLOOKUP(A4,Garden!$B$4:$P$19,15)</f>
        <v>0</v>
      </c>
      <c r="W4">
        <f>IF(VLOOKUP(A4,Plots!$B$4:$U$39,20)=W3,"*",VLOOKUP(A4,Plots!$B$4:$U$39,20))</f>
        <v>0</v>
      </c>
      <c r="X4">
        <v>0</v>
      </c>
      <c r="Y4">
        <f t="shared" ref="Y4:Y35" si="0">U4-SUM(V4:X4)</f>
        <v>851</v>
      </c>
      <c r="Z4" s="158">
        <f t="shared" ref="Z4:Z35" si="1">SUM(V4:X4)/U4</f>
        <v>0</v>
      </c>
      <c r="AA4">
        <f t="shared" ref="AA4:AA35" si="2">MIN(0,IF(Y4&lt;AA3,Y4,AA3))</f>
        <v>0</v>
      </c>
      <c r="AB4" s="170">
        <f>MAX(0,(-Y4)/VLOOKUP($A4,Payment!$A$39:$G$239,7)*100)</f>
        <v>0</v>
      </c>
      <c r="AC4" s="138">
        <f>IF(AND(AB4&lt;AC3,ISNUMBER(AC3)),AC3,AB4)</f>
        <v>0</v>
      </c>
      <c r="AD4">
        <f t="shared" ref="AD4:AD35" si="3">A4*(A4+1)*3/2</f>
        <v>3</v>
      </c>
      <c r="AE4">
        <f>IF(Y4&gt;=0,0,ROUND(-Y4/F4,1))</f>
        <v>0</v>
      </c>
      <c r="AF4" s="79">
        <f>IF(AND(AE4&lt;AF3,ISNUMBER(AF3)),AF3,AE4)</f>
        <v>0</v>
      </c>
    </row>
    <row r="5" spans="1:37">
      <c r="A5" s="36">
        <v>2</v>
      </c>
      <c r="B5" s="69">
        <f>Level!B6-Level!B5</f>
        <v>52</v>
      </c>
      <c r="C5" s="73">
        <f>Level!M5*VLOOKUP(A5,Plants!$C$4:$AH$47,32)*24+(39/Level!T5)</f>
        <v>18074.833579881662</v>
      </c>
      <c r="D5" s="269">
        <f>B5/C5</f>
        <v>2.8769282865142953E-3</v>
      </c>
      <c r="E5" s="65">
        <f>SUM(D$4:D4)</f>
        <v>1.8429666294108259E-3</v>
      </c>
      <c r="F5" s="205">
        <f>Level!M5*VLOOKUP(A5,Plants!$C$4:$AI$47,33)*24*1.15+IF(VLOOKUP(A5,Goals!$AO$4:$AO$120,1)=A5,VLOOKUP(A5,Goals!$AO$4:$AQ$120,3)/D5,0)+VLOOKUP(A5,Level!$A$4:$C$203,3)/D5</f>
        <v>446099.89647815219</v>
      </c>
      <c r="G5" s="71">
        <f>Level!M5*VLOOKUP(A5,Plants!$C$4:$X$47,21)*24</f>
        <v>6720</v>
      </c>
      <c r="H5" s="63">
        <f>B5/G5</f>
        <v>7.7380952380952384E-3</v>
      </c>
      <c r="I5" s="64">
        <f>SUM(H$4:H4)</f>
        <v>3.7499999999999999E-3</v>
      </c>
      <c r="J5" s="35">
        <f>Level!M5*VLOOKUP(A5,Plants!$C$4:$X$47,22)*24</f>
        <v>60480</v>
      </c>
      <c r="K5" s="239">
        <f t="shared" ref="K5:K68" si="4">ROUND(D5*F5,0)</f>
        <v>1283</v>
      </c>
      <c r="L5" s="239">
        <f>SUM($K$4:K5)</f>
        <v>2134</v>
      </c>
      <c r="M5" s="239">
        <f t="shared" ref="M5:M68" si="5">ROUND(H5*J5,0)</f>
        <v>468</v>
      </c>
      <c r="N5" s="239">
        <f>SUM($M$4:M5)</f>
        <v>558</v>
      </c>
      <c r="O5">
        <f>ROUNDUP(MIN(50,ROUNDUP(A5/3,0),Level!M5)*Plants!Q$4*0.005,0)</f>
        <v>1</v>
      </c>
      <c r="P5">
        <f>ROUNDUP(MAX(4,MIN(A5,VLOOKUP(A5,Level!$A$4:$M$203,13))*MIN(4,ROUNDUP(VLOOKUP(A5,Background!$C$3:$D$52,2)/5,0)))*VLOOKUP(A5,Plants!$C$4:$AJ$53,30)*0.025,0)</f>
        <v>1</v>
      </c>
      <c r="Q5">
        <f t="shared" ref="Q5:Q68" si="6">O5+P5/2</f>
        <v>1.5</v>
      </c>
      <c r="R5">
        <f>ROUND(MIN(50,ROUNDUP(A5/3,0),Level!M5)*Plants!R$4,0)</f>
        <v>5</v>
      </c>
      <c r="S5" s="153">
        <f>ROUNDUP(MAX(4,MIN(A5,VLOOKUP(A5,Level!$A$4:$M$203,13))*MIN(4,ROUNDUP(VLOOKUP(A5,Background!$C$3:$D$52,2)/5,0)))*VLOOKUP(A5,Plants!$C$4:$AJ$53,31)*1.25,0)</f>
        <v>200</v>
      </c>
      <c r="T5" s="153">
        <f t="shared" ref="T5:T68" si="7">(R5+S5)/2</f>
        <v>102.5</v>
      </c>
      <c r="U5">
        <f>SUM($K$4:K5)</f>
        <v>2134</v>
      </c>
      <c r="V5">
        <f>VLOOKUP(A5,Garden!$B$4:$P$19,15)</f>
        <v>0</v>
      </c>
      <c r="W5">
        <f>VLOOKUP(A5,Plots!$B$4:$U$39,20)</f>
        <v>800</v>
      </c>
      <c r="X5">
        <f>VLOOKUP(A5,'Decoration Background'!$A$2:$H$200,8)</f>
        <v>780</v>
      </c>
      <c r="Y5">
        <f t="shared" si="0"/>
        <v>554</v>
      </c>
      <c r="Z5" s="158">
        <f t="shared" si="1"/>
        <v>0.74039362699156519</v>
      </c>
      <c r="AA5">
        <f t="shared" si="2"/>
        <v>0</v>
      </c>
      <c r="AB5" s="170">
        <f>MAX(0,(-Y5)/VLOOKUP($A5,Payment!$A$39:$G$239,7)*100)</f>
        <v>0</v>
      </c>
      <c r="AC5" s="138">
        <f t="shared" ref="AC5:AC68" si="8">IF(AND(AB5&lt;AC4,ISNUMBER(AC4)),AC4,AB5)</f>
        <v>0</v>
      </c>
      <c r="AD5">
        <f t="shared" si="3"/>
        <v>9</v>
      </c>
      <c r="AE5">
        <f t="shared" ref="AE5:AE68" si="9">IF(Y5&gt;=0,0,ROUND(-Y5/F5,1))</f>
        <v>0</v>
      </c>
      <c r="AF5" s="79">
        <f t="shared" ref="AF5:AF68" si="10">IF(AND(AE5&lt;AF4,ISNUMBER(AF4)),AF4,AE5)</f>
        <v>0</v>
      </c>
    </row>
    <row r="6" spans="1:37">
      <c r="A6" s="36">
        <v>3</v>
      </c>
      <c r="B6" s="69">
        <f>Level!B7-Level!B6</f>
        <v>106</v>
      </c>
      <c r="C6" s="73">
        <f>Level!M6*VLOOKUP(A6,Plants!$C$4:$AH$47,32)*24+(85/Level!T6)</f>
        <v>5543.150661213851</v>
      </c>
      <c r="D6" s="62">
        <f t="shared" ref="D6:D69" si="11">B6/C6</f>
        <v>1.9122698710265236E-2</v>
      </c>
      <c r="E6" s="65">
        <f>SUM(D$4:D5)</f>
        <v>4.719894915925121E-3</v>
      </c>
      <c r="F6" s="205">
        <f>Level!M6*VLOOKUP(A6,Plants!$C$4:$AI$47,33)*24*1.15+IF(VLOOKUP(A6,Goals!$AO$4:$AO$120,1)=A6,VLOOKUP(A6,Goals!$AO$4:$AQ$120,3)/D6,0)+VLOOKUP(A6,Level!$A$4:$C$203,3)/D6</f>
        <v>85370.036411113266</v>
      </c>
      <c r="G6" s="71">
        <f>Level!M6*VLOOKUP(A6,Plants!$C$4:$X$47,21)*24</f>
        <v>6720</v>
      </c>
      <c r="H6" s="63">
        <f t="shared" ref="H6:H69" si="12">B6/G6</f>
        <v>1.5773809523809523E-2</v>
      </c>
      <c r="I6" s="64">
        <f>SUM(H$4:H5)</f>
        <v>1.1488095238095238E-2</v>
      </c>
      <c r="J6" s="35">
        <f>Level!M6*VLOOKUP(A6,Plants!$C$4:$X$47,22)*24</f>
        <v>60480</v>
      </c>
      <c r="K6" s="239">
        <f t="shared" si="4"/>
        <v>1633</v>
      </c>
      <c r="L6" s="239">
        <f>SUM($K$4:K6)</f>
        <v>3767</v>
      </c>
      <c r="M6" s="239">
        <f t="shared" si="5"/>
        <v>954</v>
      </c>
      <c r="N6" s="239">
        <f>SUM($M$4:M6)</f>
        <v>1512</v>
      </c>
      <c r="O6">
        <f>ROUNDUP(MIN(50,ROUNDUP(A6/3,0),Level!M6)*Plants!Q$4*0.005,0)</f>
        <v>1</v>
      </c>
      <c r="P6">
        <f>ROUNDUP(MAX(4,MIN(A6,VLOOKUP(A6,Level!$A$4:$M$203,13))*MIN(4,ROUNDUP(VLOOKUP(A6,Background!$C$3:$D$52,2)/5,0)))*VLOOKUP(A6,Plants!$C$4:$AJ$53,30)*0.025,0)</f>
        <v>1</v>
      </c>
      <c r="Q6">
        <f t="shared" si="6"/>
        <v>1.5</v>
      </c>
      <c r="R6">
        <f>ROUND(MIN(50,ROUNDUP(A6/3,0),Level!M6)*Plants!R$4,0)</f>
        <v>5</v>
      </c>
      <c r="S6" s="153">
        <f>ROUNDUP(MAX(4,MIN(A6,VLOOKUP(A6,Level!$A$4:$M$203,13))*MIN(4,ROUNDUP(VLOOKUP(A6,Background!$C$3:$D$52,2)/5,0)))*VLOOKUP(A6,Plants!$C$4:$AJ$53,31)*1.25,0)</f>
        <v>200</v>
      </c>
      <c r="T6" s="153">
        <f t="shared" si="7"/>
        <v>102.5</v>
      </c>
      <c r="U6">
        <f>SUM($K$4:K6)</f>
        <v>3767</v>
      </c>
      <c r="V6">
        <f>VLOOKUP(A6,Garden!$B$4:$P$19,15)</f>
        <v>1400</v>
      </c>
      <c r="W6">
        <f>VLOOKUP(A6,Plots!$B$4:$U$39,20)</f>
        <v>800</v>
      </c>
      <c r="X6">
        <f>VLOOKUP(A6,'Decoration Background'!$A$2:$H$200,8)</f>
        <v>1686</v>
      </c>
      <c r="Y6">
        <f t="shared" si="0"/>
        <v>-119</v>
      </c>
      <c r="Z6" s="158">
        <f t="shared" si="1"/>
        <v>1.0315901247677197</v>
      </c>
      <c r="AA6">
        <f t="shared" si="2"/>
        <v>-119</v>
      </c>
      <c r="AB6" s="170">
        <f>MAX(0,(-Y6)/VLOOKUP($A6,Payment!$A$39:$G$239,7)*100)</f>
        <v>2.3800000000000002E-2</v>
      </c>
      <c r="AC6" s="138">
        <f t="shared" si="8"/>
        <v>2.3800000000000002E-2</v>
      </c>
      <c r="AD6">
        <f t="shared" si="3"/>
        <v>18</v>
      </c>
      <c r="AE6">
        <f t="shared" si="9"/>
        <v>0</v>
      </c>
      <c r="AF6" s="79">
        <f t="shared" si="10"/>
        <v>0</v>
      </c>
    </row>
    <row r="7" spans="1:37">
      <c r="A7" s="36">
        <v>4</v>
      </c>
      <c r="B7" s="69">
        <f>Level!B8-Level!B7</f>
        <v>109</v>
      </c>
      <c r="C7" s="73">
        <f>Level!M7*VLOOKUP(A7,Plants!$C$4:$AH$47,32)*24+(109/Level!T7)</f>
        <v>2129.2529633476947</v>
      </c>
      <c r="D7" s="62">
        <f t="shared" si="11"/>
        <v>5.1191662933569873E-2</v>
      </c>
      <c r="E7" s="65">
        <f>SUM(D$4:D6)</f>
        <v>2.3842593626190359E-2</v>
      </c>
      <c r="F7" s="205">
        <f>Level!M7*VLOOKUP(A7,Plants!$C$4:$AI$47,33)*24*1.15+IF(VLOOKUP(A7,Goals!$AO$4:$AO$120,1)=A7,VLOOKUP(A7,Goals!$AO$4:$AQ$120,3)/D7,0)+VLOOKUP(A7,Level!$A$4:$C$203,3)/D7</f>
        <v>44736.203198961215</v>
      </c>
      <c r="G7" s="71">
        <f>Level!M7*VLOOKUP(A7,Plants!$C$4:$X$47,21)*24</f>
        <v>6720</v>
      </c>
      <c r="H7" s="63">
        <f t="shared" si="12"/>
        <v>1.6220238095238097E-2</v>
      </c>
      <c r="I7" s="64">
        <f>SUM(H$4:H6)</f>
        <v>2.7261904761904762E-2</v>
      </c>
      <c r="J7" s="35">
        <f>Level!M7*VLOOKUP(A7,Plants!$C$4:$X$47,22)*24</f>
        <v>60480</v>
      </c>
      <c r="K7" s="239">
        <f t="shared" si="4"/>
        <v>2290</v>
      </c>
      <c r="L7" s="239">
        <f>SUM($K$4:K7)</f>
        <v>6057</v>
      </c>
      <c r="M7" s="239">
        <f t="shared" si="5"/>
        <v>981</v>
      </c>
      <c r="N7" s="239">
        <f>SUM($M$4:M7)</f>
        <v>2493</v>
      </c>
      <c r="O7">
        <f>ROUNDUP(MIN(50,ROUNDUP(A7/3,0),Level!M7)*Plants!Q$4*0.005,0)</f>
        <v>1</v>
      </c>
      <c r="P7">
        <f>ROUNDUP(MAX(4,MIN(A7,VLOOKUP(A7,Level!$A$4:$M$203,13))*MIN(4,ROUNDUP(VLOOKUP(A7,Background!$C$3:$D$52,2)/5,0)))*VLOOKUP(A7,Plants!$C$4:$AJ$53,30)*0.025,0)</f>
        <v>1</v>
      </c>
      <c r="Q7">
        <f t="shared" si="6"/>
        <v>1.5</v>
      </c>
      <c r="R7">
        <f>ROUND(MIN(50,ROUNDUP(A7/3,0),Level!M7)*Plants!R$4,0)</f>
        <v>10</v>
      </c>
      <c r="S7" s="153">
        <f>ROUNDUP(MAX(4,MIN(A7,VLOOKUP(A7,Level!$A$4:$M$203,13))*MIN(4,ROUNDUP(VLOOKUP(A7,Background!$C$3:$D$52,2)/5,0)))*VLOOKUP(A7,Plants!$C$4:$AJ$53,31)*1.25,0)</f>
        <v>200</v>
      </c>
      <c r="T7" s="153">
        <f t="shared" si="7"/>
        <v>105</v>
      </c>
      <c r="U7">
        <f>SUM($K$4:K7)</f>
        <v>6057</v>
      </c>
      <c r="V7">
        <f>VLOOKUP(A7,Garden!$B$4:$P$19,15)</f>
        <v>1400</v>
      </c>
      <c r="W7">
        <f>VLOOKUP(A7,Plots!$B$4:$U$39,20)</f>
        <v>800</v>
      </c>
      <c r="X7">
        <f>VLOOKUP(A7,'Decoration Background'!$A$2:$H$200,8)</f>
        <v>3039</v>
      </c>
      <c r="Y7">
        <f t="shared" si="0"/>
        <v>818</v>
      </c>
      <c r="Z7" s="158">
        <f t="shared" si="1"/>
        <v>0.86494964503879812</v>
      </c>
      <c r="AA7">
        <f t="shared" si="2"/>
        <v>-119</v>
      </c>
      <c r="AB7" s="170">
        <f>MAX(0,(-Y7)/VLOOKUP($A7,Payment!$A$39:$G$239,7)*100)</f>
        <v>0</v>
      </c>
      <c r="AC7" s="138">
        <f t="shared" si="8"/>
        <v>2.3800000000000002E-2</v>
      </c>
      <c r="AD7">
        <f t="shared" si="3"/>
        <v>30</v>
      </c>
      <c r="AE7">
        <f t="shared" si="9"/>
        <v>0</v>
      </c>
      <c r="AF7" s="79">
        <f t="shared" si="10"/>
        <v>0</v>
      </c>
    </row>
    <row r="8" spans="1:37">
      <c r="A8" s="36">
        <v>5</v>
      </c>
      <c r="B8" s="69">
        <f>Level!B9-Level!B8</f>
        <v>130</v>
      </c>
      <c r="C8" s="73">
        <f>Level!M8*VLOOKUP(A8,Plants!$C$4:$AH$47,32)*24+(27/Level!T8)</f>
        <v>753.17997793686766</v>
      </c>
      <c r="D8" s="62">
        <f t="shared" si="11"/>
        <v>0.17260150801684845</v>
      </c>
      <c r="E8" s="65">
        <f>SUM(D$4:D7)</f>
        <v>7.5034256559760232E-2</v>
      </c>
      <c r="F8" s="205">
        <f>Level!M8*VLOOKUP(A8,Plants!$C$4:$AI$47,33)*24*1.15+IF(VLOOKUP(A8,Goals!$AO$4:$AO$120,1)=A8,VLOOKUP(A8,Goals!$AO$4:$AQ$120,3)/D8,0)+VLOOKUP(A8,Level!$A$4:$C$203,3)/D8</f>
        <v>15982.57894736842</v>
      </c>
      <c r="G8" s="71">
        <f>Level!M8*VLOOKUP(A8,Plants!$C$4:$X$47,21)*24</f>
        <v>8640</v>
      </c>
      <c r="H8" s="63">
        <f t="shared" si="12"/>
        <v>1.5046296296296295E-2</v>
      </c>
      <c r="I8" s="64">
        <f>SUM(H$4:H7)</f>
        <v>4.3482142857142858E-2</v>
      </c>
      <c r="J8" s="35">
        <f>Level!M8*VLOOKUP(A8,Plants!$C$4:$X$47,22)*24</f>
        <v>77760</v>
      </c>
      <c r="K8" s="239">
        <f t="shared" si="4"/>
        <v>2759</v>
      </c>
      <c r="L8" s="239">
        <f>SUM($K$4:K8)</f>
        <v>8816</v>
      </c>
      <c r="M8" s="239">
        <f t="shared" si="5"/>
        <v>1170</v>
      </c>
      <c r="N8" s="239">
        <f>SUM($M$4:M8)</f>
        <v>3663</v>
      </c>
      <c r="O8">
        <f>ROUNDUP(MIN(50,ROUNDUP(A8/3,0),Level!M8)*Plants!Q$4*0.005,0)</f>
        <v>1</v>
      </c>
      <c r="P8">
        <f>ROUNDUP(MAX(4,MIN(A8,VLOOKUP(A8,Level!$A$4:$M$203,13))*MIN(4,ROUNDUP(VLOOKUP(A8,Background!$C$3:$D$52,2)/5,0)))*VLOOKUP(A8,Plants!$C$4:$AJ$53,30)*0.025,0)</f>
        <v>1</v>
      </c>
      <c r="Q8">
        <f t="shared" si="6"/>
        <v>1.5</v>
      </c>
      <c r="R8">
        <f>ROUND(MIN(50,ROUNDUP(A8/3,0),Level!M8)*Plants!R$4,0)</f>
        <v>10</v>
      </c>
      <c r="S8" s="153">
        <f>ROUNDUP(MAX(4,MIN(A8,VLOOKUP(A8,Level!$A$4:$M$203,13))*MIN(4,ROUNDUP(VLOOKUP(A8,Background!$C$3:$D$52,2)/5,0)))*VLOOKUP(A8,Plants!$C$4:$AJ$53,31)*1.25,0)</f>
        <v>719</v>
      </c>
      <c r="T8" s="153">
        <f t="shared" si="7"/>
        <v>364.5</v>
      </c>
      <c r="U8">
        <f>SUM($K$4:K8)</f>
        <v>8816</v>
      </c>
      <c r="V8">
        <f>VLOOKUP(A8,Garden!$B$4:$P$19,15)</f>
        <v>1400</v>
      </c>
      <c r="W8">
        <f>VLOOKUP(A8,Plots!$B$4:$U$39,20)</f>
        <v>3200</v>
      </c>
      <c r="X8">
        <f>VLOOKUP(A8,'Decoration Background'!$A$2:$H$200,8)</f>
        <v>4839</v>
      </c>
      <c r="Y8">
        <f t="shared" si="0"/>
        <v>-623</v>
      </c>
      <c r="Z8" s="158">
        <f t="shared" si="1"/>
        <v>1.0706669691470054</v>
      </c>
      <c r="AA8">
        <f t="shared" si="2"/>
        <v>-623</v>
      </c>
      <c r="AB8" s="170">
        <f>MAX(0,(-Y8)/VLOOKUP($A8,Payment!$A$39:$G$239,7)*100)</f>
        <v>0.1198076923076923</v>
      </c>
      <c r="AC8" s="138">
        <f t="shared" si="8"/>
        <v>0.1198076923076923</v>
      </c>
      <c r="AD8">
        <f t="shared" si="3"/>
        <v>45</v>
      </c>
      <c r="AE8">
        <f t="shared" si="9"/>
        <v>0</v>
      </c>
      <c r="AF8" s="79">
        <f t="shared" si="10"/>
        <v>0</v>
      </c>
    </row>
    <row r="9" spans="1:37">
      <c r="A9" s="36">
        <v>6</v>
      </c>
      <c r="B9" s="69">
        <f>Level!B10-Level!B9</f>
        <v>171</v>
      </c>
      <c r="C9" s="73">
        <f>Level!M9*VLOOKUP(A9,Plants!$C$4:$AH$47,32)*24+(27/Level!T9)</f>
        <v>627.98844919482178</v>
      </c>
      <c r="D9" s="62">
        <f t="shared" si="11"/>
        <v>0.27229800200823506</v>
      </c>
      <c r="E9" s="65">
        <f>SUM(D$4:D8)</f>
        <v>0.24763576457660869</v>
      </c>
      <c r="F9" s="205">
        <f>Level!M9*VLOOKUP(A9,Plants!$C$4:$AI$47,33)*24*1.15+IF(VLOOKUP(A9,Goals!$AO$4:$AO$120,1)=A9,VLOOKUP(A9,Goals!$AO$4:$AQ$120,3)/D9,0)+VLOOKUP(A9,Level!$A$4:$C$203,3)/D9</f>
        <v>13801.408163265303</v>
      </c>
      <c r="G9" s="71">
        <f>Level!M9*VLOOKUP(A9,Plants!$C$4:$X$47,21)*24</f>
        <v>8640</v>
      </c>
      <c r="H9" s="63">
        <f t="shared" si="12"/>
        <v>1.9791666666666666E-2</v>
      </c>
      <c r="I9" s="64">
        <f>SUM(H$4:H8)</f>
        <v>5.8528439153439152E-2</v>
      </c>
      <c r="J9" s="35">
        <f>Level!M9*VLOOKUP(A9,Plants!$C$4:$X$47,22)*24</f>
        <v>77760</v>
      </c>
      <c r="K9" s="239">
        <f t="shared" si="4"/>
        <v>3758</v>
      </c>
      <c r="L9" s="239">
        <f>SUM($K$4:K9)</f>
        <v>12574</v>
      </c>
      <c r="M9" s="239">
        <f t="shared" si="5"/>
        <v>1539</v>
      </c>
      <c r="N9" s="239">
        <f>SUM($M$4:M9)</f>
        <v>5202</v>
      </c>
      <c r="O9">
        <f>ROUNDUP(MIN(50,ROUNDUP(A9/3,0),Level!M9)*Plants!Q$4*0.005,0)</f>
        <v>1</v>
      </c>
      <c r="P9">
        <f>ROUNDUP(MAX(4,MIN(A9,VLOOKUP(A9,Level!$A$4:$M$203,13))*MIN(4,ROUNDUP(VLOOKUP(A9,Background!$C$3:$D$52,2)/5,0)))*VLOOKUP(A9,Plants!$C$4:$AJ$53,30)*0.025,0)</f>
        <v>2</v>
      </c>
      <c r="Q9">
        <f t="shared" si="6"/>
        <v>2</v>
      </c>
      <c r="R9">
        <f>ROUND(MIN(50,ROUNDUP(A9/3,0),Level!M9)*Plants!R$4,0)</f>
        <v>10</v>
      </c>
      <c r="S9" s="153">
        <f>ROUNDUP(MAX(4,MIN(A9,VLOOKUP(A9,Level!$A$4:$M$203,13))*MIN(4,ROUNDUP(VLOOKUP(A9,Background!$C$3:$D$52,2)/5,0)))*VLOOKUP(A9,Plants!$C$4:$AJ$53,31)*1.25,0)</f>
        <v>1500</v>
      </c>
      <c r="T9" s="153">
        <f t="shared" si="7"/>
        <v>755</v>
      </c>
      <c r="U9">
        <f>SUM($K$4:K9)</f>
        <v>12574</v>
      </c>
      <c r="V9">
        <f>VLOOKUP(A9,Garden!$B$4:$P$19,15)</f>
        <v>1400</v>
      </c>
      <c r="W9">
        <f>VLOOKUP(A9,Plots!$B$4:$U$39,20)</f>
        <v>3200</v>
      </c>
      <c r="X9">
        <f>VLOOKUP(A9,'Decoration Background'!$A$2:$H$200,8)</f>
        <v>7095</v>
      </c>
      <c r="Y9">
        <f t="shared" si="0"/>
        <v>879</v>
      </c>
      <c r="Z9" s="158">
        <f t="shared" si="1"/>
        <v>0.93009384444090981</v>
      </c>
      <c r="AA9">
        <f t="shared" si="2"/>
        <v>-623</v>
      </c>
      <c r="AB9" s="170">
        <f>MAX(0,(-Y9)/VLOOKUP($A9,Payment!$A$39:$G$239,7)*100)</f>
        <v>0</v>
      </c>
      <c r="AC9" s="138">
        <f t="shared" si="8"/>
        <v>0.1198076923076923</v>
      </c>
      <c r="AD9">
        <f t="shared" si="3"/>
        <v>63</v>
      </c>
      <c r="AE9">
        <f t="shared" si="9"/>
        <v>0</v>
      </c>
      <c r="AF9" s="79">
        <f t="shared" si="10"/>
        <v>0</v>
      </c>
    </row>
    <row r="10" spans="1:37">
      <c r="A10" s="36">
        <v>7</v>
      </c>
      <c r="B10" s="69">
        <f>Level!B11-Level!B10</f>
        <v>224</v>
      </c>
      <c r="C10" s="73">
        <f>Level!M10*VLOOKUP(A10,Plants!$C$4:$AH$47,32)*24+(27/Level!T10)</f>
        <v>601.42335830367983</v>
      </c>
      <c r="D10" s="62">
        <f t="shared" si="11"/>
        <v>0.37244978417831009</v>
      </c>
      <c r="E10" s="65">
        <f>SUM(D$4:D9)</f>
        <v>0.5199337665848438</v>
      </c>
      <c r="F10" s="205">
        <f>Level!M10*VLOOKUP(A10,Plants!$C$4:$AI$47,33)*24*1.15+IF(VLOOKUP(A10,Goals!$AO$4:$AO$120,1)=A10,VLOOKUP(A10,Goals!$AO$4:$AQ$120,3)/D10,0)+VLOOKUP(A10,Level!$A$4:$C$203,3)/D10</f>
        <v>13801.408163265303</v>
      </c>
      <c r="G10" s="71">
        <f>Level!M10*VLOOKUP(A10,Plants!$C$4:$X$47,21)*24</f>
        <v>8640</v>
      </c>
      <c r="H10" s="63">
        <f t="shared" si="12"/>
        <v>2.5925925925925925E-2</v>
      </c>
      <c r="I10" s="64">
        <f>SUM(H$4:H9)</f>
        <v>7.8320105820105818E-2</v>
      </c>
      <c r="J10" s="35">
        <f>Level!M10*VLOOKUP(A10,Plants!$C$4:$X$47,22)*24</f>
        <v>77760</v>
      </c>
      <c r="K10" s="239">
        <f t="shared" si="4"/>
        <v>5140</v>
      </c>
      <c r="L10" s="239">
        <f>SUM($K$4:K10)</f>
        <v>17714</v>
      </c>
      <c r="M10" s="239">
        <f t="shared" si="5"/>
        <v>2016</v>
      </c>
      <c r="N10" s="239">
        <f>SUM($M$4:M10)</f>
        <v>7218</v>
      </c>
      <c r="O10">
        <f>ROUNDUP(MIN(50,ROUNDUP(A10/3,0),Level!M10)*Plants!Q$4*0.005,0)</f>
        <v>1</v>
      </c>
      <c r="P10">
        <f>ROUNDUP(MAX(4,MIN(A10,VLOOKUP(A10,Level!$A$4:$M$203,13))*MIN(4,ROUNDUP(VLOOKUP(A10,Background!$C$3:$D$52,2)/5,0)))*VLOOKUP(A10,Plants!$C$4:$AJ$53,30)*0.025,0)</f>
        <v>2</v>
      </c>
      <c r="Q10">
        <f t="shared" si="6"/>
        <v>2</v>
      </c>
      <c r="R10">
        <f>ROUND(MIN(50,ROUNDUP(A10/3,0),Level!M10)*Plants!R$4,0)</f>
        <v>15</v>
      </c>
      <c r="S10" s="153">
        <f>ROUNDUP(MAX(4,MIN(A10,VLOOKUP(A10,Level!$A$4:$M$203,13))*MIN(4,ROUNDUP(VLOOKUP(A10,Background!$C$3:$D$52,2)/5,0)))*VLOOKUP(A10,Plants!$C$4:$AJ$53,31)*1.25,0)</f>
        <v>1750</v>
      </c>
      <c r="T10" s="153">
        <f t="shared" si="7"/>
        <v>882.5</v>
      </c>
      <c r="U10">
        <f>SUM($K$4:K10)</f>
        <v>17714</v>
      </c>
      <c r="V10">
        <f>VLOOKUP(A10,Garden!$B$4:$P$19,15)</f>
        <v>1400</v>
      </c>
      <c r="W10">
        <f>VLOOKUP(A10,Plots!$B$4:$U$39,20)</f>
        <v>3200</v>
      </c>
      <c r="X10">
        <f>VLOOKUP(A10,'Decoration Background'!$A$2:$H$200,8)</f>
        <v>9909</v>
      </c>
      <c r="Y10">
        <f t="shared" si="0"/>
        <v>3205</v>
      </c>
      <c r="Z10" s="158">
        <f t="shared" si="1"/>
        <v>0.81906966241390988</v>
      </c>
      <c r="AA10">
        <f t="shared" si="2"/>
        <v>-623</v>
      </c>
      <c r="AB10" s="170">
        <f>MAX(0,(-Y10)/VLOOKUP($A10,Payment!$A$39:$G$239,7)*100)</f>
        <v>0</v>
      </c>
      <c r="AC10" s="138">
        <f t="shared" si="8"/>
        <v>0.1198076923076923</v>
      </c>
      <c r="AD10">
        <f t="shared" si="3"/>
        <v>84</v>
      </c>
      <c r="AE10">
        <f t="shared" si="9"/>
        <v>0</v>
      </c>
      <c r="AF10" s="79">
        <f t="shared" si="10"/>
        <v>0</v>
      </c>
    </row>
    <row r="11" spans="1:37">
      <c r="A11" s="36">
        <v>8</v>
      </c>
      <c r="B11" s="69">
        <f>Level!B12-Level!B11</f>
        <v>333</v>
      </c>
      <c r="C11" s="73">
        <f>Level!M11*VLOOKUP(A11,Plants!$C$4:$AH$47,32)*24+(27/Level!T11)</f>
        <v>703.64894483385797</v>
      </c>
      <c r="D11" s="62">
        <f t="shared" si="11"/>
        <v>0.47324735217023067</v>
      </c>
      <c r="E11" s="65">
        <f>SUM(D$4:D10)</f>
        <v>0.8923835507631539</v>
      </c>
      <c r="F11" s="205">
        <f>Level!M11*VLOOKUP(A11,Plants!$C$4:$AI$47,33)*24*1.15+IF(VLOOKUP(A11,Goals!$AO$4:$AO$120,1)=A11,VLOOKUP(A11,Goals!$AO$4:$AQ$120,3)/D11,0)+VLOOKUP(A11,Level!$A$4:$C$203,3)/D11</f>
        <v>16868.387755102038</v>
      </c>
      <c r="G11" s="71">
        <f>Level!M11*VLOOKUP(A11,Plants!$C$4:$X$47,21)*24</f>
        <v>10560</v>
      </c>
      <c r="H11" s="63">
        <f t="shared" si="12"/>
        <v>3.1534090909090907E-2</v>
      </c>
      <c r="I11" s="64">
        <f>SUM(H$4:H10)</f>
        <v>0.10424603174603174</v>
      </c>
      <c r="J11" s="35">
        <f>Level!M11*VLOOKUP(A11,Plants!$C$4:$X$47,22)*24</f>
        <v>95040</v>
      </c>
      <c r="K11" s="239">
        <f t="shared" si="4"/>
        <v>7983</v>
      </c>
      <c r="L11" s="239">
        <f>SUM($K$4:K11)</f>
        <v>25697</v>
      </c>
      <c r="M11" s="239">
        <f t="shared" si="5"/>
        <v>2997</v>
      </c>
      <c r="N11" s="239">
        <f>SUM($M$4:M11)</f>
        <v>10215</v>
      </c>
      <c r="O11">
        <f>ROUNDUP(MIN(50,ROUNDUP(A11/3,0),Level!M11)*Plants!Q$4*0.005,0)</f>
        <v>1</v>
      </c>
      <c r="P11">
        <f>ROUNDUP(MAX(4,MIN(A11,VLOOKUP(A11,Level!$A$4:$M$203,13))*MIN(4,ROUNDUP(VLOOKUP(A11,Background!$C$3:$D$52,2)/5,0)))*VLOOKUP(A11,Plants!$C$4:$AJ$53,30)*0.025,0)</f>
        <v>2</v>
      </c>
      <c r="Q11">
        <f t="shared" si="6"/>
        <v>2</v>
      </c>
      <c r="R11">
        <f>ROUND(MIN(50,ROUNDUP(A11/3,0),Level!M11)*Plants!R$4,0)</f>
        <v>15</v>
      </c>
      <c r="S11" s="153">
        <f>ROUNDUP(MAX(4,MIN(A11,VLOOKUP(A11,Level!$A$4:$M$203,13))*MIN(4,ROUNDUP(VLOOKUP(A11,Background!$C$3:$D$52,2)/5,0)))*VLOOKUP(A11,Plants!$C$4:$AJ$53,31)*1.25,0)</f>
        <v>2000</v>
      </c>
      <c r="T11" s="153">
        <f t="shared" si="7"/>
        <v>1007.5</v>
      </c>
      <c r="U11">
        <f>SUM($K$4:K11)</f>
        <v>25697</v>
      </c>
      <c r="V11">
        <f>VLOOKUP(A11,Garden!$B$4:$P$19,15)</f>
        <v>1400</v>
      </c>
      <c r="W11">
        <f>VLOOKUP(A11,Plots!$B$4:$U$39,20)</f>
        <v>9200</v>
      </c>
      <c r="X11">
        <f>VLOOKUP(A11,'Decoration Background'!$A$2:$H$200,8)</f>
        <v>13404</v>
      </c>
      <c r="Y11">
        <f t="shared" si="0"/>
        <v>1693</v>
      </c>
      <c r="Z11" s="158">
        <f t="shared" si="1"/>
        <v>0.93411682297544463</v>
      </c>
      <c r="AA11">
        <f t="shared" si="2"/>
        <v>-623</v>
      </c>
      <c r="AB11" s="170">
        <f>MAX(0,(-Y11)/VLOOKUP($A11,Payment!$A$39:$G$239,7)*100)</f>
        <v>0</v>
      </c>
      <c r="AC11" s="138">
        <f t="shared" si="8"/>
        <v>0.1198076923076923</v>
      </c>
      <c r="AD11">
        <f t="shared" si="3"/>
        <v>108</v>
      </c>
      <c r="AE11">
        <f t="shared" si="9"/>
        <v>0</v>
      </c>
      <c r="AF11" s="79">
        <f t="shared" si="10"/>
        <v>0</v>
      </c>
    </row>
    <row r="12" spans="1:37">
      <c r="A12" s="36">
        <v>9</v>
      </c>
      <c r="B12" s="69">
        <f>Level!B13-Level!B12</f>
        <v>377</v>
      </c>
      <c r="C12" s="73">
        <f>Level!M12*VLOOKUP(A12,Plants!$C$4:$AH$47,32)*24+(27/Level!T12)</f>
        <v>657.99592934974464</v>
      </c>
      <c r="D12" s="62">
        <f t="shared" si="11"/>
        <v>0.57295187277612036</v>
      </c>
      <c r="E12" s="65">
        <f>SUM(D$4:D11)</f>
        <v>1.3656309029333846</v>
      </c>
      <c r="F12" s="205">
        <f>Level!M12*VLOOKUP(A12,Plants!$C$4:$AI$47,33)*24*1.15+IF(VLOOKUP(A12,Goals!$AO$4:$AO$120,1)=A12,VLOOKUP(A12,Goals!$AO$4:$AQ$120,3)/D12,0)+VLOOKUP(A12,Level!$A$4:$C$203,3)/D12</f>
        <v>15575.64893617021</v>
      </c>
      <c r="G12" s="71">
        <f>Level!M12*VLOOKUP(A12,Plants!$C$4:$X$47,21)*24</f>
        <v>10560</v>
      </c>
      <c r="H12" s="63">
        <f t="shared" si="12"/>
        <v>3.5700757575757573E-2</v>
      </c>
      <c r="I12" s="64">
        <f>SUM(H$4:H11)</f>
        <v>0.13578012265512265</v>
      </c>
      <c r="J12" s="35">
        <f>Level!M12*VLOOKUP(A12,Plants!$C$4:$X$47,22)*24</f>
        <v>95040</v>
      </c>
      <c r="K12" s="239">
        <f t="shared" si="4"/>
        <v>8924</v>
      </c>
      <c r="L12" s="239">
        <f>SUM($K$4:K12)</f>
        <v>34621</v>
      </c>
      <c r="M12" s="239">
        <f t="shared" si="5"/>
        <v>3393</v>
      </c>
      <c r="N12" s="239">
        <f>SUM($M$4:M12)</f>
        <v>13608</v>
      </c>
      <c r="O12">
        <f>ROUNDUP(MIN(50,ROUNDUP(A12/3,0),Level!M12)*Plants!Q$4*0.005,0)</f>
        <v>1</v>
      </c>
      <c r="P12">
        <f>ROUNDUP(MAX(4,MIN(A12,VLOOKUP(A12,Level!$A$4:$M$203,13))*MIN(4,ROUNDUP(VLOOKUP(A12,Background!$C$3:$D$52,2)/5,0)))*VLOOKUP(A12,Plants!$C$4:$AJ$53,30)*0.025,0)</f>
        <v>6</v>
      </c>
      <c r="Q12">
        <f t="shared" si="6"/>
        <v>4</v>
      </c>
      <c r="R12">
        <f>ROUND(MIN(50,ROUNDUP(A12/3,0),Level!M12)*Plants!R$4,0)</f>
        <v>15</v>
      </c>
      <c r="S12" s="153">
        <f>ROUNDUP(MAX(4,MIN(A12,VLOOKUP(A12,Level!$A$4:$M$203,13))*MIN(4,ROUNDUP(VLOOKUP(A12,Background!$C$3:$D$52,2)/5,0)))*VLOOKUP(A12,Plants!$C$4:$AJ$53,31)*1.25,0)</f>
        <v>6300</v>
      </c>
      <c r="T12" s="153">
        <f t="shared" si="7"/>
        <v>3157.5</v>
      </c>
      <c r="U12">
        <f>SUM($K$4:K12)</f>
        <v>34621</v>
      </c>
      <c r="V12">
        <f>VLOOKUP(A12,Garden!$B$4:$P$19,15)</f>
        <v>1400</v>
      </c>
      <c r="W12">
        <f>VLOOKUP(A12,Plots!$B$4:$U$39,20)</f>
        <v>9200</v>
      </c>
      <c r="X12">
        <f>VLOOKUP(A12,'Decoration Background'!$A$2:$H$200,8)</f>
        <v>17730</v>
      </c>
      <c r="Y12">
        <f t="shared" si="0"/>
        <v>6291</v>
      </c>
      <c r="Z12" s="158">
        <f t="shared" si="1"/>
        <v>0.81828947748476355</v>
      </c>
      <c r="AA12">
        <f t="shared" si="2"/>
        <v>-623</v>
      </c>
      <c r="AB12" s="170">
        <f>MAX(0,(-Y12)/VLOOKUP($A12,Payment!$A$39:$G$239,7)*100)</f>
        <v>0</v>
      </c>
      <c r="AC12" s="138">
        <f t="shared" si="8"/>
        <v>0.1198076923076923</v>
      </c>
      <c r="AD12">
        <f t="shared" si="3"/>
        <v>135</v>
      </c>
      <c r="AE12">
        <f t="shared" si="9"/>
        <v>0</v>
      </c>
      <c r="AF12" s="79">
        <f t="shared" si="10"/>
        <v>0</v>
      </c>
    </row>
    <row r="13" spans="1:37">
      <c r="A13" s="36">
        <v>10</v>
      </c>
      <c r="B13" s="69">
        <f>Level!B14-Level!B13</f>
        <v>438</v>
      </c>
      <c r="C13" s="73">
        <f>Level!M13*VLOOKUP(A13,Plants!$C$4:$AH$47,32)*24+(27/Level!T13)</f>
        <v>650.98765462566598</v>
      </c>
      <c r="D13" s="62">
        <f t="shared" si="11"/>
        <v>0.67282381914271605</v>
      </c>
      <c r="E13" s="65">
        <f>SUM(D$4:D12)</f>
        <v>1.9385827757095049</v>
      </c>
      <c r="F13" s="205">
        <f>Level!M13*VLOOKUP(A13,Plants!$C$4:$AI$47,33)*24*1.15+IF(VLOOKUP(A13,Goals!$AO$4:$AO$120,1)=A13,VLOOKUP(A13,Goals!$AO$4:$AQ$120,3)/D13,0)+VLOOKUP(A13,Level!$A$4:$C$203,3)/D13</f>
        <v>15575.64893617021</v>
      </c>
      <c r="G13" s="71">
        <f>Level!M13*VLOOKUP(A13,Plants!$C$4:$X$47,21)*24</f>
        <v>10560</v>
      </c>
      <c r="H13" s="63">
        <f t="shared" si="12"/>
        <v>4.1477272727272731E-2</v>
      </c>
      <c r="I13" s="64">
        <f>SUM(H$4:H12)</f>
        <v>0.17148088023088023</v>
      </c>
      <c r="J13" s="35">
        <f>Level!M13*VLOOKUP(A13,Plants!$C$4:$X$47,22)*24</f>
        <v>95040</v>
      </c>
      <c r="K13" s="239">
        <f t="shared" si="4"/>
        <v>10480</v>
      </c>
      <c r="L13" s="239">
        <f>SUM($K$4:K13)</f>
        <v>45101</v>
      </c>
      <c r="M13" s="239">
        <f t="shared" si="5"/>
        <v>3942</v>
      </c>
      <c r="N13" s="239">
        <f>SUM($M$4:M13)</f>
        <v>17550</v>
      </c>
      <c r="O13">
        <f>ROUNDUP(MIN(50,ROUNDUP(A13/3,0),Level!M13)*Plants!Q$4*0.005,0)</f>
        <v>1</v>
      </c>
      <c r="P13">
        <f>ROUNDUP(MAX(4,MIN(A13,VLOOKUP(A13,Level!$A$4:$M$203,13))*MIN(4,ROUNDUP(VLOOKUP(A13,Background!$C$3:$D$52,2)/5,0)))*VLOOKUP(A13,Plants!$C$4:$AJ$53,30)*0.025,0)</f>
        <v>7</v>
      </c>
      <c r="Q13">
        <f t="shared" si="6"/>
        <v>4.5</v>
      </c>
      <c r="R13">
        <f>ROUND(MIN(50,ROUNDUP(A13/3,0),Level!M13)*Plants!R$4,0)</f>
        <v>20</v>
      </c>
      <c r="S13" s="153">
        <f>ROUNDUP(MAX(4,MIN(A13,VLOOKUP(A13,Level!$A$4:$M$203,13))*MIN(4,ROUNDUP(VLOOKUP(A13,Background!$C$3:$D$52,2)/5,0)))*VLOOKUP(A13,Plants!$C$4:$AJ$53,31)*1.25,0)</f>
        <v>7000</v>
      </c>
      <c r="T13" s="153">
        <f t="shared" si="7"/>
        <v>3510</v>
      </c>
      <c r="U13">
        <f>SUM($K$4:K13)</f>
        <v>45101</v>
      </c>
      <c r="V13">
        <f>VLOOKUP(A13,Garden!$B$4:$P$19,15)</f>
        <v>16400</v>
      </c>
      <c r="W13">
        <f>VLOOKUP(A13,Plots!$B$4:$U$39,20)</f>
        <v>9200</v>
      </c>
      <c r="X13">
        <f>VLOOKUP(A13,'Decoration Background'!$A$2:$H$200,8)</f>
        <v>23070</v>
      </c>
      <c r="Y13">
        <f t="shared" si="0"/>
        <v>-3569</v>
      </c>
      <c r="Z13" s="158">
        <f t="shared" si="1"/>
        <v>1.0791335003658455</v>
      </c>
      <c r="AA13">
        <f t="shared" si="2"/>
        <v>-3569</v>
      </c>
      <c r="AB13" s="170">
        <f>MAX(0,(-Y13)/VLOOKUP($A13,Payment!$A$39:$G$239,7)*100)</f>
        <v>0.66092592592592592</v>
      </c>
      <c r="AC13" s="138">
        <f t="shared" si="8"/>
        <v>0.66092592592592592</v>
      </c>
      <c r="AD13">
        <f t="shared" si="3"/>
        <v>165</v>
      </c>
      <c r="AE13">
        <f t="shared" si="9"/>
        <v>0.2</v>
      </c>
      <c r="AF13" s="79">
        <f t="shared" si="10"/>
        <v>0.2</v>
      </c>
    </row>
    <row r="14" spans="1:37">
      <c r="A14" s="36">
        <v>11</v>
      </c>
      <c r="B14" s="69">
        <f>Level!B15-Level!B14</f>
        <v>500</v>
      </c>
      <c r="C14" s="73">
        <f>Level!M14*VLOOKUP(A14,Plants!$C$4:$AH$47,32)*24+(27/Level!T14)</f>
        <v>646.78777330767377</v>
      </c>
      <c r="D14" s="62">
        <f t="shared" si="11"/>
        <v>0.77305110058435267</v>
      </c>
      <c r="E14" s="65">
        <f>SUM(D$4:D13)</f>
        <v>2.6114065948522209</v>
      </c>
      <c r="F14" s="205">
        <f>Level!M14*VLOOKUP(A14,Plants!$C$4:$AI$47,33)*24*1.15+IF(VLOOKUP(A14,Goals!$AO$4:$AO$120,1)=A14,VLOOKUP(A14,Goals!$AO$4:$AQ$120,3)/D14,0)+VLOOKUP(A14,Level!$A$4:$C$203,3)/D14</f>
        <v>15792.41201716738</v>
      </c>
      <c r="G14" s="71">
        <f>Level!M14*VLOOKUP(A14,Plants!$C$4:$X$47,21)*24</f>
        <v>10560</v>
      </c>
      <c r="H14" s="63">
        <f t="shared" si="12"/>
        <v>4.7348484848484848E-2</v>
      </c>
      <c r="I14" s="64">
        <f>SUM(H$4:H13)</f>
        <v>0.21295815295815296</v>
      </c>
      <c r="J14" s="35">
        <f>Level!M14*VLOOKUP(A14,Plants!$C$4:$X$47,22)*24</f>
        <v>95040</v>
      </c>
      <c r="K14" s="239">
        <f t="shared" si="4"/>
        <v>12208</v>
      </c>
      <c r="L14" s="239">
        <f>SUM($K$4:K14)</f>
        <v>57309</v>
      </c>
      <c r="M14" s="239">
        <f t="shared" si="5"/>
        <v>4500</v>
      </c>
      <c r="N14" s="239">
        <f>SUM($M$4:M14)</f>
        <v>22050</v>
      </c>
      <c r="O14">
        <f>ROUNDUP(MIN(50,ROUNDUP(A14/3,0),Level!M14)*Plants!Q$4*0.005,0)</f>
        <v>1</v>
      </c>
      <c r="P14">
        <f>ROUNDUP(MAX(4,MIN(A14,VLOOKUP(A14,Level!$A$4:$M$203,13))*MIN(4,ROUNDUP(VLOOKUP(A14,Background!$C$3:$D$52,2)/5,0)))*VLOOKUP(A14,Plants!$C$4:$AJ$53,30)*0.025,0)</f>
        <v>8</v>
      </c>
      <c r="Q14">
        <f t="shared" si="6"/>
        <v>5</v>
      </c>
      <c r="R14">
        <f>ROUND(MIN(50,ROUNDUP(A14/3,0),Level!M14)*Plants!R$4,0)</f>
        <v>20</v>
      </c>
      <c r="S14" s="153">
        <f>ROUNDUP(MAX(4,MIN(A14,VLOOKUP(A14,Level!$A$4:$M$203,13))*MIN(4,ROUNDUP(VLOOKUP(A14,Background!$C$3:$D$52,2)/5,0)))*VLOOKUP(A14,Plants!$C$4:$AJ$53,31)*1.25,0)</f>
        <v>7700</v>
      </c>
      <c r="T14" s="153">
        <f t="shared" si="7"/>
        <v>3860</v>
      </c>
      <c r="U14">
        <f>SUM($K$4:K14)</f>
        <v>57309</v>
      </c>
      <c r="V14">
        <f>VLOOKUP(A14,Garden!$B$4:$P$19,15)</f>
        <v>16400</v>
      </c>
      <c r="W14">
        <f>VLOOKUP(A14,Plots!$B$4:$U$39,20)</f>
        <v>9200</v>
      </c>
      <c r="X14">
        <f>VLOOKUP(A14,'Decoration Background'!$A$2:$H$200,8)</f>
        <v>29649</v>
      </c>
      <c r="Y14">
        <f t="shared" si="0"/>
        <v>2060</v>
      </c>
      <c r="Z14" s="158">
        <f t="shared" si="1"/>
        <v>0.96405451150779109</v>
      </c>
      <c r="AA14">
        <f t="shared" si="2"/>
        <v>-3569</v>
      </c>
      <c r="AB14" s="170">
        <f>MAX(0,(-Y14)/VLOOKUP($A14,Payment!$A$39:$G$239,7)*100)</f>
        <v>0</v>
      </c>
      <c r="AC14" s="138">
        <f t="shared" si="8"/>
        <v>0.66092592592592592</v>
      </c>
      <c r="AD14">
        <f t="shared" si="3"/>
        <v>198</v>
      </c>
      <c r="AE14">
        <f t="shared" si="9"/>
        <v>0</v>
      </c>
      <c r="AF14" s="79">
        <f t="shared" si="10"/>
        <v>0.2</v>
      </c>
    </row>
    <row r="15" spans="1:37">
      <c r="A15" s="36">
        <v>12</v>
      </c>
      <c r="B15" s="69">
        <f>Level!B16-Level!B15</f>
        <v>658</v>
      </c>
      <c r="C15" s="73">
        <f>Level!M15*VLOOKUP(A15,Plants!$C$4:$AH$47,32)*24+(27/Level!T15)</f>
        <v>754.02849367853969</v>
      </c>
      <c r="D15" s="62">
        <f t="shared" si="11"/>
        <v>0.87264606777647991</v>
      </c>
      <c r="E15" s="65">
        <f>SUM(D$4:D14)</f>
        <v>3.3844576954365735</v>
      </c>
      <c r="F15" s="205">
        <f>Level!M15*VLOOKUP(A15,Plants!$C$4:$AI$47,33)*24*1.15+IF(VLOOKUP(A15,Goals!$AO$4:$AO$120,1)=A15,VLOOKUP(A15,Goals!$AO$4:$AQ$120,3)/D15,0)+VLOOKUP(A15,Level!$A$4:$C$203,3)/D15</f>
        <v>18663.759656652357</v>
      </c>
      <c r="G15" s="71">
        <f>Level!M15*VLOOKUP(A15,Plants!$C$4:$X$47,21)*24</f>
        <v>12480</v>
      </c>
      <c r="H15" s="63">
        <f t="shared" si="12"/>
        <v>5.2724358974358974E-2</v>
      </c>
      <c r="I15" s="64">
        <f>SUM(H$4:H14)</f>
        <v>0.26030663780663782</v>
      </c>
      <c r="J15" s="35">
        <f>Level!M15*VLOOKUP(A15,Plants!$C$4:$X$47,22)*24</f>
        <v>112320</v>
      </c>
      <c r="K15" s="239">
        <f t="shared" si="4"/>
        <v>16287</v>
      </c>
      <c r="L15" s="239">
        <f>SUM($K$4:K15)</f>
        <v>73596</v>
      </c>
      <c r="M15" s="239">
        <f t="shared" si="5"/>
        <v>5922</v>
      </c>
      <c r="N15" s="239">
        <f>SUM($M$4:M15)</f>
        <v>27972</v>
      </c>
      <c r="O15">
        <f>ROUNDUP(MIN(50,ROUNDUP(A15/3,0),Level!M15)*Plants!Q$4*0.005,0)</f>
        <v>1</v>
      </c>
      <c r="P15">
        <f>ROUNDUP(MAX(4,MIN(A15,VLOOKUP(A15,Level!$A$4:$M$203,13))*MIN(4,ROUNDUP(VLOOKUP(A15,Background!$C$3:$D$52,2)/5,0)))*VLOOKUP(A15,Plants!$C$4:$AJ$53,30)*0.025,0)</f>
        <v>8</v>
      </c>
      <c r="Q15">
        <f t="shared" si="6"/>
        <v>5</v>
      </c>
      <c r="R15">
        <f>ROUND(MIN(50,ROUNDUP(A15/3,0),Level!M15)*Plants!R$4,0)</f>
        <v>20</v>
      </c>
      <c r="S15" s="153">
        <f>ROUNDUP(MAX(4,MIN(A15,VLOOKUP(A15,Level!$A$4:$M$203,13))*MIN(4,ROUNDUP(VLOOKUP(A15,Background!$C$3:$D$52,2)/5,0)))*VLOOKUP(A15,Plants!$C$4:$AJ$53,31)*1.25,0)</f>
        <v>8400</v>
      </c>
      <c r="T15" s="153">
        <f t="shared" si="7"/>
        <v>4210</v>
      </c>
      <c r="U15">
        <f>SUM($K$4:K15)</f>
        <v>73596</v>
      </c>
      <c r="V15">
        <f>VLOOKUP(A15,Garden!$B$4:$P$19,15)</f>
        <v>16400</v>
      </c>
      <c r="W15">
        <f>VLOOKUP(A15,Plots!$B$4:$U$39,20)</f>
        <v>26200</v>
      </c>
      <c r="X15">
        <f>VLOOKUP(A15,'Decoration Background'!$A$2:$H$200,8)</f>
        <v>37740</v>
      </c>
      <c r="Y15">
        <f t="shared" si="0"/>
        <v>-6744</v>
      </c>
      <c r="Z15" s="158">
        <f t="shared" si="1"/>
        <v>1.0916354149682048</v>
      </c>
      <c r="AA15">
        <f t="shared" si="2"/>
        <v>-6744</v>
      </c>
      <c r="AB15" s="170">
        <f>MAX(0,(-Y15)/VLOOKUP($A15,Payment!$A$39:$G$239,7)*100)</f>
        <v>1.2042857142857144</v>
      </c>
      <c r="AC15" s="138">
        <f t="shared" si="8"/>
        <v>1.2042857142857144</v>
      </c>
      <c r="AD15">
        <f t="shared" si="3"/>
        <v>234</v>
      </c>
      <c r="AE15">
        <f t="shared" si="9"/>
        <v>0.4</v>
      </c>
      <c r="AF15" s="79">
        <f t="shared" si="10"/>
        <v>0.4</v>
      </c>
    </row>
    <row r="16" spans="1:37">
      <c r="A16" s="36">
        <v>13</v>
      </c>
      <c r="B16" s="69">
        <f>Level!B17-Level!B16</f>
        <v>731</v>
      </c>
      <c r="C16" s="73">
        <f>Level!M16*VLOOKUP(A16,Plants!$C$4:$AH$47,32)*24+(27/Level!T16)</f>
        <v>751.64259765966221</v>
      </c>
      <c r="D16" s="62">
        <f t="shared" si="11"/>
        <v>0.97253668469038923</v>
      </c>
      <c r="E16" s="65">
        <f>SUM(D$4:D15)</f>
        <v>4.2571037632130535</v>
      </c>
      <c r="F16" s="205">
        <f>Level!M16*VLOOKUP(A16,Plants!$C$4:$AI$47,33)*24*1.15+IF(VLOOKUP(A16,Goals!$AO$4:$AO$120,1)=A16,VLOOKUP(A16,Goals!$AO$4:$AQ$120,3)/D16,0)+VLOOKUP(A16,Level!$A$4:$C$203,3)/D16</f>
        <v>18933.798561151078</v>
      </c>
      <c r="G16" s="71">
        <f>Level!M16*VLOOKUP(A16,Plants!$C$4:$X$47,21)*24</f>
        <v>12480</v>
      </c>
      <c r="H16" s="63">
        <f t="shared" si="12"/>
        <v>5.8573717948717949E-2</v>
      </c>
      <c r="I16" s="64">
        <f>SUM(H$4:H15)</f>
        <v>0.31303099678099677</v>
      </c>
      <c r="J16" s="35">
        <f>Level!M16*VLOOKUP(A16,Plants!$C$4:$X$47,22)*24</f>
        <v>112320</v>
      </c>
      <c r="K16" s="239">
        <f t="shared" si="4"/>
        <v>18414</v>
      </c>
      <c r="L16" s="239">
        <f>SUM($K$4:K16)</f>
        <v>92010</v>
      </c>
      <c r="M16" s="239">
        <f t="shared" si="5"/>
        <v>6579</v>
      </c>
      <c r="N16" s="239">
        <f>SUM($M$4:M16)</f>
        <v>34551</v>
      </c>
      <c r="O16">
        <f>ROUNDUP(MIN(50,ROUNDUP(A16/3,0),Level!M16)*Plants!Q$4*0.005,0)</f>
        <v>1</v>
      </c>
      <c r="P16">
        <f>ROUNDUP(MAX(4,MIN(A16,VLOOKUP(A16,Level!$A$4:$M$203,13))*MIN(4,ROUNDUP(VLOOKUP(A16,Background!$C$3:$D$52,2)/5,0)))*VLOOKUP(A16,Plants!$C$4:$AJ$53,30)*0.025,0)</f>
        <v>9</v>
      </c>
      <c r="Q16">
        <f t="shared" si="6"/>
        <v>5.5</v>
      </c>
      <c r="R16">
        <f>ROUND(MIN(50,ROUNDUP(A16/3,0),Level!M16)*Plants!R$4,0)</f>
        <v>25</v>
      </c>
      <c r="S16" s="153">
        <f>ROUNDUP(MAX(4,MIN(A16,VLOOKUP(A16,Level!$A$4:$M$203,13))*MIN(4,ROUNDUP(VLOOKUP(A16,Background!$C$3:$D$52,2)/5,0)))*VLOOKUP(A16,Plants!$C$4:$AJ$53,31)*1.25,0)</f>
        <v>9100</v>
      </c>
      <c r="T16" s="153">
        <f t="shared" si="7"/>
        <v>4562.5</v>
      </c>
      <c r="U16">
        <f>SUM($K$4:K16)</f>
        <v>92010</v>
      </c>
      <c r="V16">
        <f>VLOOKUP(A16,Garden!$B$4:$P$19,15)</f>
        <v>16400</v>
      </c>
      <c r="W16">
        <f>VLOOKUP(A16,Plots!$B$4:$U$39,20)</f>
        <v>26200</v>
      </c>
      <c r="X16">
        <f>VLOOKUP(A16,'Decoration Background'!$A$2:$H$200,8)</f>
        <v>47676</v>
      </c>
      <c r="Y16">
        <f t="shared" si="0"/>
        <v>1734</v>
      </c>
      <c r="Z16" s="158">
        <f t="shared" si="1"/>
        <v>0.98115422236713401</v>
      </c>
      <c r="AA16">
        <f t="shared" si="2"/>
        <v>-6744</v>
      </c>
      <c r="AB16" s="170">
        <f>MAX(0,(-Y16)/VLOOKUP($A16,Payment!$A$39:$G$239,7)*100)</f>
        <v>0</v>
      </c>
      <c r="AC16" s="138">
        <f t="shared" si="8"/>
        <v>1.2042857142857144</v>
      </c>
      <c r="AD16">
        <f t="shared" si="3"/>
        <v>273</v>
      </c>
      <c r="AE16">
        <f t="shared" si="9"/>
        <v>0</v>
      </c>
      <c r="AF16" s="79">
        <f t="shared" si="10"/>
        <v>0.4</v>
      </c>
    </row>
    <row r="17" spans="1:32">
      <c r="A17" s="36">
        <v>14</v>
      </c>
      <c r="B17" s="69">
        <f>Level!B18-Level!B17</f>
        <v>804</v>
      </c>
      <c r="C17" s="73">
        <f>Level!M17*VLOOKUP(A17,Plants!$C$4:$AH$47,32)*24+(27/Level!T17)</f>
        <v>749.0549560830583</v>
      </c>
      <c r="D17" s="62">
        <f t="shared" si="11"/>
        <v>1.0733524869847455</v>
      </c>
      <c r="E17" s="65">
        <f>SUM(D$4:D16)</f>
        <v>5.2296404479034431</v>
      </c>
      <c r="F17" s="205">
        <f>Level!M17*VLOOKUP(A17,Plants!$C$4:$AI$47,33)*24*1.15+IF(VLOOKUP(A17,Goals!$AO$4:$AO$120,1)=A17,VLOOKUP(A17,Goals!$AO$4:$AQ$120,3)/D17,0)+VLOOKUP(A17,Level!$A$4:$C$203,3)/D17</f>
        <v>18933.798561151078</v>
      </c>
      <c r="G17" s="71">
        <f>Level!M17*VLOOKUP(A17,Plants!$C$4:$X$47,21)*24</f>
        <v>12480</v>
      </c>
      <c r="H17" s="63">
        <f t="shared" si="12"/>
        <v>6.4423076923076916E-2</v>
      </c>
      <c r="I17" s="64">
        <f>SUM(H$4:H16)</f>
        <v>0.37160471472971474</v>
      </c>
      <c r="J17" s="35">
        <f>Level!M17*VLOOKUP(A17,Plants!$C$4:$X$47,22)*24</f>
        <v>112320</v>
      </c>
      <c r="K17" s="239">
        <f t="shared" si="4"/>
        <v>20323</v>
      </c>
      <c r="L17" s="239">
        <f>SUM($K$4:K17)</f>
        <v>112333</v>
      </c>
      <c r="M17" s="239">
        <f t="shared" si="5"/>
        <v>7236</v>
      </c>
      <c r="N17" s="239">
        <f>SUM($M$4:M17)</f>
        <v>41787</v>
      </c>
      <c r="O17">
        <f>ROUNDUP(MIN(50,ROUNDUP(A17/3,0),Level!M17)*Plants!Q$4*0.005,0)</f>
        <v>1</v>
      </c>
      <c r="P17">
        <f>ROUNDUP(MAX(4,MIN(A17,VLOOKUP(A17,Level!$A$4:$M$203,13))*MIN(4,ROUNDUP(VLOOKUP(A17,Background!$C$3:$D$52,2)/5,0)))*VLOOKUP(A17,Plants!$C$4:$AJ$53,30)*0.025,0)</f>
        <v>10</v>
      </c>
      <c r="Q17">
        <f t="shared" si="6"/>
        <v>6</v>
      </c>
      <c r="R17">
        <f>ROUND(MIN(50,ROUNDUP(A17/3,0),Level!M17)*Plants!R$4,0)</f>
        <v>25</v>
      </c>
      <c r="S17" s="153">
        <f>ROUNDUP(MAX(4,MIN(A17,VLOOKUP(A17,Level!$A$4:$M$203,13))*MIN(4,ROUNDUP(VLOOKUP(A17,Background!$C$3:$D$52,2)/5,0)))*VLOOKUP(A17,Plants!$C$4:$AJ$53,31)*1.25,0)</f>
        <v>9800</v>
      </c>
      <c r="T17" s="153">
        <f t="shared" si="7"/>
        <v>4912.5</v>
      </c>
      <c r="U17">
        <f>SUM($K$4:K17)</f>
        <v>112333</v>
      </c>
      <c r="V17">
        <f>VLOOKUP(A17,Garden!$B$4:$P$19,15)</f>
        <v>16400</v>
      </c>
      <c r="W17">
        <f>VLOOKUP(A17,Plots!$B$4:$U$39,20)</f>
        <v>26200</v>
      </c>
      <c r="X17">
        <f>VLOOKUP(A17,'Decoration Background'!$A$2:$H$200,8)</f>
        <v>59865</v>
      </c>
      <c r="Y17">
        <f t="shared" si="0"/>
        <v>9868</v>
      </c>
      <c r="Z17" s="158">
        <f t="shared" si="1"/>
        <v>0.91215404200012462</v>
      </c>
      <c r="AA17">
        <f t="shared" si="2"/>
        <v>-6744</v>
      </c>
      <c r="AB17" s="170">
        <f>MAX(0,(-Y17)/VLOOKUP($A17,Payment!$A$39:$G$239,7)*100)</f>
        <v>0</v>
      </c>
      <c r="AC17" s="138">
        <f t="shared" si="8"/>
        <v>1.2042857142857144</v>
      </c>
      <c r="AD17">
        <f t="shared" si="3"/>
        <v>315</v>
      </c>
      <c r="AE17">
        <f t="shared" si="9"/>
        <v>0</v>
      </c>
      <c r="AF17" s="79">
        <f t="shared" si="10"/>
        <v>0.4</v>
      </c>
    </row>
    <row r="18" spans="1:32">
      <c r="A18" s="36">
        <v>15</v>
      </c>
      <c r="B18" s="69">
        <f>Level!B19-Level!B18</f>
        <v>1013</v>
      </c>
      <c r="C18" s="73">
        <f>Level!M18*VLOOKUP(A18,Plants!$C$4:$AH$47,32)*24+(27/Level!T18)</f>
        <v>858.79518905415978</v>
      </c>
      <c r="D18" s="62">
        <f t="shared" si="11"/>
        <v>1.179559472283112</v>
      </c>
      <c r="E18" s="65">
        <f>SUM(D$4:D17)</f>
        <v>6.3029929348881888</v>
      </c>
      <c r="F18" s="205">
        <f>Level!M18*VLOOKUP(A18,Plants!$C$4:$AI$47,33)*24*1.15+IF(VLOOKUP(A18,Goals!$AO$4:$AO$120,1)=A18,VLOOKUP(A18,Goals!$AO$4:$AQ$120,3)/D18,0)+VLOOKUP(A18,Level!$A$4:$C$203,3)/D18</f>
        <v>22071.455108359132</v>
      </c>
      <c r="G18" s="71">
        <f>Level!M18*VLOOKUP(A18,Plants!$C$4:$X$47,21)*24</f>
        <v>14400</v>
      </c>
      <c r="H18" s="63">
        <f t="shared" si="12"/>
        <v>7.0347222222222228E-2</v>
      </c>
      <c r="I18" s="64">
        <f>SUM(H$4:H17)</f>
        <v>0.43602779165279165</v>
      </c>
      <c r="J18" s="35">
        <f>Level!M18*VLOOKUP(A18,Plants!$C$4:$X$47,22)*24</f>
        <v>129600</v>
      </c>
      <c r="K18" s="239">
        <f t="shared" si="4"/>
        <v>26035</v>
      </c>
      <c r="L18" s="239">
        <f>SUM($K$4:K18)</f>
        <v>138368</v>
      </c>
      <c r="M18" s="239">
        <f t="shared" si="5"/>
        <v>9117</v>
      </c>
      <c r="N18" s="239">
        <f>SUM($M$4:M18)</f>
        <v>50904</v>
      </c>
      <c r="O18">
        <f>ROUNDUP(MIN(50,ROUNDUP(A18/3,0),Level!M18)*Plants!Q$4*0.005,0)</f>
        <v>1</v>
      </c>
      <c r="P18">
        <f>ROUNDUP(MAX(4,MIN(A18,VLOOKUP(A18,Level!$A$4:$M$203,13))*MIN(4,ROUNDUP(VLOOKUP(A18,Background!$C$3:$D$52,2)/5,0)))*VLOOKUP(A18,Plants!$C$4:$AJ$53,30)*0.025,0)</f>
        <v>10</v>
      </c>
      <c r="Q18">
        <f t="shared" si="6"/>
        <v>6</v>
      </c>
      <c r="R18">
        <f>ROUND(MIN(50,ROUNDUP(A18/3,0),Level!M18)*Plants!R$4,0)</f>
        <v>25</v>
      </c>
      <c r="S18" s="153">
        <f>ROUNDUP(MAX(4,MIN(A18,VLOOKUP(A18,Level!$A$4:$M$203,13))*MIN(4,ROUNDUP(VLOOKUP(A18,Background!$C$3:$D$52,2)/5,0)))*VLOOKUP(A18,Plants!$C$4:$AJ$53,31)*1.25,0)</f>
        <v>10500</v>
      </c>
      <c r="T18" s="153">
        <f t="shared" si="7"/>
        <v>5262.5</v>
      </c>
      <c r="U18">
        <f>SUM($K$4:K18)</f>
        <v>138368</v>
      </c>
      <c r="V18">
        <f>VLOOKUP(A18,Garden!$B$4:$P$19,15)</f>
        <v>16400</v>
      </c>
      <c r="W18">
        <f>VLOOKUP(A18,Plots!$B$4:$U$39,20)</f>
        <v>49200</v>
      </c>
      <c r="X18">
        <f>VLOOKUP(A18,'Decoration Background'!$A$2:$H$200,8)</f>
        <v>74757</v>
      </c>
      <c r="Y18">
        <f t="shared" si="0"/>
        <v>-1989</v>
      </c>
      <c r="Z18" s="158">
        <f t="shared" si="1"/>
        <v>1.0143747109158188</v>
      </c>
      <c r="AA18">
        <f t="shared" si="2"/>
        <v>-6744</v>
      </c>
      <c r="AB18" s="170">
        <f>MAX(0,(-Y18)/VLOOKUP($A18,Payment!$A$39:$G$239,7)*100)</f>
        <v>0.35517857142857145</v>
      </c>
      <c r="AC18" s="138">
        <f t="shared" si="8"/>
        <v>1.2042857142857144</v>
      </c>
      <c r="AD18">
        <f t="shared" si="3"/>
        <v>360</v>
      </c>
      <c r="AE18">
        <f t="shared" si="9"/>
        <v>0.1</v>
      </c>
      <c r="AF18" s="79">
        <f t="shared" si="10"/>
        <v>0.4</v>
      </c>
    </row>
    <row r="19" spans="1:32">
      <c r="A19" s="36">
        <v>16</v>
      </c>
      <c r="B19" s="69">
        <f>Level!B20-Level!B19</f>
        <v>1112</v>
      </c>
      <c r="C19" s="73">
        <f>Level!M19*VLOOKUP(A19,Plants!$C$4:$AH$47,32)*24+(27/Level!T19)</f>
        <v>856.71501847591787</v>
      </c>
      <c r="D19" s="62">
        <f t="shared" si="11"/>
        <v>1.2979812143111837</v>
      </c>
      <c r="E19" s="65">
        <f>SUM(D$4:D18)</f>
        <v>7.4825524071713012</v>
      </c>
      <c r="F19" s="205">
        <f>Level!M19*VLOOKUP(A19,Plants!$C$4:$AI$47,33)*24*1.15+IF(VLOOKUP(A19,Goals!$AO$4:$AO$120,1)=A19,VLOOKUP(A19,Goals!$AO$4:$AQ$120,3)/D19,0)+VLOOKUP(A19,Level!$A$4:$C$203,3)/D19</f>
        <v>22071.455108359132</v>
      </c>
      <c r="G19" s="71">
        <f>Level!M19*VLOOKUP(A19,Plants!$C$4:$X$47,21)*24</f>
        <v>14400</v>
      </c>
      <c r="H19" s="63">
        <f t="shared" si="12"/>
        <v>7.722222222222222E-2</v>
      </c>
      <c r="I19" s="64">
        <f>SUM(H$4:H18)</f>
        <v>0.50637501387501382</v>
      </c>
      <c r="J19" s="35">
        <f>Level!M19*VLOOKUP(A19,Plants!$C$4:$X$47,22)*24</f>
        <v>129600</v>
      </c>
      <c r="K19" s="239">
        <f t="shared" si="4"/>
        <v>28648</v>
      </c>
      <c r="L19" s="239">
        <f>SUM($K$4:K19)</f>
        <v>167016</v>
      </c>
      <c r="M19" s="239">
        <f t="shared" si="5"/>
        <v>10008</v>
      </c>
      <c r="N19" s="239">
        <f>SUM($M$4:M19)</f>
        <v>60912</v>
      </c>
      <c r="O19">
        <f>ROUNDUP(MIN(50,ROUNDUP(A19/3,0),Level!M19)*Plants!Q$4*0.005,0)</f>
        <v>1</v>
      </c>
      <c r="P19">
        <f>ROUNDUP(MAX(4,MIN(A19,VLOOKUP(A19,Level!$A$4:$M$203,13))*MIN(4,ROUNDUP(VLOOKUP(A19,Background!$C$3:$D$52,2)/5,0)))*VLOOKUP(A19,Plants!$C$4:$AJ$53,30)*0.025,0)</f>
        <v>11</v>
      </c>
      <c r="Q19">
        <f t="shared" si="6"/>
        <v>6.5</v>
      </c>
      <c r="R19">
        <f>ROUND(MIN(50,ROUNDUP(A19/3,0),Level!M19)*Plants!R$4,0)</f>
        <v>30</v>
      </c>
      <c r="S19" s="153">
        <f>ROUNDUP(MAX(4,MIN(A19,VLOOKUP(A19,Level!$A$4:$M$203,13))*MIN(4,ROUNDUP(VLOOKUP(A19,Background!$C$3:$D$52,2)/5,0)))*VLOOKUP(A19,Plants!$C$4:$AJ$53,31)*1.25,0)</f>
        <v>11200</v>
      </c>
      <c r="T19" s="153">
        <f t="shared" si="7"/>
        <v>5615</v>
      </c>
      <c r="U19">
        <f>SUM($K$4:K19)</f>
        <v>167016</v>
      </c>
      <c r="V19">
        <f>VLOOKUP(A19,Garden!$B$4:$P$19,15)</f>
        <v>16400</v>
      </c>
      <c r="W19">
        <f>VLOOKUP(A19,Plots!$B$4:$U$39,20)</f>
        <v>49200</v>
      </c>
      <c r="X19">
        <f>VLOOKUP(A19,'Decoration Background'!$A$2:$H$200,8)</f>
        <v>92352</v>
      </c>
      <c r="Y19">
        <f t="shared" si="0"/>
        <v>9064</v>
      </c>
      <c r="Z19" s="158">
        <f t="shared" si="1"/>
        <v>0.94572975044307128</v>
      </c>
      <c r="AA19">
        <f t="shared" si="2"/>
        <v>-6744</v>
      </c>
      <c r="AB19" s="170">
        <f>MAX(0,(-Y19)/VLOOKUP($A19,Payment!$A$39:$G$239,7)*100)</f>
        <v>0</v>
      </c>
      <c r="AC19" s="138">
        <f t="shared" si="8"/>
        <v>1.2042857142857144</v>
      </c>
      <c r="AD19">
        <f t="shared" si="3"/>
        <v>408</v>
      </c>
      <c r="AE19">
        <f t="shared" si="9"/>
        <v>0</v>
      </c>
      <c r="AF19" s="79">
        <f t="shared" si="10"/>
        <v>0.4</v>
      </c>
    </row>
    <row r="20" spans="1:32">
      <c r="A20" s="36">
        <v>17</v>
      </c>
      <c r="B20" s="69">
        <f>Level!B21-Level!B20</f>
        <v>1221</v>
      </c>
      <c r="C20" s="73">
        <f>Level!M20*VLOOKUP(A20,Plants!$C$4:$AH$47,32)*24+(27/Level!T20)</f>
        <v>855.32368509864193</v>
      </c>
      <c r="D20" s="62">
        <f t="shared" si="11"/>
        <v>1.4275297425666233</v>
      </c>
      <c r="E20" s="65">
        <f>SUM(D$4:D19)</f>
        <v>8.7805336214824852</v>
      </c>
      <c r="F20" s="205">
        <f>Level!M20*VLOOKUP(A20,Plants!$C$4:$AI$47,33)*24*1.15+IF(VLOOKUP(A20,Goals!$AO$4:$AO$120,1)=A20,VLOOKUP(A20,Goals!$AO$4:$AQ$120,3)/D20,0)+VLOOKUP(A20,Level!$A$4:$C$203,3)/D20</f>
        <v>22325.625</v>
      </c>
      <c r="G20" s="71">
        <f>Level!M20*VLOOKUP(A20,Plants!$C$4:$X$47,21)*24</f>
        <v>14400</v>
      </c>
      <c r="H20" s="63">
        <f t="shared" si="12"/>
        <v>8.4791666666666668E-2</v>
      </c>
      <c r="I20" s="64">
        <f>SUM(H$4:H19)</f>
        <v>0.58359723609723602</v>
      </c>
      <c r="J20" s="35">
        <f>Level!M20*VLOOKUP(A20,Plants!$C$4:$X$47,22)*24</f>
        <v>129600</v>
      </c>
      <c r="K20" s="239">
        <f t="shared" si="4"/>
        <v>31870</v>
      </c>
      <c r="L20" s="239">
        <f>SUM($K$4:K20)</f>
        <v>198886</v>
      </c>
      <c r="M20" s="239">
        <f t="shared" si="5"/>
        <v>10989</v>
      </c>
      <c r="N20" s="239">
        <f>SUM($M$4:M20)</f>
        <v>71901</v>
      </c>
      <c r="O20">
        <f>ROUNDUP(MIN(50,ROUNDUP(A20/3,0),Level!M20)*Plants!Q$4*0.005,0)</f>
        <v>1</v>
      </c>
      <c r="P20">
        <f>ROUNDUP(MAX(4,MIN(A20,VLOOKUP(A20,Level!$A$4:$M$203,13))*MIN(4,ROUNDUP(VLOOKUP(A20,Background!$C$3:$D$52,2)/5,0)))*VLOOKUP(A20,Plants!$C$4:$AJ$53,30)*0.025,0)</f>
        <v>12</v>
      </c>
      <c r="Q20">
        <f t="shared" si="6"/>
        <v>7</v>
      </c>
      <c r="R20">
        <f>ROUND(MIN(50,ROUNDUP(A20/3,0),Level!M20)*Plants!R$4,0)</f>
        <v>30</v>
      </c>
      <c r="S20" s="153">
        <f>ROUNDUP(MAX(4,MIN(A20,VLOOKUP(A20,Level!$A$4:$M$203,13))*MIN(4,ROUNDUP(VLOOKUP(A20,Background!$C$3:$D$52,2)/5,0)))*VLOOKUP(A20,Plants!$C$4:$AJ$53,31)*1.25,0)</f>
        <v>11900</v>
      </c>
      <c r="T20" s="153">
        <f t="shared" si="7"/>
        <v>5965</v>
      </c>
      <c r="U20">
        <f>SUM($K$4:K20)</f>
        <v>198886</v>
      </c>
      <c r="V20">
        <f>VLOOKUP(A20,Garden!$B$4:$P$19,15)</f>
        <v>70400</v>
      </c>
      <c r="W20">
        <f>VLOOKUP(A20,Plots!$B$4:$U$39,20)</f>
        <v>49200</v>
      </c>
      <c r="X20">
        <f>VLOOKUP(A20,'Decoration Background'!$A$2:$H$200,8)</f>
        <v>112650</v>
      </c>
      <c r="Y20">
        <f t="shared" si="0"/>
        <v>-33364</v>
      </c>
      <c r="Z20" s="158">
        <f t="shared" si="1"/>
        <v>1.1677543919632352</v>
      </c>
      <c r="AA20">
        <f t="shared" si="2"/>
        <v>-33364</v>
      </c>
      <c r="AB20" s="170">
        <f>MAX(0,(-Y20)/VLOOKUP($A20,Payment!$A$39:$G$239,7)*100)</f>
        <v>5.7524137931034485</v>
      </c>
      <c r="AC20" s="138">
        <f t="shared" si="8"/>
        <v>5.7524137931034485</v>
      </c>
      <c r="AD20">
        <f t="shared" si="3"/>
        <v>459</v>
      </c>
      <c r="AE20">
        <f t="shared" si="9"/>
        <v>1.5</v>
      </c>
      <c r="AF20" s="79">
        <f t="shared" si="10"/>
        <v>1.5</v>
      </c>
    </row>
    <row r="21" spans="1:32">
      <c r="A21" s="36">
        <v>18</v>
      </c>
      <c r="B21" s="69">
        <f>Level!B22-Level!B21</f>
        <v>1341</v>
      </c>
      <c r="C21" s="73">
        <f>Level!M21*VLOOKUP(A21,Plants!$C$4:$AH$47,32)*24+(27/Level!T21)</f>
        <v>853.60453586042536</v>
      </c>
      <c r="D21" s="62">
        <f t="shared" si="11"/>
        <v>1.5709850916481889</v>
      </c>
      <c r="E21" s="65">
        <f>SUM(D$4:D20)</f>
        <v>10.208063364049108</v>
      </c>
      <c r="F21" s="205">
        <f>Level!M21*VLOOKUP(A21,Plants!$C$4:$AI$47,33)*24*1.15+IF(VLOOKUP(A21,Goals!$AO$4:$AO$120,1)=A21,VLOOKUP(A21,Goals!$AO$4:$AQ$120,3)/D21,0)+VLOOKUP(A21,Level!$A$4:$C$203,3)/D21</f>
        <v>22325.625</v>
      </c>
      <c r="G21" s="71">
        <f>Level!M21*VLOOKUP(A21,Plants!$C$4:$X$47,21)*24</f>
        <v>14400</v>
      </c>
      <c r="H21" s="63">
        <f t="shared" si="12"/>
        <v>9.3124999999999999E-2</v>
      </c>
      <c r="I21" s="64">
        <f>SUM(H$4:H20)</f>
        <v>0.66838890276390273</v>
      </c>
      <c r="J21" s="35">
        <f>Level!M21*VLOOKUP(A21,Plants!$C$4:$X$47,22)*24</f>
        <v>129600</v>
      </c>
      <c r="K21" s="239">
        <f t="shared" si="4"/>
        <v>35073</v>
      </c>
      <c r="L21" s="239">
        <f>SUM($K$4:K21)</f>
        <v>233959</v>
      </c>
      <c r="M21" s="239">
        <f t="shared" si="5"/>
        <v>12069</v>
      </c>
      <c r="N21" s="239">
        <f>SUM($M$4:M21)</f>
        <v>83970</v>
      </c>
      <c r="O21">
        <f>ROUNDUP(MIN(50,ROUNDUP(A21/3,0),Level!M21)*Plants!Q$4*0.005,0)</f>
        <v>1</v>
      </c>
      <c r="P21">
        <f>ROUNDUP(MAX(4,MIN(A21,VLOOKUP(A21,Level!$A$4:$M$203,13))*MIN(4,ROUNDUP(VLOOKUP(A21,Background!$C$3:$D$52,2)/5,0)))*VLOOKUP(A21,Plants!$C$4:$AJ$53,30)*0.025,0)</f>
        <v>12</v>
      </c>
      <c r="Q21">
        <f t="shared" si="6"/>
        <v>7</v>
      </c>
      <c r="R21">
        <f>ROUND(MIN(50,ROUNDUP(A21/3,0),Level!M21)*Plants!R$4,0)</f>
        <v>30</v>
      </c>
      <c r="S21" s="153">
        <f>ROUNDUP(MAX(4,MIN(A21,VLOOKUP(A21,Level!$A$4:$M$203,13))*MIN(4,ROUNDUP(VLOOKUP(A21,Background!$C$3:$D$52,2)/5,0)))*VLOOKUP(A21,Plants!$C$4:$AJ$53,31)*1.25,0)</f>
        <v>12600</v>
      </c>
      <c r="T21" s="153">
        <f t="shared" si="7"/>
        <v>6315</v>
      </c>
      <c r="U21">
        <f>SUM($K$4:K21)</f>
        <v>233959</v>
      </c>
      <c r="V21">
        <f>VLOOKUP(A21,Garden!$B$4:$P$19,15)</f>
        <v>70400</v>
      </c>
      <c r="W21">
        <f>VLOOKUP(A21,Plots!$B$4:$U$39,20)</f>
        <v>49200</v>
      </c>
      <c r="X21">
        <f>VLOOKUP(A21,'Decoration Background'!$A$2:$H$200,8)</f>
        <v>135651</v>
      </c>
      <c r="Y21">
        <f t="shared" si="0"/>
        <v>-21292</v>
      </c>
      <c r="Z21" s="158">
        <f t="shared" si="1"/>
        <v>1.0910073987322566</v>
      </c>
      <c r="AA21">
        <f t="shared" si="2"/>
        <v>-33364</v>
      </c>
      <c r="AB21" s="170">
        <f>MAX(0,(-Y21)/VLOOKUP($A21,Payment!$A$39:$G$239,7)*100)</f>
        <v>3.6710344827586208</v>
      </c>
      <c r="AC21" s="138">
        <f t="shared" si="8"/>
        <v>5.7524137931034485</v>
      </c>
      <c r="AD21">
        <f t="shared" si="3"/>
        <v>513</v>
      </c>
      <c r="AE21">
        <f t="shared" si="9"/>
        <v>1</v>
      </c>
      <c r="AF21" s="79">
        <f t="shared" si="10"/>
        <v>1.5</v>
      </c>
    </row>
    <row r="22" spans="1:32">
      <c r="A22" s="36">
        <v>19</v>
      </c>
      <c r="B22" s="69">
        <f>Level!B23-Level!B22</f>
        <v>1762</v>
      </c>
      <c r="C22" s="73">
        <f>Level!M22*VLOOKUP(A22,Plants!$C$4:$AH$47,32)*24+(27/Level!T22)</f>
        <v>964.00635340927602</v>
      </c>
      <c r="D22" s="62">
        <f t="shared" si="11"/>
        <v>1.8277887835163777</v>
      </c>
      <c r="E22" s="65">
        <f>SUM(D$4:D21)</f>
        <v>11.779048455697296</v>
      </c>
      <c r="F22" s="205">
        <f>Level!M22*VLOOKUP(A22,Plants!$C$4:$AI$47,33)*24*1.15+IF(VLOOKUP(A22,Goals!$AO$4:$AO$120,1)=A22,VLOOKUP(A22,Goals!$AO$4:$AQ$120,3)/D22,0)+VLOOKUP(A22,Level!$A$4:$C$203,3)/D22</f>
        <v>25612.866828087164</v>
      </c>
      <c r="G22" s="71">
        <f>Level!M22*VLOOKUP(A22,Plants!$C$4:$X$47,21)*24</f>
        <v>16320</v>
      </c>
      <c r="H22" s="63">
        <f t="shared" si="12"/>
        <v>0.10796568627450981</v>
      </c>
      <c r="I22" s="64">
        <f>SUM(H$4:H21)</f>
        <v>0.76151390276390274</v>
      </c>
      <c r="J22" s="35">
        <f>Level!M22*VLOOKUP(A22,Plants!$C$4:$X$47,22)*24</f>
        <v>146880</v>
      </c>
      <c r="K22" s="239">
        <f t="shared" si="4"/>
        <v>46815</v>
      </c>
      <c r="L22" s="239">
        <f>SUM($K$4:K22)</f>
        <v>280774</v>
      </c>
      <c r="M22" s="239">
        <f t="shared" si="5"/>
        <v>15858</v>
      </c>
      <c r="N22" s="239">
        <f>SUM($M$4:M22)</f>
        <v>99828</v>
      </c>
      <c r="O22">
        <f>ROUNDUP(MIN(50,ROUNDUP(A22/3,0),Level!M22)*Plants!Q$4*0.005,0)</f>
        <v>1</v>
      </c>
      <c r="P22">
        <f>ROUNDUP(MAX(4,MIN(A22,VLOOKUP(A22,Level!$A$4:$M$203,13))*MIN(4,ROUNDUP(VLOOKUP(A22,Background!$C$3:$D$52,2)/5,0)))*VLOOKUP(A22,Plants!$C$4:$AJ$53,30)*0.025,0)</f>
        <v>19</v>
      </c>
      <c r="Q22">
        <f t="shared" si="6"/>
        <v>10.5</v>
      </c>
      <c r="R22">
        <f>ROUND(MIN(50,ROUNDUP(A22/3,0),Level!M22)*Plants!R$4,0)</f>
        <v>35</v>
      </c>
      <c r="S22" s="153">
        <f>ROUNDUP(MAX(4,MIN(A22,VLOOKUP(A22,Level!$A$4:$M$203,13))*MIN(4,ROUNDUP(VLOOKUP(A22,Background!$C$3:$D$52,2)/5,0)))*VLOOKUP(A22,Plants!$C$4:$AJ$53,31)*1.25,0)</f>
        <v>19950</v>
      </c>
      <c r="T22" s="153">
        <f t="shared" si="7"/>
        <v>9992.5</v>
      </c>
      <c r="U22">
        <f>SUM($K$4:K22)</f>
        <v>280774</v>
      </c>
      <c r="V22">
        <f>VLOOKUP(A22,Garden!$B$4:$P$19,15)</f>
        <v>70400</v>
      </c>
      <c r="W22">
        <f>VLOOKUP(A22,Plots!$B$4:$U$39,20)</f>
        <v>99200</v>
      </c>
      <c r="X22">
        <f>VLOOKUP(A22,'Decoration Background'!$A$2:$H$200,8)</f>
        <v>161805</v>
      </c>
      <c r="Y22">
        <f t="shared" si="0"/>
        <v>-50631</v>
      </c>
      <c r="Z22" s="158">
        <f t="shared" si="1"/>
        <v>1.180326525960381</v>
      </c>
      <c r="AA22">
        <f t="shared" si="2"/>
        <v>-50631</v>
      </c>
      <c r="AB22" s="170">
        <f>MAX(0,(-Y22)/VLOOKUP($A22,Payment!$A$39:$G$239,7)*100)</f>
        <v>8.7294827586206889</v>
      </c>
      <c r="AC22" s="138">
        <f t="shared" si="8"/>
        <v>8.7294827586206889</v>
      </c>
      <c r="AD22">
        <f t="shared" si="3"/>
        <v>570</v>
      </c>
      <c r="AE22">
        <f t="shared" si="9"/>
        <v>2</v>
      </c>
      <c r="AF22" s="79">
        <f t="shared" si="10"/>
        <v>2</v>
      </c>
    </row>
    <row r="23" spans="1:32">
      <c r="A23" s="36">
        <v>20</v>
      </c>
      <c r="B23" s="69">
        <f>Level!B24-Level!B23</f>
        <v>1900</v>
      </c>
      <c r="C23" s="73">
        <f>Level!M23*VLOOKUP(A23,Plants!$C$4:$AH$47,32)*24+(27/Level!T23)</f>
        <v>962.58556891488229</v>
      </c>
      <c r="D23" s="62">
        <f t="shared" si="11"/>
        <v>1.9738504932521066</v>
      </c>
      <c r="E23" s="65">
        <f>SUM(D$4:D22)</f>
        <v>13.606837239213673</v>
      </c>
      <c r="F23" s="205">
        <f>Level!M23*VLOOKUP(A23,Plants!$C$4:$AI$47,33)*24*1.15+IF(VLOOKUP(A23,Goals!$AO$4:$AO$120,1)=A23,VLOOKUP(A23,Goals!$AO$4:$AQ$120,3)/D23,0)+VLOOKUP(A23,Level!$A$4:$C$203,3)/D23</f>
        <v>25612.866828087164</v>
      </c>
      <c r="G23" s="71">
        <f>Level!M23*VLOOKUP(A23,Plants!$C$4:$X$47,21)*24</f>
        <v>16320</v>
      </c>
      <c r="H23" s="63">
        <f t="shared" si="12"/>
        <v>0.11642156862745098</v>
      </c>
      <c r="I23" s="64">
        <f>SUM(H$4:H22)</f>
        <v>0.8694795890384126</v>
      </c>
      <c r="J23" s="35">
        <f>Level!M23*VLOOKUP(A23,Plants!$C$4:$X$47,22)*24</f>
        <v>146880</v>
      </c>
      <c r="K23" s="239">
        <f t="shared" si="4"/>
        <v>50556</v>
      </c>
      <c r="L23" s="239">
        <f>SUM($K$4:K23)</f>
        <v>331330</v>
      </c>
      <c r="M23" s="239">
        <f t="shared" si="5"/>
        <v>17100</v>
      </c>
      <c r="N23" s="239">
        <f>SUM($M$4:M23)</f>
        <v>116928</v>
      </c>
      <c r="O23">
        <f>ROUNDUP(MIN(50,ROUNDUP(A23/3,0),Level!M23)*Plants!Q$4*0.005,0)</f>
        <v>1</v>
      </c>
      <c r="P23">
        <f>ROUNDUP(MAX(4,MIN(A23,VLOOKUP(A23,Level!$A$4:$M$203,13))*MIN(4,ROUNDUP(VLOOKUP(A23,Background!$C$3:$D$52,2)/5,0)))*VLOOKUP(A23,Plants!$C$4:$AJ$53,30)*0.025,0)</f>
        <v>20</v>
      </c>
      <c r="Q23">
        <f t="shared" si="6"/>
        <v>11</v>
      </c>
      <c r="R23">
        <f>ROUND(MIN(50,ROUNDUP(A23/3,0),Level!M23)*Plants!R$4,0)</f>
        <v>35</v>
      </c>
      <c r="S23" s="153">
        <f>ROUNDUP(MAX(4,MIN(A23,VLOOKUP(A23,Level!$A$4:$M$203,13))*MIN(4,ROUNDUP(VLOOKUP(A23,Background!$C$3:$D$52,2)/5,0)))*VLOOKUP(A23,Plants!$C$4:$AJ$53,31)*1.25,0)</f>
        <v>21000</v>
      </c>
      <c r="T23" s="153">
        <f t="shared" si="7"/>
        <v>10517.5</v>
      </c>
      <c r="U23">
        <f>SUM($K$4:K23)</f>
        <v>331330</v>
      </c>
      <c r="V23">
        <f>VLOOKUP(A23,Garden!$B$4:$P$19,15)</f>
        <v>70400</v>
      </c>
      <c r="W23">
        <f>VLOOKUP(A23,Plots!$B$4:$U$39,20)</f>
        <v>99200</v>
      </c>
      <c r="X23">
        <f>VLOOKUP(A23,'Decoration Background'!$A$2:$H$200,8)</f>
        <v>191562</v>
      </c>
      <c r="Y23">
        <f t="shared" si="0"/>
        <v>-29832</v>
      </c>
      <c r="Z23" s="158">
        <f t="shared" si="1"/>
        <v>1.0900371231098904</v>
      </c>
      <c r="AA23">
        <f t="shared" si="2"/>
        <v>-50631</v>
      </c>
      <c r="AB23" s="170">
        <f>MAX(0,(-Y23)/VLOOKUP($A23,Payment!$A$39:$G$239,7)*100)</f>
        <v>4.9720000000000004</v>
      </c>
      <c r="AC23" s="138">
        <f t="shared" si="8"/>
        <v>8.7294827586206889</v>
      </c>
      <c r="AD23">
        <f t="shared" si="3"/>
        <v>630</v>
      </c>
      <c r="AE23">
        <f t="shared" si="9"/>
        <v>1.2</v>
      </c>
      <c r="AF23" s="79">
        <f t="shared" si="10"/>
        <v>2</v>
      </c>
    </row>
    <row r="24" spans="1:32">
      <c r="A24" s="36">
        <v>21</v>
      </c>
      <c r="B24" s="69">
        <f>Level!B25-Level!B24</f>
        <v>2100</v>
      </c>
      <c r="C24" s="73">
        <f>Level!M24*VLOOKUP(A24,Plants!$C$4:$AH$47,32)*24+(27/Level!T24)</f>
        <v>961.64984713045544</v>
      </c>
      <c r="D24" s="62">
        <f t="shared" si="11"/>
        <v>2.183747032525778</v>
      </c>
      <c r="E24" s="65">
        <f>SUM(D$4:D23)</f>
        <v>15.58068773246578</v>
      </c>
      <c r="F24" s="205">
        <f>Level!M24*VLOOKUP(A24,Plants!$C$4:$AI$47,33)*24*1.15+IF(VLOOKUP(A24,Goals!$AO$4:$AO$120,1)=A24,VLOOKUP(A24,Goals!$AO$4:$AQ$120,3)/D24,0)+VLOOKUP(A24,Level!$A$4:$C$203,3)/D24</f>
        <v>25862.344978165933</v>
      </c>
      <c r="G24" s="71">
        <f>Level!M24*VLOOKUP(A24,Plants!$C$4:$X$47,21)*24</f>
        <v>16320</v>
      </c>
      <c r="H24" s="63">
        <f t="shared" si="12"/>
        <v>0.12867647058823528</v>
      </c>
      <c r="I24" s="64">
        <f>SUM(H$4:H23)</f>
        <v>0.98590115766586361</v>
      </c>
      <c r="J24" s="35">
        <f>Level!M24*VLOOKUP(A24,Plants!$C$4:$X$47,22)*24</f>
        <v>146880</v>
      </c>
      <c r="K24" s="239">
        <f t="shared" si="4"/>
        <v>56477</v>
      </c>
      <c r="L24" s="239">
        <f>SUM($K$4:K24)</f>
        <v>387807</v>
      </c>
      <c r="M24" s="239">
        <f t="shared" si="5"/>
        <v>18900</v>
      </c>
      <c r="N24" s="239">
        <f>SUM($M$4:M24)</f>
        <v>135828</v>
      </c>
      <c r="O24">
        <f>ROUNDUP(MIN(50,ROUNDUP(A24/3,0),Level!M24)*Plants!Q$4*0.005,0)</f>
        <v>1</v>
      </c>
      <c r="P24">
        <f>ROUNDUP(MAX(4,MIN(A24,VLOOKUP(A24,Level!$A$4:$M$203,13))*MIN(4,ROUNDUP(VLOOKUP(A24,Background!$C$3:$D$52,2)/5,0)))*VLOOKUP(A24,Plants!$C$4:$AJ$53,30)*0.025,0)</f>
        <v>21</v>
      </c>
      <c r="Q24">
        <f t="shared" si="6"/>
        <v>11.5</v>
      </c>
      <c r="R24">
        <f>ROUND(MIN(50,ROUNDUP(A24/3,0),Level!M24)*Plants!R$4,0)</f>
        <v>35</v>
      </c>
      <c r="S24" s="153">
        <f>ROUNDUP(MAX(4,MIN(A24,VLOOKUP(A24,Level!$A$4:$M$203,13))*MIN(4,ROUNDUP(VLOOKUP(A24,Background!$C$3:$D$52,2)/5,0)))*VLOOKUP(A24,Plants!$C$4:$AJ$53,31)*1.25,0)</f>
        <v>22050</v>
      </c>
      <c r="T24" s="153">
        <f t="shared" si="7"/>
        <v>11042.5</v>
      </c>
      <c r="U24">
        <f>SUM($K$4:K24)</f>
        <v>387807</v>
      </c>
      <c r="V24">
        <f>VLOOKUP(A24,Garden!$B$4:$P$19,15)</f>
        <v>70400</v>
      </c>
      <c r="W24">
        <f>VLOOKUP(A24,Plots!$B$4:$U$39,20)</f>
        <v>99200</v>
      </c>
      <c r="X24">
        <f>VLOOKUP(A24,'Decoration Background'!$A$2:$H$200,8)</f>
        <v>225372</v>
      </c>
      <c r="Y24">
        <f t="shared" si="0"/>
        <v>-7165</v>
      </c>
      <c r="Z24" s="158">
        <f t="shared" si="1"/>
        <v>1.0184756850701508</v>
      </c>
      <c r="AA24">
        <f t="shared" si="2"/>
        <v>-50631</v>
      </c>
      <c r="AB24" s="170">
        <f>MAX(0,(-Y24)/VLOOKUP($A24,Payment!$A$39:$G$239,7)*100)</f>
        <v>1.1941666666666666</v>
      </c>
      <c r="AC24" s="138">
        <f t="shared" si="8"/>
        <v>8.7294827586206889</v>
      </c>
      <c r="AD24">
        <f t="shared" si="3"/>
        <v>693</v>
      </c>
      <c r="AE24">
        <f t="shared" si="9"/>
        <v>0.3</v>
      </c>
      <c r="AF24" s="79">
        <f t="shared" si="10"/>
        <v>2</v>
      </c>
    </row>
    <row r="25" spans="1:32">
      <c r="A25" s="36">
        <v>22</v>
      </c>
      <c r="B25" s="69">
        <f>Level!B26-Level!B25</f>
        <v>2500</v>
      </c>
      <c r="C25" s="73">
        <f>Level!M25*VLOOKUP(A25,Plants!$C$4:$AH$47,32)*24+(27/Level!T25)</f>
        <v>1072.0913655929903</v>
      </c>
      <c r="D25" s="62">
        <f t="shared" si="11"/>
        <v>2.3318908072888092</v>
      </c>
      <c r="E25" s="65">
        <f>SUM(D$4:D24)</f>
        <v>17.764434764991556</v>
      </c>
      <c r="F25" s="205">
        <f>Level!M25*VLOOKUP(A25,Plants!$C$4:$AI$47,33)*24*1.15+IF(VLOOKUP(A25,Goals!$AO$4:$AO$120,1)=A25,VLOOKUP(A25,Goals!$AO$4:$AQ$120,3)/D25,0)+VLOOKUP(A25,Level!$A$4:$C$203,3)/D25</f>
        <v>28904.97379912663</v>
      </c>
      <c r="G25" s="71">
        <f>Level!M25*VLOOKUP(A25,Plants!$C$4:$X$47,21)*24</f>
        <v>18240</v>
      </c>
      <c r="H25" s="63">
        <f t="shared" si="12"/>
        <v>0.13706140350877194</v>
      </c>
      <c r="I25" s="64">
        <f>SUM(H$4:H24)</f>
        <v>1.1145776282540989</v>
      </c>
      <c r="J25" s="35">
        <f>Level!M25*VLOOKUP(A25,Plants!$C$4:$X$47,22)*24</f>
        <v>164160</v>
      </c>
      <c r="K25" s="239">
        <f t="shared" si="4"/>
        <v>67403</v>
      </c>
      <c r="L25" s="239">
        <f>SUM($K$4:K25)</f>
        <v>455210</v>
      </c>
      <c r="M25" s="239">
        <f t="shared" si="5"/>
        <v>22500</v>
      </c>
      <c r="N25" s="239">
        <f>SUM($M$4:M25)</f>
        <v>158328</v>
      </c>
      <c r="O25">
        <f>ROUNDUP(MIN(50,ROUNDUP(A25/3,0),Level!M25)*Plants!Q$4*0.005,0)</f>
        <v>1</v>
      </c>
      <c r="P25">
        <f>ROUNDUP(MAX(4,MIN(A25,VLOOKUP(A25,Level!$A$4:$M$203,13))*MIN(4,ROUNDUP(VLOOKUP(A25,Background!$C$3:$D$52,2)/5,0)))*VLOOKUP(A25,Plants!$C$4:$AJ$53,30)*0.025,0)</f>
        <v>22</v>
      </c>
      <c r="Q25">
        <f t="shared" si="6"/>
        <v>12</v>
      </c>
      <c r="R25">
        <f>ROUND(MIN(50,ROUNDUP(A25/3,0),Level!M25)*Plants!R$4,0)</f>
        <v>40</v>
      </c>
      <c r="S25" s="153">
        <f>ROUNDUP(MAX(4,MIN(A25,VLOOKUP(A25,Level!$A$4:$M$203,13))*MIN(4,ROUNDUP(VLOOKUP(A25,Background!$C$3:$D$52,2)/5,0)))*VLOOKUP(A25,Plants!$C$4:$AJ$53,31)*1.25,0)</f>
        <v>23100</v>
      </c>
      <c r="T25" s="153">
        <f t="shared" si="7"/>
        <v>11570</v>
      </c>
      <c r="U25">
        <f>SUM($K$4:K25)</f>
        <v>455210</v>
      </c>
      <c r="V25">
        <f>VLOOKUP(A25,Garden!$B$4:$P$19,15)</f>
        <v>70400</v>
      </c>
      <c r="W25">
        <f>VLOOKUP(A25,Plots!$B$4:$U$39,20)</f>
        <v>161200</v>
      </c>
      <c r="X25">
        <f>VLOOKUP(A25,'Decoration Background'!$A$2:$H$200,8)</f>
        <v>263685</v>
      </c>
      <c r="Y25">
        <f t="shared" si="0"/>
        <v>-40075</v>
      </c>
      <c r="Z25" s="158">
        <f t="shared" si="1"/>
        <v>1.0880362909426418</v>
      </c>
      <c r="AA25">
        <f t="shared" si="2"/>
        <v>-50631</v>
      </c>
      <c r="AB25" s="170">
        <f>MAX(0,(-Y25)/VLOOKUP($A25,Payment!$A$39:$G$239,7)*100)</f>
        <v>6.6791666666666663</v>
      </c>
      <c r="AC25" s="138">
        <f t="shared" si="8"/>
        <v>8.7294827586206889</v>
      </c>
      <c r="AD25">
        <f t="shared" si="3"/>
        <v>759</v>
      </c>
      <c r="AE25">
        <f t="shared" si="9"/>
        <v>1.4</v>
      </c>
      <c r="AF25" s="79">
        <f t="shared" si="10"/>
        <v>2</v>
      </c>
    </row>
    <row r="26" spans="1:32">
      <c r="A26" s="36">
        <v>23</v>
      </c>
      <c r="B26" s="69">
        <f>Level!B27-Level!B26</f>
        <v>2800</v>
      </c>
      <c r="C26" s="73">
        <f>Level!M26*VLOOKUP(A26,Plants!$C$4:$AH$47,32)*24+(27/Level!T26)</f>
        <v>1071.3505085292911</v>
      </c>
      <c r="D26" s="62">
        <f t="shared" si="11"/>
        <v>2.6135237512919396</v>
      </c>
      <c r="E26" s="65">
        <f>SUM(D$4:D25)</f>
        <v>20.096325572280364</v>
      </c>
      <c r="F26" s="205">
        <f>Level!M26*VLOOKUP(A26,Plants!$C$4:$AI$47,33)*24*1.15+IF(VLOOKUP(A26,Goals!$AO$4:$AO$120,1)=A26,VLOOKUP(A26,Goals!$AO$4:$AQ$120,3)/D26,0)+VLOOKUP(A26,Level!$A$4:$C$203,3)/D26</f>
        <v>29212.103379721673</v>
      </c>
      <c r="G26" s="71">
        <f>Level!M26*VLOOKUP(A26,Plants!$C$4:$X$47,21)*24</f>
        <v>18240</v>
      </c>
      <c r="H26" s="63">
        <f t="shared" si="12"/>
        <v>0.15350877192982457</v>
      </c>
      <c r="I26" s="64">
        <f>SUM(H$4:H25)</f>
        <v>1.2516390317628709</v>
      </c>
      <c r="J26" s="35">
        <f>Level!M26*VLOOKUP(A26,Plants!$C$4:$X$47,22)*24</f>
        <v>164160</v>
      </c>
      <c r="K26" s="239">
        <f t="shared" si="4"/>
        <v>76347</v>
      </c>
      <c r="L26" s="239">
        <f>SUM($K$4:K26)</f>
        <v>531557</v>
      </c>
      <c r="M26" s="239">
        <f t="shared" si="5"/>
        <v>25200</v>
      </c>
      <c r="N26" s="239">
        <f>SUM($M$4:M26)</f>
        <v>183528</v>
      </c>
      <c r="O26">
        <f>ROUNDUP(MIN(50,ROUNDUP(A26/3,0),Level!M26)*Plants!Q$4*0.005,0)</f>
        <v>1</v>
      </c>
      <c r="P26">
        <f>ROUNDUP(MAX(4,MIN(A26,VLOOKUP(A26,Level!$A$4:$M$203,13))*MIN(4,ROUNDUP(VLOOKUP(A26,Background!$C$3:$D$52,2)/5,0)))*VLOOKUP(A26,Plants!$C$4:$AJ$53,30)*0.025,0)</f>
        <v>23</v>
      </c>
      <c r="Q26">
        <f t="shared" si="6"/>
        <v>12.5</v>
      </c>
      <c r="R26">
        <f>ROUND(MIN(50,ROUNDUP(A26/3,0),Level!M26)*Plants!R$4,0)</f>
        <v>40</v>
      </c>
      <c r="S26" s="153">
        <f>ROUNDUP(MAX(4,MIN(A26,VLOOKUP(A26,Level!$A$4:$M$203,13))*MIN(4,ROUNDUP(VLOOKUP(A26,Background!$C$3:$D$52,2)/5,0)))*VLOOKUP(A26,Plants!$C$4:$AJ$53,31)*1.25,0)</f>
        <v>24150</v>
      </c>
      <c r="T26" s="153">
        <f t="shared" si="7"/>
        <v>12095</v>
      </c>
      <c r="U26">
        <f>SUM($K$4:K26)</f>
        <v>531557</v>
      </c>
      <c r="V26">
        <f>VLOOKUP(A26,Garden!$B$4:$P$19,15)</f>
        <v>70400</v>
      </c>
      <c r="W26">
        <f>VLOOKUP(A26,Plots!$B$4:$U$39,20)</f>
        <v>161200</v>
      </c>
      <c r="X26">
        <f>VLOOKUP(A26,'Decoration Background'!$A$2:$H$200,8)</f>
        <v>306951</v>
      </c>
      <c r="Y26">
        <f t="shared" si="0"/>
        <v>-6994</v>
      </c>
      <c r="Z26" s="158">
        <f t="shared" si="1"/>
        <v>1.013157572941378</v>
      </c>
      <c r="AA26">
        <f t="shared" si="2"/>
        <v>-50631</v>
      </c>
      <c r="AB26" s="170">
        <f>MAX(0,(-Y26)/VLOOKUP($A26,Payment!$A$39:$G$239,7)*100)</f>
        <v>1.1656666666666666</v>
      </c>
      <c r="AC26" s="138">
        <f t="shared" si="8"/>
        <v>8.7294827586206889</v>
      </c>
      <c r="AD26">
        <f t="shared" si="3"/>
        <v>828</v>
      </c>
      <c r="AE26">
        <f t="shared" si="9"/>
        <v>0.2</v>
      </c>
      <c r="AF26" s="79">
        <f t="shared" si="10"/>
        <v>2</v>
      </c>
    </row>
    <row r="27" spans="1:32">
      <c r="A27" s="36">
        <v>24</v>
      </c>
      <c r="B27" s="69">
        <f>Level!B28-Level!B27</f>
        <v>3000</v>
      </c>
      <c r="C27" s="73">
        <f>Level!M27*VLOOKUP(A27,Plants!$C$4:$AH$47,32)*24+(27/Level!T27)</f>
        <v>1070.3800936024461</v>
      </c>
      <c r="D27" s="62">
        <f t="shared" si="11"/>
        <v>2.8027427060076113</v>
      </c>
      <c r="E27" s="65">
        <f>SUM(D$4:D26)</f>
        <v>22.709849323572303</v>
      </c>
      <c r="F27" s="205">
        <f>Level!M27*VLOOKUP(A27,Plants!$C$4:$AI$47,33)*24*1.15+IF(VLOOKUP(A27,Goals!$AO$4:$AO$120,1)=A27,VLOOKUP(A27,Goals!$AO$4:$AQ$120,3)/D27,0)+VLOOKUP(A27,Level!$A$4:$C$203,3)/D27</f>
        <v>29212.103379721673</v>
      </c>
      <c r="G27" s="71">
        <f>Level!M27*VLOOKUP(A27,Plants!$C$4:$X$47,21)*24</f>
        <v>18240</v>
      </c>
      <c r="H27" s="63">
        <f t="shared" si="12"/>
        <v>0.16447368421052633</v>
      </c>
      <c r="I27" s="64">
        <f>SUM(H$4:H26)</f>
        <v>1.4051478036926954</v>
      </c>
      <c r="J27" s="35">
        <f>Level!M27*VLOOKUP(A27,Plants!$C$4:$X$47,22)*24</f>
        <v>164160</v>
      </c>
      <c r="K27" s="239">
        <f t="shared" si="4"/>
        <v>81874</v>
      </c>
      <c r="L27" s="239">
        <f>SUM($K$4:K27)</f>
        <v>613431</v>
      </c>
      <c r="M27" s="239">
        <f t="shared" si="5"/>
        <v>27000</v>
      </c>
      <c r="N27" s="239">
        <f>SUM($M$4:M27)</f>
        <v>210528</v>
      </c>
      <c r="O27">
        <f>ROUNDUP(MIN(50,ROUNDUP(A27/3,0),Level!M27)*Plants!Q$4*0.005,0)</f>
        <v>1</v>
      </c>
      <c r="P27">
        <f>ROUNDUP(MAX(4,MIN(A27,VLOOKUP(A27,Level!$A$4:$M$203,13))*MIN(4,ROUNDUP(VLOOKUP(A27,Background!$C$3:$D$52,2)/5,0)))*VLOOKUP(A27,Plants!$C$4:$AJ$53,30)*0.025,0)</f>
        <v>24</v>
      </c>
      <c r="Q27">
        <f t="shared" si="6"/>
        <v>13</v>
      </c>
      <c r="R27">
        <f>ROUND(MIN(50,ROUNDUP(A27/3,0),Level!M27)*Plants!R$4,0)</f>
        <v>40</v>
      </c>
      <c r="S27" s="153">
        <f>ROUNDUP(MAX(4,MIN(A27,VLOOKUP(A27,Level!$A$4:$M$203,13))*MIN(4,ROUNDUP(VLOOKUP(A27,Background!$C$3:$D$52,2)/5,0)))*VLOOKUP(A27,Plants!$C$4:$AJ$53,31)*1.25,0)</f>
        <v>25200</v>
      </c>
      <c r="T27" s="153">
        <f t="shared" si="7"/>
        <v>12620</v>
      </c>
      <c r="U27">
        <f>SUM($K$4:K27)</f>
        <v>613431</v>
      </c>
      <c r="V27">
        <f>VLOOKUP(A27,Garden!$B$4:$P$19,15)</f>
        <v>220400</v>
      </c>
      <c r="W27">
        <f>VLOOKUP(A27,Plots!$B$4:$U$39,20)</f>
        <v>161200</v>
      </c>
      <c r="X27">
        <f>VLOOKUP(A27,'Decoration Background'!$A$2:$H$200,8)</f>
        <v>355620</v>
      </c>
      <c r="Y27">
        <f t="shared" si="0"/>
        <v>-123789</v>
      </c>
      <c r="Z27" s="158">
        <f t="shared" si="1"/>
        <v>1.2017977572049667</v>
      </c>
      <c r="AA27">
        <f t="shared" si="2"/>
        <v>-123789</v>
      </c>
      <c r="AB27" s="170">
        <f>MAX(0,(-Y27)/VLOOKUP($A27,Payment!$A$39:$G$239,7)*100)</f>
        <v>19.965967741935483</v>
      </c>
      <c r="AC27" s="138">
        <f t="shared" si="8"/>
        <v>19.965967741935483</v>
      </c>
      <c r="AD27">
        <f t="shared" si="3"/>
        <v>900</v>
      </c>
      <c r="AE27">
        <f t="shared" si="9"/>
        <v>4.2</v>
      </c>
      <c r="AF27" s="79">
        <f t="shared" si="10"/>
        <v>4.2</v>
      </c>
    </row>
    <row r="28" spans="1:32">
      <c r="A28" s="36">
        <v>25</v>
      </c>
      <c r="B28" s="69">
        <f>Level!B29-Level!B28</f>
        <v>3300</v>
      </c>
      <c r="C28" s="73">
        <f>Level!M28*VLOOKUP(A28,Plants!$C$4:$AH$47,32)*24+(27/Level!T28)</f>
        <v>1069.770858989898</v>
      </c>
      <c r="D28" s="62">
        <f t="shared" si="11"/>
        <v>3.0847727550888191</v>
      </c>
      <c r="E28" s="65">
        <f>SUM(D$4:D27)</f>
        <v>25.512592029579913</v>
      </c>
      <c r="F28" s="205">
        <f>Level!M28*VLOOKUP(A28,Plants!$C$4:$AI$47,33)*24*1.15+IF(VLOOKUP(A28,Goals!$AO$4:$AO$120,1)=A28,VLOOKUP(A28,Goals!$AO$4:$AQ$120,3)/D28,0)+VLOOKUP(A28,Level!$A$4:$C$203,3)/D28</f>
        <v>29468.791970802919</v>
      </c>
      <c r="G28" s="71">
        <f>Level!M28*VLOOKUP(A28,Plants!$C$4:$X$47,21)*24</f>
        <v>18240</v>
      </c>
      <c r="H28" s="63">
        <f t="shared" si="12"/>
        <v>0.18092105263157895</v>
      </c>
      <c r="I28" s="64">
        <f>SUM(H$4:H27)</f>
        <v>1.5696214879032218</v>
      </c>
      <c r="J28" s="35">
        <f>Level!M28*VLOOKUP(A28,Plants!$C$4:$X$47,22)*24</f>
        <v>164160</v>
      </c>
      <c r="K28" s="239">
        <f t="shared" si="4"/>
        <v>90905</v>
      </c>
      <c r="L28" s="239">
        <f>SUM($K$4:K28)</f>
        <v>704336</v>
      </c>
      <c r="M28" s="239">
        <f t="shared" si="5"/>
        <v>29700</v>
      </c>
      <c r="N28" s="239">
        <f>SUM($M$4:M28)</f>
        <v>240228</v>
      </c>
      <c r="O28">
        <f>ROUNDUP(MIN(50,ROUNDUP(A28/3,0),Level!M28)*Plants!Q$4*0.005,0)</f>
        <v>1</v>
      </c>
      <c r="P28">
        <f>ROUNDUP(MAX(4,MIN(A28,VLOOKUP(A28,Level!$A$4:$M$203,13))*MIN(4,ROUNDUP(VLOOKUP(A28,Background!$C$3:$D$52,2)/5,0)))*VLOOKUP(A28,Plants!$C$4:$AJ$53,30)*0.025,0)</f>
        <v>25</v>
      </c>
      <c r="Q28">
        <f t="shared" si="6"/>
        <v>13.5</v>
      </c>
      <c r="R28">
        <f>ROUND(MIN(50,ROUNDUP(A28/3,0),Level!M28)*Plants!R$4,0)</f>
        <v>45</v>
      </c>
      <c r="S28" s="153">
        <f>ROUNDUP(MAX(4,MIN(A28,VLOOKUP(A28,Level!$A$4:$M$203,13))*MIN(4,ROUNDUP(VLOOKUP(A28,Background!$C$3:$D$52,2)/5,0)))*VLOOKUP(A28,Plants!$C$4:$AJ$53,31)*1.25,0)</f>
        <v>26250</v>
      </c>
      <c r="T28" s="153">
        <f t="shared" si="7"/>
        <v>13147.5</v>
      </c>
      <c r="U28">
        <f>SUM($K$4:K28)</f>
        <v>704336</v>
      </c>
      <c r="V28">
        <f>VLOOKUP(A28,Garden!$B$4:$P$19,15)</f>
        <v>220400</v>
      </c>
      <c r="W28">
        <f>VLOOKUP(A28,Plots!$B$4:$U$39,20)</f>
        <v>161200</v>
      </c>
      <c r="X28">
        <f>VLOOKUP(A28,'Decoration Background'!$A$2:$H$200,8)</f>
        <v>409839</v>
      </c>
      <c r="Y28">
        <f t="shared" si="0"/>
        <v>-87103</v>
      </c>
      <c r="Z28" s="158">
        <f t="shared" si="1"/>
        <v>1.1236668294677541</v>
      </c>
      <c r="AA28">
        <f t="shared" si="2"/>
        <v>-123789</v>
      </c>
      <c r="AB28" s="170">
        <f>MAX(0,(-Y28)/VLOOKUP($A28,Payment!$A$39:$G$239,7)*100)</f>
        <v>14.048870967741935</v>
      </c>
      <c r="AC28" s="138">
        <f t="shared" si="8"/>
        <v>19.965967741935483</v>
      </c>
      <c r="AD28">
        <f t="shared" si="3"/>
        <v>975</v>
      </c>
      <c r="AE28">
        <f t="shared" si="9"/>
        <v>3</v>
      </c>
      <c r="AF28" s="79">
        <f t="shared" si="10"/>
        <v>4.2</v>
      </c>
    </row>
    <row r="29" spans="1:32">
      <c r="A29" s="36">
        <v>26</v>
      </c>
      <c r="B29" s="69">
        <f>Level!B30-Level!B29</f>
        <v>4000</v>
      </c>
      <c r="C29" s="73">
        <f>Level!M29*VLOOKUP(A29,Plants!$C$4:$AH$47,32)*24+(27/Level!T29)</f>
        <v>1180.6476952993764</v>
      </c>
      <c r="D29" s="62">
        <f t="shared" si="11"/>
        <v>3.3879708705023317</v>
      </c>
      <c r="E29" s="65">
        <f>SUM(D$4:D28)</f>
        <v>28.597364784668734</v>
      </c>
      <c r="F29" s="205">
        <f>Level!M29*VLOOKUP(A29,Plants!$C$4:$AI$47,33)*24*1.15+IF(VLOOKUP(A29,Goals!$AO$4:$AO$120,1)=A29,VLOOKUP(A29,Goals!$AO$4:$AQ$120,3)/D29,0)+VLOOKUP(A29,Level!$A$4:$C$203,3)/D29</f>
        <v>32570.770072992702</v>
      </c>
      <c r="G29" s="71">
        <f>Level!M29*VLOOKUP(A29,Plants!$C$4:$X$47,21)*24</f>
        <v>20160</v>
      </c>
      <c r="H29" s="63">
        <f t="shared" si="12"/>
        <v>0.1984126984126984</v>
      </c>
      <c r="I29" s="64">
        <f>SUM(H$4:H28)</f>
        <v>1.7505425405348007</v>
      </c>
      <c r="J29" s="35">
        <f>Level!M29*VLOOKUP(A29,Plants!$C$4:$X$47,22)*24</f>
        <v>181440</v>
      </c>
      <c r="K29" s="239">
        <f t="shared" si="4"/>
        <v>110349</v>
      </c>
      <c r="L29" s="239">
        <f>SUM($K$4:K29)</f>
        <v>814685</v>
      </c>
      <c r="M29" s="239">
        <f t="shared" si="5"/>
        <v>36000</v>
      </c>
      <c r="N29" s="239">
        <f>SUM($M$4:M29)</f>
        <v>276228</v>
      </c>
      <c r="O29">
        <f>ROUNDUP(MIN(50,ROUNDUP(A29/3,0),Level!M29)*Plants!Q$4*0.005,0)</f>
        <v>1</v>
      </c>
      <c r="P29">
        <f>ROUNDUP(MAX(4,MIN(A29,VLOOKUP(A29,Level!$A$4:$M$203,13))*MIN(4,ROUNDUP(VLOOKUP(A29,Background!$C$3:$D$52,2)/5,0)))*VLOOKUP(A29,Plants!$C$4:$AJ$53,30)*0.025,0)</f>
        <v>26</v>
      </c>
      <c r="Q29">
        <f t="shared" si="6"/>
        <v>14</v>
      </c>
      <c r="R29">
        <f>ROUND(MIN(50,ROUNDUP(A29/3,0),Level!M29)*Plants!R$4,0)</f>
        <v>45</v>
      </c>
      <c r="S29" s="153">
        <f>ROUNDUP(MAX(4,MIN(A29,VLOOKUP(A29,Level!$A$4:$M$203,13))*MIN(4,ROUNDUP(VLOOKUP(A29,Background!$C$3:$D$52,2)/5,0)))*VLOOKUP(A29,Plants!$C$4:$AJ$53,31)*1.25,0)</f>
        <v>27300</v>
      </c>
      <c r="T29" s="153">
        <f t="shared" si="7"/>
        <v>13672.5</v>
      </c>
      <c r="U29">
        <f>SUM($K$4:K29)</f>
        <v>814685</v>
      </c>
      <c r="V29">
        <f>VLOOKUP(A29,Garden!$B$4:$P$19,15)</f>
        <v>220400</v>
      </c>
      <c r="W29">
        <f>VLOOKUP(A29,Plots!$B$4:$U$39,20)</f>
        <v>291200</v>
      </c>
      <c r="X29">
        <f>VLOOKUP(A29,'Decoration Background'!$A$2:$H$200,8)</f>
        <v>469608</v>
      </c>
      <c r="Y29">
        <f t="shared" si="0"/>
        <v>-166523</v>
      </c>
      <c r="Z29" s="158">
        <f t="shared" si="1"/>
        <v>1.2044017012710435</v>
      </c>
      <c r="AA29">
        <f t="shared" si="2"/>
        <v>-166523</v>
      </c>
      <c r="AB29" s="170">
        <f>MAX(0,(-Y29)/VLOOKUP($A29,Payment!$A$39:$G$239,7)*100)</f>
        <v>26.858548387096775</v>
      </c>
      <c r="AC29" s="138">
        <f t="shared" si="8"/>
        <v>26.858548387096775</v>
      </c>
      <c r="AD29">
        <f t="shared" si="3"/>
        <v>1053</v>
      </c>
      <c r="AE29">
        <f t="shared" si="9"/>
        <v>5.0999999999999996</v>
      </c>
      <c r="AF29" s="79">
        <f t="shared" si="10"/>
        <v>5.0999999999999996</v>
      </c>
    </row>
    <row r="30" spans="1:32">
      <c r="A30" s="36">
        <v>27</v>
      </c>
      <c r="B30" s="69">
        <f>Level!B31-Level!B30</f>
        <v>4400</v>
      </c>
      <c r="C30" s="73">
        <f>Level!M30*VLOOKUP(A30,Plants!$C$4:$AH$47,32)*24+(27/Level!T30)</f>
        <v>1180.1745134713287</v>
      </c>
      <c r="D30" s="62">
        <f t="shared" si="11"/>
        <v>3.728262176292874</v>
      </c>
      <c r="E30" s="65">
        <f>SUM(D$4:D29)</f>
        <v>31.985335655171067</v>
      </c>
      <c r="F30" s="205">
        <f>Level!M30*VLOOKUP(A30,Plants!$C$4:$AI$47,33)*24*1.15+IF(VLOOKUP(A30,Goals!$AO$4:$AO$120,1)=A30,VLOOKUP(A30,Goals!$AO$4:$AQ$120,3)/D30,0)+VLOOKUP(A30,Level!$A$4:$C$203,3)/D30</f>
        <v>32884.725126475554</v>
      </c>
      <c r="G30" s="71">
        <f>Level!M30*VLOOKUP(A30,Plants!$C$4:$X$47,21)*24</f>
        <v>20160</v>
      </c>
      <c r="H30" s="63">
        <f t="shared" si="12"/>
        <v>0.21825396825396826</v>
      </c>
      <c r="I30" s="64">
        <f>SUM(H$4:H29)</f>
        <v>1.9489552389474991</v>
      </c>
      <c r="J30" s="35">
        <f>Level!M30*VLOOKUP(A30,Plants!$C$4:$X$47,22)*24</f>
        <v>181440</v>
      </c>
      <c r="K30" s="239">
        <f t="shared" si="4"/>
        <v>122603</v>
      </c>
      <c r="L30" s="239">
        <f>SUM($K$4:K30)</f>
        <v>937288</v>
      </c>
      <c r="M30" s="239">
        <f t="shared" si="5"/>
        <v>39600</v>
      </c>
      <c r="N30" s="239">
        <f>SUM($M$4:M30)</f>
        <v>315828</v>
      </c>
      <c r="O30">
        <f>ROUNDUP(MIN(50,ROUNDUP(A30/3,0),Level!M30)*Plants!Q$4*0.005,0)</f>
        <v>1</v>
      </c>
      <c r="P30">
        <f>ROUNDUP(MAX(4,MIN(A30,VLOOKUP(A30,Level!$A$4:$M$203,13))*MIN(4,ROUNDUP(VLOOKUP(A30,Background!$C$3:$D$52,2)/5,0)))*VLOOKUP(A30,Plants!$C$4:$AJ$53,30)*0.025,0)</f>
        <v>27</v>
      </c>
      <c r="Q30">
        <f t="shared" si="6"/>
        <v>14.5</v>
      </c>
      <c r="R30">
        <f>ROUND(MIN(50,ROUNDUP(A30/3,0),Level!M30)*Plants!R$4,0)</f>
        <v>45</v>
      </c>
      <c r="S30" s="153">
        <f>ROUNDUP(MAX(4,MIN(A30,VLOOKUP(A30,Level!$A$4:$M$203,13))*MIN(4,ROUNDUP(VLOOKUP(A30,Background!$C$3:$D$52,2)/5,0)))*VLOOKUP(A30,Plants!$C$4:$AJ$53,31)*1.25,0)</f>
        <v>28350</v>
      </c>
      <c r="T30" s="153">
        <f t="shared" si="7"/>
        <v>14197.5</v>
      </c>
      <c r="U30">
        <f>SUM($K$4:K30)</f>
        <v>937288</v>
      </c>
      <c r="V30">
        <f>VLOOKUP(A30,Garden!$B$4:$P$19,15)</f>
        <v>220400</v>
      </c>
      <c r="W30">
        <f>VLOOKUP(A30,Plots!$B$4:$U$39,20)</f>
        <v>291200</v>
      </c>
      <c r="X30">
        <f>VLOOKUP(A30,'Decoration Background'!$A$2:$H$200,8)</f>
        <v>534927</v>
      </c>
      <c r="Y30">
        <f t="shared" si="0"/>
        <v>-109239</v>
      </c>
      <c r="Z30" s="158">
        <f t="shared" si="1"/>
        <v>1.1165479553776427</v>
      </c>
      <c r="AA30">
        <f t="shared" si="2"/>
        <v>-166523</v>
      </c>
      <c r="AB30" s="170">
        <f>MAX(0,(-Y30)/VLOOKUP($A30,Payment!$A$39:$G$239,7)*100)</f>
        <v>17.619193548387095</v>
      </c>
      <c r="AC30" s="138">
        <f t="shared" si="8"/>
        <v>26.858548387096775</v>
      </c>
      <c r="AD30">
        <f t="shared" si="3"/>
        <v>1134</v>
      </c>
      <c r="AE30">
        <f t="shared" si="9"/>
        <v>3.3</v>
      </c>
      <c r="AF30" s="79">
        <f t="shared" si="10"/>
        <v>5.0999999999999996</v>
      </c>
    </row>
    <row r="31" spans="1:32">
      <c r="A31" s="36">
        <v>28</v>
      </c>
      <c r="B31" s="69">
        <f>Level!B32-Level!B31</f>
        <v>4900</v>
      </c>
      <c r="C31" s="73">
        <f>Level!M31*VLOOKUP(A31,Plants!$C$4:$AH$47,32)*24+(27/Level!T31)</f>
        <v>1179.5117070190065</v>
      </c>
      <c r="D31" s="62">
        <f t="shared" si="11"/>
        <v>4.1542614378824831</v>
      </c>
      <c r="E31" s="65">
        <f>SUM(D$4:D30)</f>
        <v>35.713597831463943</v>
      </c>
      <c r="F31" s="205">
        <f>Level!M31*VLOOKUP(A31,Plants!$C$4:$AI$47,33)*24*1.15+IF(VLOOKUP(A31,Goals!$AO$4:$AO$120,1)=A31,VLOOKUP(A31,Goals!$AO$4:$AQ$120,3)/D31,0)+VLOOKUP(A31,Level!$A$4:$C$203,3)/D31</f>
        <v>32884.725126475554</v>
      </c>
      <c r="G31" s="71">
        <f>Level!M31*VLOOKUP(A31,Plants!$C$4:$X$47,21)*24</f>
        <v>20160</v>
      </c>
      <c r="H31" s="63">
        <f t="shared" si="12"/>
        <v>0.24305555555555555</v>
      </c>
      <c r="I31" s="64">
        <f>SUM(H$4:H30)</f>
        <v>2.1672092072014673</v>
      </c>
      <c r="J31" s="35">
        <f>Level!M31*VLOOKUP(A31,Plants!$C$4:$X$47,22)*24</f>
        <v>181440</v>
      </c>
      <c r="K31" s="239">
        <f t="shared" si="4"/>
        <v>136612</v>
      </c>
      <c r="L31" s="239">
        <f>SUM($K$4:K31)</f>
        <v>1073900</v>
      </c>
      <c r="M31" s="239">
        <f t="shared" si="5"/>
        <v>44100</v>
      </c>
      <c r="N31" s="239">
        <f>SUM($M$4:M31)</f>
        <v>359928</v>
      </c>
      <c r="O31">
        <f>ROUNDUP(MIN(50,ROUNDUP(A31/3,0),Level!M31)*Plants!Q$4*0.005,0)</f>
        <v>1</v>
      </c>
      <c r="P31">
        <f>ROUNDUP(MAX(4,MIN(A31,VLOOKUP(A31,Level!$A$4:$M$203,13))*MIN(4,ROUNDUP(VLOOKUP(A31,Background!$C$3:$D$52,2)/5,0)))*VLOOKUP(A31,Plants!$C$4:$AJ$53,30)*0.025,0)</f>
        <v>28</v>
      </c>
      <c r="Q31">
        <f t="shared" si="6"/>
        <v>15</v>
      </c>
      <c r="R31">
        <f>ROUND(MIN(50,ROUNDUP(A31/3,0),Level!M31)*Plants!R$4,0)</f>
        <v>50</v>
      </c>
      <c r="S31" s="153">
        <f>ROUNDUP(MAX(4,MIN(A31,VLOOKUP(A31,Level!$A$4:$M$203,13))*MIN(4,ROUNDUP(VLOOKUP(A31,Background!$C$3:$D$52,2)/5,0)))*VLOOKUP(A31,Plants!$C$4:$AJ$53,31)*1.25,0)</f>
        <v>29400</v>
      </c>
      <c r="T31" s="153">
        <f t="shared" si="7"/>
        <v>14725</v>
      </c>
      <c r="U31">
        <f>SUM($K$4:K31)</f>
        <v>1073900</v>
      </c>
      <c r="V31">
        <f>VLOOKUP(A31,Garden!$B$4:$P$19,15)</f>
        <v>220400</v>
      </c>
      <c r="W31">
        <f>VLOOKUP(A31,Plots!$B$4:$U$39,20)</f>
        <v>291200</v>
      </c>
      <c r="X31">
        <f>VLOOKUP(A31,'Decoration Background'!$A$2:$H$200,8)</f>
        <v>605796</v>
      </c>
      <c r="Y31">
        <f t="shared" si="0"/>
        <v>-43496</v>
      </c>
      <c r="Z31" s="158">
        <f t="shared" si="1"/>
        <v>1.040502840115467</v>
      </c>
      <c r="AA31">
        <f t="shared" si="2"/>
        <v>-166523</v>
      </c>
      <c r="AB31" s="170">
        <f>MAX(0,(-Y31)/VLOOKUP($A31,Payment!$A$39:$G$239,7)*100)</f>
        <v>6.7962499999999997</v>
      </c>
      <c r="AC31" s="138">
        <f t="shared" si="8"/>
        <v>26.858548387096775</v>
      </c>
      <c r="AD31">
        <f t="shared" si="3"/>
        <v>1218</v>
      </c>
      <c r="AE31">
        <f t="shared" si="9"/>
        <v>1.3</v>
      </c>
      <c r="AF31" s="79">
        <f t="shared" si="10"/>
        <v>5.0999999999999996</v>
      </c>
    </row>
    <row r="32" spans="1:32">
      <c r="A32" s="36">
        <v>29</v>
      </c>
      <c r="B32" s="69">
        <f>Level!B33-Level!B32</f>
        <v>5900</v>
      </c>
      <c r="C32" s="73">
        <f>Level!M32*VLOOKUP(A32,Plants!$C$4:$AH$47,32)*24+(27/Level!T32)</f>
        <v>1303.8311558361581</v>
      </c>
      <c r="D32" s="62">
        <f t="shared" si="11"/>
        <v>4.5251257983755417</v>
      </c>
      <c r="E32" s="65">
        <f>SUM(D$4:D31)</f>
        <v>39.867859269346425</v>
      </c>
      <c r="F32" s="205">
        <f>Level!M32*VLOOKUP(A32,Plants!$C$4:$AI$47,33)*24*1.15+IF(VLOOKUP(A32,Goals!$AO$4:$AO$120,1)=A32,VLOOKUP(A32,Goals!$AO$4:$AQ$120,3)/D32,0)+VLOOKUP(A32,Level!$A$4:$C$203,3)/D32</f>
        <v>36386.576802507836</v>
      </c>
      <c r="G32" s="71">
        <f>Level!M32*VLOOKUP(A32,Plants!$C$4:$X$47,21)*24</f>
        <v>22080</v>
      </c>
      <c r="H32" s="63">
        <f t="shared" si="12"/>
        <v>0.26721014492753625</v>
      </c>
      <c r="I32" s="64">
        <f>SUM(H$4:H31)</f>
        <v>2.4102647627570226</v>
      </c>
      <c r="J32" s="35">
        <f>Level!M32*VLOOKUP(A32,Plants!$C$4:$X$47,22)*24</f>
        <v>198720</v>
      </c>
      <c r="K32" s="239">
        <f t="shared" si="4"/>
        <v>164654</v>
      </c>
      <c r="L32" s="239">
        <f>SUM($K$4:K32)</f>
        <v>1238554</v>
      </c>
      <c r="M32" s="239">
        <f t="shared" si="5"/>
        <v>53100</v>
      </c>
      <c r="N32" s="239">
        <f>SUM($M$4:M32)</f>
        <v>413028</v>
      </c>
      <c r="O32">
        <f>ROUNDUP(MIN(50,ROUNDUP(A32/3,0),Level!M32)*Plants!Q$4*0.005,0)</f>
        <v>1</v>
      </c>
      <c r="P32">
        <f>ROUNDUP(MAX(4,MIN(A32,VLOOKUP(A32,Level!$A$4:$M$203,13))*MIN(4,ROUNDUP(VLOOKUP(A32,Background!$C$3:$D$52,2)/5,0)))*VLOOKUP(A32,Plants!$C$4:$AJ$53,30)*0.025,0)</f>
        <v>38</v>
      </c>
      <c r="Q32">
        <f t="shared" si="6"/>
        <v>20</v>
      </c>
      <c r="R32">
        <f>ROUND(MIN(50,ROUNDUP(A32/3,0),Level!M32)*Plants!R$4,0)</f>
        <v>50</v>
      </c>
      <c r="S32" s="153">
        <f>ROUNDUP(MAX(4,MIN(A32,VLOOKUP(A32,Level!$A$4:$M$203,13))*MIN(4,ROUNDUP(VLOOKUP(A32,Background!$C$3:$D$52,2)/5,0)))*VLOOKUP(A32,Plants!$C$4:$AJ$53,31)*1.25,0)</f>
        <v>40600</v>
      </c>
      <c r="T32" s="153">
        <f t="shared" si="7"/>
        <v>20325</v>
      </c>
      <c r="U32">
        <f>SUM($K$4:K32)</f>
        <v>1238554</v>
      </c>
      <c r="V32">
        <f>VLOOKUP(A32,Garden!$B$4:$P$19,15)</f>
        <v>220400</v>
      </c>
      <c r="W32">
        <f>VLOOKUP(A32,Plots!$B$4:$U$39,20)</f>
        <v>441200</v>
      </c>
      <c r="X32">
        <f>VLOOKUP(A32,'Decoration Background'!$A$2:$H$200,8)</f>
        <v>682215</v>
      </c>
      <c r="Y32">
        <f t="shared" si="0"/>
        <v>-105261</v>
      </c>
      <c r="Z32" s="158">
        <f t="shared" si="1"/>
        <v>1.084987009044418</v>
      </c>
      <c r="AA32">
        <f t="shared" si="2"/>
        <v>-166523</v>
      </c>
      <c r="AB32" s="170">
        <f>MAX(0,(-Y32)/VLOOKUP($A32,Payment!$A$39:$G$239,7)*100)</f>
        <v>16.447031249999998</v>
      </c>
      <c r="AC32" s="138">
        <f t="shared" si="8"/>
        <v>26.858548387096775</v>
      </c>
      <c r="AD32">
        <f t="shared" si="3"/>
        <v>1305</v>
      </c>
      <c r="AE32">
        <f t="shared" si="9"/>
        <v>2.9</v>
      </c>
      <c r="AF32" s="79">
        <f t="shared" si="10"/>
        <v>5.0999999999999996</v>
      </c>
    </row>
    <row r="33" spans="1:32">
      <c r="A33" s="36">
        <v>30</v>
      </c>
      <c r="B33" s="69">
        <f>Level!B34-Level!B33</f>
        <v>6500</v>
      </c>
      <c r="C33" s="73">
        <f>Level!M33*VLOOKUP(A33,Plants!$C$4:$AH$47,32)*24+(27/Level!T33)</f>
        <v>1303.283381908619</v>
      </c>
      <c r="D33" s="62">
        <f t="shared" si="11"/>
        <v>4.9874034229462412</v>
      </c>
      <c r="E33" s="65">
        <f>SUM(D$4:D32)</f>
        <v>44.392985067721966</v>
      </c>
      <c r="F33" s="205">
        <f>Level!M33*VLOOKUP(A33,Plants!$C$4:$AI$47,33)*24*1.15+IF(VLOOKUP(A33,Goals!$AO$4:$AO$120,1)=A33,VLOOKUP(A33,Goals!$AO$4:$AQ$120,3)/D33,0)+VLOOKUP(A33,Level!$A$4:$C$203,3)/D33</f>
        <v>36386.576802507836</v>
      </c>
      <c r="G33" s="71">
        <f>Level!M33*VLOOKUP(A33,Plants!$C$4:$X$47,21)*24</f>
        <v>22080</v>
      </c>
      <c r="H33" s="63">
        <f t="shared" si="12"/>
        <v>0.29438405797101447</v>
      </c>
      <c r="I33" s="64">
        <f>SUM(H$4:H32)</f>
        <v>2.6774749076845588</v>
      </c>
      <c r="J33" s="35">
        <f>Level!M33*VLOOKUP(A33,Plants!$C$4:$X$47,22)*24</f>
        <v>198720</v>
      </c>
      <c r="K33" s="239">
        <f t="shared" si="4"/>
        <v>181475</v>
      </c>
      <c r="L33" s="239">
        <f>SUM($K$4:K33)</f>
        <v>1420029</v>
      </c>
      <c r="M33" s="239">
        <f t="shared" si="5"/>
        <v>58500</v>
      </c>
      <c r="N33" s="239">
        <f>SUM($M$4:M33)</f>
        <v>471528</v>
      </c>
      <c r="O33">
        <f>ROUNDUP(MIN(50,ROUNDUP(A33/3,0),Level!M33)*Plants!Q$4*0.005,0)</f>
        <v>1</v>
      </c>
      <c r="P33">
        <f>ROUNDUP(MAX(4,MIN(A33,VLOOKUP(A33,Level!$A$4:$M$203,13))*MIN(4,ROUNDUP(VLOOKUP(A33,Background!$C$3:$D$52,2)/5,0)))*VLOOKUP(A33,Plants!$C$4:$AJ$53,30)*0.025,0)</f>
        <v>39</v>
      </c>
      <c r="Q33">
        <f t="shared" si="6"/>
        <v>20.5</v>
      </c>
      <c r="R33">
        <f>ROUND(MIN(50,ROUNDUP(A33/3,0),Level!M33)*Plants!R$4,0)</f>
        <v>50</v>
      </c>
      <c r="S33" s="153">
        <f>ROUNDUP(MAX(4,MIN(A33,VLOOKUP(A33,Level!$A$4:$M$203,13))*MIN(4,ROUNDUP(VLOOKUP(A33,Background!$C$3:$D$52,2)/5,0)))*VLOOKUP(A33,Plants!$C$4:$AJ$53,31)*1.25,0)</f>
        <v>42000</v>
      </c>
      <c r="T33" s="153">
        <f t="shared" si="7"/>
        <v>21025</v>
      </c>
      <c r="U33">
        <f>SUM($K$4:K33)</f>
        <v>1420029</v>
      </c>
      <c r="V33">
        <f>VLOOKUP(A33,Garden!$B$4:$P$19,15)</f>
        <v>220400</v>
      </c>
      <c r="W33">
        <f>VLOOKUP(A33,Plots!$B$4:$U$39,20)</f>
        <v>441200</v>
      </c>
      <c r="X33">
        <f>VLOOKUP(A33,'Decoration Background'!$A$2:$H$200,8)</f>
        <v>764184</v>
      </c>
      <c r="Y33">
        <f t="shared" si="0"/>
        <v>-5755</v>
      </c>
      <c r="Z33" s="158">
        <f t="shared" si="1"/>
        <v>1.0040527341343028</v>
      </c>
      <c r="AA33">
        <f t="shared" si="2"/>
        <v>-166523</v>
      </c>
      <c r="AB33" s="170">
        <f>MAX(0,(-Y33)/VLOOKUP($A33,Payment!$A$39:$G$239,7)*100)</f>
        <v>0.89921875000000007</v>
      </c>
      <c r="AC33" s="138">
        <f t="shared" si="8"/>
        <v>26.858548387096775</v>
      </c>
      <c r="AD33">
        <f t="shared" si="3"/>
        <v>1395</v>
      </c>
      <c r="AE33">
        <f t="shared" si="9"/>
        <v>0.2</v>
      </c>
      <c r="AF33" s="79">
        <f t="shared" si="10"/>
        <v>5.0999999999999996</v>
      </c>
    </row>
    <row r="34" spans="1:32">
      <c r="A34" s="36">
        <v>31</v>
      </c>
      <c r="B34" s="69">
        <f>Level!B35-Level!B34</f>
        <v>6600</v>
      </c>
      <c r="C34" s="73">
        <f>Level!M34*VLOOKUP(A34,Plants!$C$4:$AH$47,32)*24+(27/Level!T34)</f>
        <v>1314.6825768667643</v>
      </c>
      <c r="D34" s="62">
        <f t="shared" si="11"/>
        <v>5.0202232205203039</v>
      </c>
      <c r="E34" s="65">
        <f>SUM(D$4:D33)</f>
        <v>49.38038849066821</v>
      </c>
      <c r="F34" s="205">
        <f>Level!M34*VLOOKUP(A34,Plants!$C$4:$AI$47,33)*24*1.15+IF(VLOOKUP(A34,Goals!$AO$4:$AO$120,1)=A34,VLOOKUP(A34,Goals!$AO$4:$AQ$120,3)/D34,0)+VLOOKUP(A34,Level!$A$4:$C$203,3)/D34</f>
        <v>36707.79795021961</v>
      </c>
      <c r="G34" s="71">
        <f>Level!M34*VLOOKUP(A34,Plants!$C$4:$X$47,21)*24</f>
        <v>22080</v>
      </c>
      <c r="H34" s="63">
        <f t="shared" si="12"/>
        <v>0.29891304347826086</v>
      </c>
      <c r="I34" s="64">
        <f>SUM(H$4:H33)</f>
        <v>2.9718589656555734</v>
      </c>
      <c r="J34" s="35">
        <f>Level!M34*VLOOKUP(A34,Plants!$C$4:$X$47,22)*24</f>
        <v>198720</v>
      </c>
      <c r="K34" s="239">
        <f t="shared" si="4"/>
        <v>184281</v>
      </c>
      <c r="L34" s="239">
        <f>SUM($K$4:K34)</f>
        <v>1604310</v>
      </c>
      <c r="M34" s="239">
        <f t="shared" si="5"/>
        <v>59400</v>
      </c>
      <c r="N34" s="239">
        <f>SUM($M$4:M34)</f>
        <v>530928</v>
      </c>
      <c r="O34">
        <f>ROUNDUP(MIN(50,ROUNDUP(A34/3,0),Level!M34)*Plants!Q$4*0.005,0)</f>
        <v>1</v>
      </c>
      <c r="P34">
        <f>ROUNDUP(MAX(4,MIN(A34,VLOOKUP(A34,Level!$A$4:$M$203,13))*MIN(4,ROUNDUP(VLOOKUP(A34,Background!$C$3:$D$52,2)/5,0)))*VLOOKUP(A34,Plants!$C$4:$AJ$53,30)*0.025,0)</f>
        <v>41</v>
      </c>
      <c r="Q34">
        <f t="shared" si="6"/>
        <v>21.5</v>
      </c>
      <c r="R34">
        <f>ROUND(MIN(50,ROUNDUP(A34/3,0),Level!M34)*Plants!R$4,0)</f>
        <v>55</v>
      </c>
      <c r="S34" s="153">
        <f>ROUNDUP(MAX(4,MIN(A34,VLOOKUP(A34,Level!$A$4:$M$203,13))*MIN(4,ROUNDUP(VLOOKUP(A34,Background!$C$3:$D$52,2)/5,0)))*VLOOKUP(A34,Plants!$C$4:$AJ$53,31)*1.25,0)</f>
        <v>43400</v>
      </c>
      <c r="T34" s="153">
        <f t="shared" si="7"/>
        <v>21727.5</v>
      </c>
      <c r="U34">
        <f>SUM($K$4:K34)</f>
        <v>1604310</v>
      </c>
      <c r="V34">
        <f>VLOOKUP(A34,Garden!$B$4:$P$19,15)</f>
        <v>570400</v>
      </c>
      <c r="W34">
        <f>VLOOKUP(A34,Plots!$B$4:$U$39,20)</f>
        <v>441200</v>
      </c>
      <c r="X34">
        <f>VLOOKUP(A34,'Decoration Background'!$A$2:$H$200,8)</f>
        <v>851703</v>
      </c>
      <c r="Y34">
        <f t="shared" si="0"/>
        <v>-258993</v>
      </c>
      <c r="Z34" s="158">
        <f t="shared" si="1"/>
        <v>1.1614357574284271</v>
      </c>
      <c r="AA34">
        <f t="shared" si="2"/>
        <v>-258993</v>
      </c>
      <c r="AB34" s="170">
        <f>MAX(0,(-Y34)/VLOOKUP($A34,Payment!$A$39:$G$239,7)*100)</f>
        <v>40.467656249999997</v>
      </c>
      <c r="AC34" s="138">
        <f t="shared" si="8"/>
        <v>40.467656249999997</v>
      </c>
      <c r="AD34">
        <f t="shared" si="3"/>
        <v>1488</v>
      </c>
      <c r="AE34">
        <f t="shared" si="9"/>
        <v>7.1</v>
      </c>
      <c r="AF34" s="79">
        <f t="shared" si="10"/>
        <v>7.1</v>
      </c>
    </row>
    <row r="35" spans="1:32">
      <c r="A35" s="36">
        <v>32</v>
      </c>
      <c r="B35" s="69">
        <f>Level!B36-Level!B35</f>
        <v>6700</v>
      </c>
      <c r="C35" s="73">
        <f>Level!M35*VLOOKUP(A35,Plants!$C$4:$AH$47,32)*24+(27/Level!T35)</f>
        <v>1314.6825768667643</v>
      </c>
      <c r="D35" s="62">
        <f t="shared" si="11"/>
        <v>5.096287208710006</v>
      </c>
      <c r="E35" s="65">
        <f>SUM(D$4:D34)</f>
        <v>54.400611711188517</v>
      </c>
      <c r="F35" s="205">
        <f>Level!M35*VLOOKUP(A35,Plants!$C$4:$AI$47,33)*24*1.15+IF(VLOOKUP(A35,Goals!$AO$4:$AO$120,1)=A35,VLOOKUP(A35,Goals!$AO$4:$AQ$120,3)/D35,0)+VLOOKUP(A35,Level!$A$4:$C$203,3)/D35</f>
        <v>36707.79795021961</v>
      </c>
      <c r="G35" s="71">
        <f>Level!M35*VLOOKUP(A35,Plants!$C$4:$X$47,21)*24</f>
        <v>22080</v>
      </c>
      <c r="H35" s="63">
        <f t="shared" si="12"/>
        <v>0.30344202898550726</v>
      </c>
      <c r="I35" s="64">
        <f>SUM(H$4:H34)</f>
        <v>3.2707720091338341</v>
      </c>
      <c r="J35" s="35">
        <f>Level!M35*VLOOKUP(A35,Plants!$C$4:$X$47,22)*24</f>
        <v>198720</v>
      </c>
      <c r="K35" s="239">
        <f t="shared" si="4"/>
        <v>187073</v>
      </c>
      <c r="L35" s="239">
        <f>SUM($K$4:K35)</f>
        <v>1791383</v>
      </c>
      <c r="M35" s="239">
        <f t="shared" si="5"/>
        <v>60300</v>
      </c>
      <c r="N35" s="239">
        <f>SUM($M$4:M35)</f>
        <v>591228</v>
      </c>
      <c r="O35">
        <f>ROUNDUP(MIN(50,ROUNDUP(A35/3,0),Level!M35)*Plants!Q$4*0.005,0)</f>
        <v>1</v>
      </c>
      <c r="P35">
        <f>ROUNDUP(MAX(4,MIN(A35,VLOOKUP(A35,Level!$A$4:$M$203,13))*MIN(4,ROUNDUP(VLOOKUP(A35,Background!$C$3:$D$52,2)/5,0)))*VLOOKUP(A35,Plants!$C$4:$AJ$53,30)*0.025,0)</f>
        <v>42</v>
      </c>
      <c r="Q35">
        <f t="shared" si="6"/>
        <v>22</v>
      </c>
      <c r="R35">
        <f>ROUND(MIN(50,ROUNDUP(A35/3,0),Level!M35)*Plants!R$4,0)</f>
        <v>55</v>
      </c>
      <c r="S35" s="153">
        <f>ROUNDUP(MAX(4,MIN(A35,VLOOKUP(A35,Level!$A$4:$M$203,13))*MIN(4,ROUNDUP(VLOOKUP(A35,Background!$C$3:$D$52,2)/5,0)))*VLOOKUP(A35,Plants!$C$4:$AJ$53,31)*1.25,0)</f>
        <v>44800</v>
      </c>
      <c r="T35" s="153">
        <f t="shared" si="7"/>
        <v>22427.5</v>
      </c>
      <c r="U35">
        <f>SUM($K$4:K35)</f>
        <v>1791383</v>
      </c>
      <c r="V35">
        <f>VLOOKUP(A35,Garden!$B$4:$P$19,15)</f>
        <v>570400</v>
      </c>
      <c r="W35">
        <f>VLOOKUP(A35,Plots!$B$4:$U$39,20)</f>
        <v>441200</v>
      </c>
      <c r="X35">
        <f>VLOOKUP(A35,'Decoration Background'!$A$2:$H$200,8)</f>
        <v>944772</v>
      </c>
      <c r="Y35">
        <f t="shared" si="0"/>
        <v>-164989</v>
      </c>
      <c r="Z35" s="158">
        <f t="shared" si="1"/>
        <v>1.0921014657390407</v>
      </c>
      <c r="AA35">
        <f t="shared" si="2"/>
        <v>-258993</v>
      </c>
      <c r="AB35" s="170">
        <f>MAX(0,(-Y35)/VLOOKUP($A35,Payment!$A$39:$G$239,7)*100)</f>
        <v>24.998333333333335</v>
      </c>
      <c r="AC35" s="138">
        <f t="shared" si="8"/>
        <v>40.467656249999997</v>
      </c>
      <c r="AD35">
        <f t="shared" si="3"/>
        <v>1584</v>
      </c>
      <c r="AE35">
        <f t="shared" si="9"/>
        <v>4.5</v>
      </c>
      <c r="AF35" s="79">
        <f t="shared" si="10"/>
        <v>7.1</v>
      </c>
    </row>
    <row r="36" spans="1:32">
      <c r="A36" s="36">
        <v>33</v>
      </c>
      <c r="B36" s="69">
        <f>Level!B37-Level!B36</f>
        <v>7200</v>
      </c>
      <c r="C36" s="73">
        <f>Level!M36*VLOOKUP(A36,Plants!$C$4:$AH$47,32)*24+(27/Level!T36)</f>
        <v>1439.4659340659341</v>
      </c>
      <c r="D36" s="62">
        <f t="shared" si="11"/>
        <v>5.0018550836161761</v>
      </c>
      <c r="E36" s="65">
        <f>SUM(D$4:D35)</f>
        <v>59.496898919898527</v>
      </c>
      <c r="F36" s="205">
        <f>Level!M36*VLOOKUP(A36,Plants!$C$4:$AI$47,33)*24*1.15+IF(VLOOKUP(A36,Goals!$AO$4:$AO$120,1)=A36,VLOOKUP(A36,Goals!$AO$4:$AQ$120,3)/D36,0)+VLOOKUP(A36,Level!$A$4:$C$203,3)/D36</f>
        <v>40276.854395604394</v>
      </c>
      <c r="G36" s="71">
        <f>Level!M36*VLOOKUP(A36,Plants!$C$4:$X$47,21)*24</f>
        <v>24000</v>
      </c>
      <c r="H36" s="63">
        <f t="shared" si="12"/>
        <v>0.3</v>
      </c>
      <c r="I36" s="64">
        <f>SUM(H$4:H35)</f>
        <v>3.5742140381193415</v>
      </c>
      <c r="J36" s="35">
        <f>Level!M36*VLOOKUP(A36,Plants!$C$4:$X$47,22)*24</f>
        <v>216000</v>
      </c>
      <c r="K36" s="239">
        <f t="shared" si="4"/>
        <v>201459</v>
      </c>
      <c r="L36" s="239">
        <f>SUM($K$4:K36)</f>
        <v>1992842</v>
      </c>
      <c r="M36" s="239">
        <f t="shared" si="5"/>
        <v>64800</v>
      </c>
      <c r="N36" s="239">
        <f>SUM($M$4:M36)</f>
        <v>656028</v>
      </c>
      <c r="O36">
        <f>ROUNDUP(MIN(50,ROUNDUP(A36/3,0),Level!M36)*Plants!Q$4*0.005,0)</f>
        <v>1</v>
      </c>
      <c r="P36">
        <f>ROUNDUP(MAX(4,MIN(A36,VLOOKUP(A36,Level!$A$4:$M$203,13))*MIN(4,ROUNDUP(VLOOKUP(A36,Background!$C$3:$D$52,2)/5,0)))*VLOOKUP(A36,Plants!$C$4:$AJ$53,30)*0.025,0)</f>
        <v>43</v>
      </c>
      <c r="Q36">
        <f t="shared" si="6"/>
        <v>22.5</v>
      </c>
      <c r="R36">
        <f>ROUND(MIN(50,ROUNDUP(A36/3,0),Level!M36)*Plants!R$4,0)</f>
        <v>55</v>
      </c>
      <c r="S36" s="153">
        <f>ROUNDUP(MAX(4,MIN(A36,VLOOKUP(A36,Level!$A$4:$M$203,13))*MIN(4,ROUNDUP(VLOOKUP(A36,Background!$C$3:$D$52,2)/5,0)))*VLOOKUP(A36,Plants!$C$4:$AJ$53,31)*1.25,0)</f>
        <v>46200</v>
      </c>
      <c r="T36" s="153">
        <f t="shared" si="7"/>
        <v>23127.5</v>
      </c>
      <c r="U36">
        <f>SUM($K$4:K36)</f>
        <v>1992842</v>
      </c>
      <c r="V36">
        <f>VLOOKUP(A36,Garden!$B$4:$P$19,15)</f>
        <v>570400</v>
      </c>
      <c r="W36">
        <f>VLOOKUP(A36,Plots!$B$4:$U$39,20)</f>
        <v>711200</v>
      </c>
      <c r="X36">
        <f>VLOOKUP(A36,'Decoration Background'!$A$2:$H$200,8)</f>
        <v>1043391</v>
      </c>
      <c r="Y36">
        <f t="shared" ref="Y36:Y67" si="13">U36-SUM(V36:X36)</f>
        <v>-332149</v>
      </c>
      <c r="Z36" s="158">
        <f t="shared" ref="Z36:Z67" si="14">SUM(V36:X36)/U36</f>
        <v>1.166671015564706</v>
      </c>
      <c r="AA36">
        <f t="shared" ref="AA36:AA67" si="15">MIN(0,IF(Y36&lt;AA35,Y36,AA35))</f>
        <v>-332149</v>
      </c>
      <c r="AB36" s="170">
        <f>MAX(0,(-Y36)/VLOOKUP($A36,Payment!$A$39:$G$239,7)*100)</f>
        <v>50.325606060606063</v>
      </c>
      <c r="AC36" s="138">
        <f t="shared" si="8"/>
        <v>50.325606060606063</v>
      </c>
      <c r="AD36">
        <f t="shared" ref="AD36:AD67" si="16">A36*(A36+1)*3/2</f>
        <v>1683</v>
      </c>
      <c r="AE36">
        <f t="shared" si="9"/>
        <v>8.1999999999999993</v>
      </c>
      <c r="AF36" s="79">
        <f t="shared" si="10"/>
        <v>8.1999999999999993</v>
      </c>
    </row>
    <row r="37" spans="1:32">
      <c r="A37" s="36">
        <v>34</v>
      </c>
      <c r="B37" s="69">
        <f>Level!B38-Level!B37</f>
        <v>7300</v>
      </c>
      <c r="C37" s="73">
        <f>Level!M37*VLOOKUP(A37,Plants!$C$4:$AH$47,32)*24+(27/Level!T37)</f>
        <v>1439.4659340659341</v>
      </c>
      <c r="D37" s="62">
        <f t="shared" si="11"/>
        <v>5.0713252931108457</v>
      </c>
      <c r="E37" s="65">
        <f>SUM(D$4:D36)</f>
        <v>64.498754003514705</v>
      </c>
      <c r="F37" s="205">
        <f>Level!M37*VLOOKUP(A37,Plants!$C$4:$AI$47,33)*24*1.15+IF(VLOOKUP(A37,Goals!$AO$4:$AO$120,1)=A37,VLOOKUP(A37,Goals!$AO$4:$AQ$120,3)/D37,0)+VLOOKUP(A37,Level!$A$4:$C$203,3)/D37</f>
        <v>40276.854395604394</v>
      </c>
      <c r="G37" s="71">
        <f>Level!M37*VLOOKUP(A37,Plants!$C$4:$X$47,21)*24</f>
        <v>24000</v>
      </c>
      <c r="H37" s="63">
        <f t="shared" si="12"/>
        <v>0.30416666666666664</v>
      </c>
      <c r="I37" s="64">
        <f>SUM(H$4:H36)</f>
        <v>3.8742140381193413</v>
      </c>
      <c r="J37" s="35">
        <f>Level!M37*VLOOKUP(A37,Plants!$C$4:$X$47,22)*24</f>
        <v>216000</v>
      </c>
      <c r="K37" s="239">
        <f t="shared" si="4"/>
        <v>204257</v>
      </c>
      <c r="L37" s="239">
        <f>SUM($K$4:K37)</f>
        <v>2197099</v>
      </c>
      <c r="M37" s="239">
        <f t="shared" si="5"/>
        <v>65700</v>
      </c>
      <c r="N37" s="239">
        <f>SUM($M$4:M37)</f>
        <v>721728</v>
      </c>
      <c r="O37">
        <f>ROUNDUP(MIN(50,ROUNDUP(A37/3,0),Level!M37)*Plants!Q$4*0.005,0)</f>
        <v>1</v>
      </c>
      <c r="P37">
        <f>ROUNDUP(MAX(4,MIN(A37,VLOOKUP(A37,Level!$A$4:$M$203,13))*MIN(4,ROUNDUP(VLOOKUP(A37,Background!$C$3:$D$52,2)/5,0)))*VLOOKUP(A37,Plants!$C$4:$AJ$53,30)*0.025,0)</f>
        <v>45</v>
      </c>
      <c r="Q37">
        <f t="shared" si="6"/>
        <v>23.5</v>
      </c>
      <c r="R37">
        <f>ROUND(MIN(50,ROUNDUP(A37/3,0),Level!M37)*Plants!R$4,0)</f>
        <v>60</v>
      </c>
      <c r="S37" s="153">
        <f>ROUNDUP(MAX(4,MIN(A37,VLOOKUP(A37,Level!$A$4:$M$203,13))*MIN(4,ROUNDUP(VLOOKUP(A37,Background!$C$3:$D$52,2)/5,0)))*VLOOKUP(A37,Plants!$C$4:$AJ$53,31)*1.25,0)</f>
        <v>47600</v>
      </c>
      <c r="T37" s="153">
        <f t="shared" si="7"/>
        <v>23830</v>
      </c>
      <c r="U37">
        <f>SUM($K$4:K37)</f>
        <v>2197099</v>
      </c>
      <c r="V37">
        <f>VLOOKUP(A37,Garden!$B$4:$P$19,15)</f>
        <v>570400</v>
      </c>
      <c r="W37">
        <f>VLOOKUP(A37,Plots!$B$4:$U$39,20)</f>
        <v>711200</v>
      </c>
      <c r="X37">
        <f>VLOOKUP(A37,'Decoration Background'!$A$2:$H$200,8)</f>
        <v>1147560</v>
      </c>
      <c r="Y37">
        <f t="shared" si="13"/>
        <v>-232061</v>
      </c>
      <c r="Z37" s="158">
        <f t="shared" si="14"/>
        <v>1.1056215491427559</v>
      </c>
      <c r="AA37">
        <f t="shared" si="15"/>
        <v>-332149</v>
      </c>
      <c r="AB37" s="170">
        <f>MAX(0,(-Y37)/VLOOKUP($A37,Payment!$A$39:$G$239,7)*100)</f>
        <v>35.160757575757572</v>
      </c>
      <c r="AC37" s="138">
        <f t="shared" si="8"/>
        <v>50.325606060606063</v>
      </c>
      <c r="AD37">
        <f t="shared" si="16"/>
        <v>1785</v>
      </c>
      <c r="AE37">
        <f t="shared" si="9"/>
        <v>5.8</v>
      </c>
      <c r="AF37" s="79">
        <f t="shared" si="10"/>
        <v>8.1999999999999993</v>
      </c>
    </row>
    <row r="38" spans="1:32">
      <c r="A38" s="36">
        <v>35</v>
      </c>
      <c r="B38" s="69">
        <f>Level!B39-Level!B38</f>
        <v>7400</v>
      </c>
      <c r="C38" s="73">
        <f>Level!M38*VLOOKUP(A38,Plants!$C$4:$AH$47,32)*24+(27/Level!T38)</f>
        <v>1449.1257438551102</v>
      </c>
      <c r="D38" s="62">
        <f t="shared" si="11"/>
        <v>5.1065271812187776</v>
      </c>
      <c r="E38" s="65">
        <f>SUM(D$4:D37)</f>
        <v>69.570079296625551</v>
      </c>
      <c r="F38" s="205">
        <f>Level!M38*VLOOKUP(A38,Plants!$C$4:$AI$47,33)*24*1.15+IF(VLOOKUP(A38,Goals!$AO$4:$AO$120,1)=A38,VLOOKUP(A38,Goals!$AO$4:$AQ$120,3)/D38,0)+VLOOKUP(A38,Level!$A$4:$C$203,3)/D38</f>
        <v>40610.025873221217</v>
      </c>
      <c r="G38" s="71">
        <f>Level!M38*VLOOKUP(A38,Plants!$C$4:$X$47,21)*24</f>
        <v>24000</v>
      </c>
      <c r="H38" s="63">
        <f t="shared" si="12"/>
        <v>0.30833333333333335</v>
      </c>
      <c r="I38" s="64">
        <f>SUM(H$4:H37)</f>
        <v>4.178380704786008</v>
      </c>
      <c r="J38" s="35">
        <f>Level!M38*VLOOKUP(A38,Plants!$C$4:$X$47,22)*24</f>
        <v>216000</v>
      </c>
      <c r="K38" s="239">
        <f t="shared" si="4"/>
        <v>207376</v>
      </c>
      <c r="L38" s="239">
        <f>SUM($K$4:K38)</f>
        <v>2404475</v>
      </c>
      <c r="M38" s="239">
        <f t="shared" si="5"/>
        <v>66600</v>
      </c>
      <c r="N38" s="239">
        <f>SUM($M$4:M38)</f>
        <v>788328</v>
      </c>
      <c r="O38">
        <f>ROUNDUP(MIN(50,ROUNDUP(A38/3,0),Level!M38)*Plants!Q$4*0.005,0)</f>
        <v>1</v>
      </c>
      <c r="P38">
        <f>ROUNDUP(MAX(4,MIN(A38,VLOOKUP(A38,Level!$A$4:$M$203,13))*MIN(4,ROUNDUP(VLOOKUP(A38,Background!$C$3:$D$52,2)/5,0)))*VLOOKUP(A38,Plants!$C$4:$AJ$53,30)*0.025,0)</f>
        <v>46</v>
      </c>
      <c r="Q38">
        <f t="shared" si="6"/>
        <v>24</v>
      </c>
      <c r="R38">
        <f>ROUND(MIN(50,ROUNDUP(A38/3,0),Level!M38)*Plants!R$4,0)</f>
        <v>60</v>
      </c>
      <c r="S38" s="153">
        <f>ROUNDUP(MAX(4,MIN(A38,VLOOKUP(A38,Level!$A$4:$M$203,13))*MIN(4,ROUNDUP(VLOOKUP(A38,Background!$C$3:$D$52,2)/5,0)))*VLOOKUP(A38,Plants!$C$4:$AJ$53,31)*1.25,0)</f>
        <v>49000</v>
      </c>
      <c r="T38" s="153">
        <f t="shared" si="7"/>
        <v>24530</v>
      </c>
      <c r="U38">
        <f>SUM($K$4:K38)</f>
        <v>2404475</v>
      </c>
      <c r="V38">
        <f>VLOOKUP(A38,Garden!$B$4:$P$19,15)</f>
        <v>570400</v>
      </c>
      <c r="W38">
        <f>VLOOKUP(A38,Plots!$B$4:$U$39,20)</f>
        <v>711200</v>
      </c>
      <c r="X38">
        <f>VLOOKUP(A38,'Decoration Background'!$A$2:$H$200,8)</f>
        <v>1257279</v>
      </c>
      <c r="Y38">
        <f t="shared" si="13"/>
        <v>-134404</v>
      </c>
      <c r="Z38" s="158">
        <f t="shared" si="14"/>
        <v>1.0558974412293745</v>
      </c>
      <c r="AA38">
        <f t="shared" si="15"/>
        <v>-332149</v>
      </c>
      <c r="AB38" s="170">
        <f>MAX(0,(-Y38)/VLOOKUP($A38,Payment!$A$39:$G$239,7)*100)</f>
        <v>20.364242424242423</v>
      </c>
      <c r="AC38" s="138">
        <f t="shared" si="8"/>
        <v>50.325606060606063</v>
      </c>
      <c r="AD38">
        <f t="shared" si="16"/>
        <v>1890</v>
      </c>
      <c r="AE38">
        <f t="shared" si="9"/>
        <v>3.3</v>
      </c>
      <c r="AF38" s="79">
        <f t="shared" si="10"/>
        <v>8.1999999999999993</v>
      </c>
    </row>
    <row r="39" spans="1:32">
      <c r="A39" s="36">
        <v>36</v>
      </c>
      <c r="B39" s="69">
        <f>Level!B40-Level!B39</f>
        <v>7900</v>
      </c>
      <c r="C39" s="73">
        <f>Level!M39*VLOOKUP(A39,Plants!$C$4:$AH$47,32)*24+(27/Level!T39)</f>
        <v>1564.6238033635191</v>
      </c>
      <c r="D39" s="62">
        <f t="shared" si="11"/>
        <v>5.0491370404931404</v>
      </c>
      <c r="E39" s="65">
        <f>SUM(D$4:D38)</f>
        <v>74.676606477844331</v>
      </c>
      <c r="F39" s="205">
        <f>Level!M39*VLOOKUP(A39,Plants!$C$4:$AI$47,33)*24*1.15+IF(VLOOKUP(A39,Goals!$AO$4:$AO$120,1)=A39,VLOOKUP(A39,Goals!$AO$4:$AQ$120,3)/D39,0)+VLOOKUP(A39,Level!$A$4:$C$203,3)/D39</f>
        <v>43858.827943078912</v>
      </c>
      <c r="G39" s="71">
        <f>Level!M39*VLOOKUP(A39,Plants!$C$4:$X$47,21)*24</f>
        <v>25920</v>
      </c>
      <c r="H39" s="63">
        <f t="shared" si="12"/>
        <v>0.30478395061728397</v>
      </c>
      <c r="I39" s="64">
        <f>SUM(H$4:H38)</f>
        <v>4.4867140381193416</v>
      </c>
      <c r="J39" s="35">
        <f>Level!M39*VLOOKUP(A39,Plants!$C$4:$X$47,22)*24</f>
        <v>233280</v>
      </c>
      <c r="K39" s="239">
        <f t="shared" si="4"/>
        <v>221449</v>
      </c>
      <c r="L39" s="239">
        <f>SUM($K$4:K39)</f>
        <v>2625924</v>
      </c>
      <c r="M39" s="239">
        <f t="shared" si="5"/>
        <v>71100</v>
      </c>
      <c r="N39" s="239">
        <f>SUM($M$4:M39)</f>
        <v>859428</v>
      </c>
      <c r="O39">
        <f>ROUNDUP(MIN(50,ROUNDUP(A39/3,0),Level!M39)*Plants!Q$4*0.005,0)</f>
        <v>1</v>
      </c>
      <c r="P39">
        <f>ROUNDUP(MAX(4,MIN(A39,VLOOKUP(A39,Level!$A$4:$M$203,13))*MIN(4,ROUNDUP(VLOOKUP(A39,Background!$C$3:$D$52,2)/5,0)))*VLOOKUP(A39,Plants!$C$4:$AJ$53,30)*0.025,0)</f>
        <v>47</v>
      </c>
      <c r="Q39">
        <f t="shared" si="6"/>
        <v>24.5</v>
      </c>
      <c r="R39">
        <f>ROUND(MIN(50,ROUNDUP(A39/3,0),Level!M39)*Plants!R$4,0)</f>
        <v>60</v>
      </c>
      <c r="S39" s="153">
        <f>ROUNDUP(MAX(4,MIN(A39,VLOOKUP(A39,Level!$A$4:$M$203,13))*MIN(4,ROUNDUP(VLOOKUP(A39,Background!$C$3:$D$52,2)/5,0)))*VLOOKUP(A39,Plants!$C$4:$AJ$53,31)*1.25,0)</f>
        <v>50400</v>
      </c>
      <c r="T39" s="153">
        <f t="shared" si="7"/>
        <v>25230</v>
      </c>
      <c r="U39">
        <f>SUM($K$4:K39)</f>
        <v>2625924</v>
      </c>
      <c r="V39">
        <f>VLOOKUP(A39,Garden!$B$4:$P$19,15)</f>
        <v>570400</v>
      </c>
      <c r="W39">
        <f>VLOOKUP(A39,Plots!$B$4:$U$39,20)</f>
        <v>1001200</v>
      </c>
      <c r="X39">
        <f>VLOOKUP(A39,'Decoration Background'!$A$2:$H$200,8)</f>
        <v>1372548</v>
      </c>
      <c r="Y39">
        <f t="shared" si="13"/>
        <v>-318224</v>
      </c>
      <c r="Z39" s="158">
        <f t="shared" si="14"/>
        <v>1.1211855331685152</v>
      </c>
      <c r="AA39">
        <f t="shared" si="15"/>
        <v>-332149</v>
      </c>
      <c r="AB39" s="170">
        <f>MAX(0,(-Y39)/VLOOKUP($A39,Payment!$A$39:$G$239,7)*100)</f>
        <v>46.797647058823529</v>
      </c>
      <c r="AC39" s="138">
        <f t="shared" si="8"/>
        <v>50.325606060606063</v>
      </c>
      <c r="AD39">
        <f t="shared" si="16"/>
        <v>1998</v>
      </c>
      <c r="AE39">
        <f t="shared" si="9"/>
        <v>7.3</v>
      </c>
      <c r="AF39" s="79">
        <f t="shared" si="10"/>
        <v>8.1999999999999993</v>
      </c>
    </row>
    <row r="40" spans="1:32">
      <c r="A40" s="36">
        <v>37</v>
      </c>
      <c r="B40" s="69">
        <f>Level!B41-Level!B40</f>
        <v>8000</v>
      </c>
      <c r="C40" s="73">
        <f>Level!M40*VLOOKUP(A40,Plants!$C$4:$AH$47,32)*24+(27/Level!T40)</f>
        <v>1573.9085574572127</v>
      </c>
      <c r="D40" s="62">
        <f t="shared" si="11"/>
        <v>5.0828874155971944</v>
      </c>
      <c r="E40" s="65">
        <f>SUM(D$4:D39)</f>
        <v>79.725743518337467</v>
      </c>
      <c r="F40" s="205">
        <f>Level!M40*VLOOKUP(A40,Plants!$C$4:$AI$47,33)*24*1.15+IF(VLOOKUP(A40,Goals!$AO$4:$AO$120,1)=A40,VLOOKUP(A40,Goals!$AO$4:$AQ$120,3)/D40,0)+VLOOKUP(A40,Level!$A$4:$C$203,3)/D40</f>
        <v>44247.388753056235</v>
      </c>
      <c r="G40" s="71">
        <f>Level!M40*VLOOKUP(A40,Plants!$C$4:$X$47,21)*24</f>
        <v>25920</v>
      </c>
      <c r="H40" s="63">
        <f t="shared" si="12"/>
        <v>0.30864197530864196</v>
      </c>
      <c r="I40" s="64">
        <f>SUM(H$4:H39)</f>
        <v>4.7914979887366256</v>
      </c>
      <c r="J40" s="35">
        <f>Level!M40*VLOOKUP(A40,Plants!$C$4:$X$47,22)*24</f>
        <v>233280</v>
      </c>
      <c r="K40" s="239">
        <f t="shared" si="4"/>
        <v>224904</v>
      </c>
      <c r="L40" s="239">
        <f>SUM($K$4:K40)</f>
        <v>2850828</v>
      </c>
      <c r="M40" s="239">
        <f t="shared" si="5"/>
        <v>72000</v>
      </c>
      <c r="N40" s="239">
        <f>SUM($M$4:M40)</f>
        <v>931428</v>
      </c>
      <c r="O40">
        <f>ROUNDUP(MIN(50,ROUNDUP(A40/3,0),Level!M40)*Plants!Q$4*0.005,0)</f>
        <v>1</v>
      </c>
      <c r="P40">
        <f>ROUNDUP(MAX(4,MIN(A40,VLOOKUP(A40,Level!$A$4:$M$203,13))*MIN(4,ROUNDUP(VLOOKUP(A40,Background!$C$3:$D$52,2)/5,0)))*VLOOKUP(A40,Plants!$C$4:$AJ$53,30)*0.025,0)</f>
        <v>49</v>
      </c>
      <c r="Q40">
        <f t="shared" si="6"/>
        <v>25.5</v>
      </c>
      <c r="R40">
        <f>ROUND(MIN(50,ROUNDUP(A40/3,0),Level!M40)*Plants!R$4,0)</f>
        <v>65</v>
      </c>
      <c r="S40" s="153">
        <f>ROUNDUP(MAX(4,MIN(A40,VLOOKUP(A40,Level!$A$4:$M$203,13))*MIN(4,ROUNDUP(VLOOKUP(A40,Background!$C$3:$D$52,2)/5,0)))*VLOOKUP(A40,Plants!$C$4:$AJ$53,31)*1.25,0)</f>
        <v>51800</v>
      </c>
      <c r="T40" s="153">
        <f t="shared" si="7"/>
        <v>25932.5</v>
      </c>
      <c r="U40">
        <f>SUM($K$4:K40)</f>
        <v>2850828</v>
      </c>
      <c r="V40">
        <f>VLOOKUP(A40,Garden!$B$4:$P$19,15)</f>
        <v>570400</v>
      </c>
      <c r="W40">
        <f>VLOOKUP(A40,Plots!$B$4:$U$39,20)</f>
        <v>1001200</v>
      </c>
      <c r="X40">
        <f>VLOOKUP(A40,'Decoration Background'!$A$2:$H$200,8)</f>
        <v>1493367</v>
      </c>
      <c r="Y40">
        <f t="shared" si="13"/>
        <v>-214139</v>
      </c>
      <c r="Z40" s="158">
        <f t="shared" si="14"/>
        <v>1.0751146684401864</v>
      </c>
      <c r="AA40">
        <f t="shared" si="15"/>
        <v>-332149</v>
      </c>
      <c r="AB40" s="170">
        <f>MAX(0,(-Y40)/VLOOKUP($A40,Payment!$A$39:$G$239,7)*100)</f>
        <v>31.491029411764703</v>
      </c>
      <c r="AC40" s="138">
        <f t="shared" si="8"/>
        <v>50.325606060606063</v>
      </c>
      <c r="AD40">
        <f t="shared" si="16"/>
        <v>2109</v>
      </c>
      <c r="AE40">
        <f t="shared" si="9"/>
        <v>4.8</v>
      </c>
      <c r="AF40" s="79">
        <f t="shared" si="10"/>
        <v>8.1999999999999993</v>
      </c>
    </row>
    <row r="41" spans="1:32">
      <c r="A41" s="36">
        <v>38</v>
      </c>
      <c r="B41" s="69">
        <f>Level!B42-Level!B41</f>
        <v>8500</v>
      </c>
      <c r="C41" s="73">
        <f>Level!M41*VLOOKUP(A41,Plants!$C$4:$AH$47,32)*24+(27/Level!T41)</f>
        <v>1573.9085574572127</v>
      </c>
      <c r="D41" s="62">
        <f t="shared" si="11"/>
        <v>5.4005678790720184</v>
      </c>
      <c r="E41" s="65">
        <f>SUM(D$4:D40)</f>
        <v>84.808630933934666</v>
      </c>
      <c r="F41" s="205">
        <f>Level!M41*VLOOKUP(A41,Plants!$C$4:$AI$47,33)*24*1.15+IF(VLOOKUP(A41,Goals!$AO$4:$AO$120,1)=A41,VLOOKUP(A41,Goals!$AO$4:$AQ$120,3)/D41,0)+VLOOKUP(A41,Level!$A$4:$C$203,3)/D41</f>
        <v>44247.388753056235</v>
      </c>
      <c r="G41" s="71">
        <f>Level!M41*VLOOKUP(A41,Plants!$C$4:$X$47,21)*24</f>
        <v>25920</v>
      </c>
      <c r="H41" s="63">
        <f t="shared" si="12"/>
        <v>0.32793209876543211</v>
      </c>
      <c r="I41" s="64">
        <f>SUM(H$4:H40)</f>
        <v>5.1001399640452671</v>
      </c>
      <c r="J41" s="35">
        <f>Level!M41*VLOOKUP(A41,Plants!$C$4:$X$47,22)*24</f>
        <v>233280</v>
      </c>
      <c r="K41" s="239">
        <f t="shared" si="4"/>
        <v>238961</v>
      </c>
      <c r="L41" s="239">
        <f>SUM($K$4:K41)</f>
        <v>3089789</v>
      </c>
      <c r="M41" s="239">
        <f t="shared" si="5"/>
        <v>76500</v>
      </c>
      <c r="N41" s="239">
        <f>SUM($M$4:M41)</f>
        <v>1007928</v>
      </c>
      <c r="O41">
        <f>ROUNDUP(MIN(50,ROUNDUP(A41/3,0),Level!M41)*Plants!Q$4*0.005,0)</f>
        <v>1</v>
      </c>
      <c r="P41">
        <f>ROUNDUP(MAX(4,MIN(A41,VLOOKUP(A41,Level!$A$4:$M$203,13))*MIN(4,ROUNDUP(VLOOKUP(A41,Background!$C$3:$D$52,2)/5,0)))*VLOOKUP(A41,Plants!$C$4:$AJ$53,30)*0.025,0)</f>
        <v>50</v>
      </c>
      <c r="Q41">
        <f t="shared" si="6"/>
        <v>26</v>
      </c>
      <c r="R41">
        <f>ROUND(MIN(50,ROUNDUP(A41/3,0),Level!M41)*Plants!R$4,0)</f>
        <v>65</v>
      </c>
      <c r="S41" s="153">
        <f>ROUNDUP(MAX(4,MIN(A41,VLOOKUP(A41,Level!$A$4:$M$203,13))*MIN(4,ROUNDUP(VLOOKUP(A41,Background!$C$3:$D$52,2)/5,0)))*VLOOKUP(A41,Plants!$C$4:$AJ$53,31)*1.25,0)</f>
        <v>53200</v>
      </c>
      <c r="T41" s="153">
        <f t="shared" si="7"/>
        <v>26632.5</v>
      </c>
      <c r="U41">
        <f>SUM($K$4:K41)</f>
        <v>3089789</v>
      </c>
      <c r="V41">
        <f>VLOOKUP(A41,Garden!$B$4:$P$19,15)</f>
        <v>1090400</v>
      </c>
      <c r="W41">
        <f>VLOOKUP(A41,Plots!$B$4:$U$39,20)</f>
        <v>1001200</v>
      </c>
      <c r="X41">
        <f>VLOOKUP(A41,'Decoration Background'!$A$2:$H$200,8)</f>
        <v>1619736</v>
      </c>
      <c r="Y41">
        <f t="shared" si="13"/>
        <v>-621547</v>
      </c>
      <c r="Z41" s="158">
        <f t="shared" si="14"/>
        <v>1.2011616327199042</v>
      </c>
      <c r="AA41">
        <f t="shared" si="15"/>
        <v>-621547</v>
      </c>
      <c r="AB41" s="170">
        <f>MAX(0,(-Y41)/VLOOKUP($A41,Payment!$A$39:$G$239,7)*100)</f>
        <v>91.403970588235296</v>
      </c>
      <c r="AC41" s="138">
        <f t="shared" si="8"/>
        <v>91.403970588235296</v>
      </c>
      <c r="AD41">
        <f t="shared" si="16"/>
        <v>2223</v>
      </c>
      <c r="AE41">
        <f t="shared" si="9"/>
        <v>14</v>
      </c>
      <c r="AF41" s="79">
        <f t="shared" si="10"/>
        <v>14</v>
      </c>
    </row>
    <row r="42" spans="1:32">
      <c r="A42" s="36">
        <v>39</v>
      </c>
      <c r="B42" s="69">
        <f>Level!B43-Level!B42</f>
        <v>9000</v>
      </c>
      <c r="C42" s="73">
        <f>Level!M42*VLOOKUP(A42,Plants!$C$4:$AH$47,32)*24+(27/Level!T42)</f>
        <v>1582.225028968714</v>
      </c>
      <c r="D42" s="62">
        <f t="shared" si="11"/>
        <v>5.6881921567541838</v>
      </c>
      <c r="E42" s="65">
        <f>SUM(D$4:D41)</f>
        <v>90.20919881300668</v>
      </c>
      <c r="F42" s="205">
        <f>Level!M42*VLOOKUP(A42,Plants!$C$4:$AI$47,33)*24*1.15+IF(VLOOKUP(A42,Goals!$AO$4:$AO$120,1)=A42,VLOOKUP(A42,Goals!$AO$4:$AQ$120,3)/D42,0)+VLOOKUP(A42,Level!$A$4:$C$203,3)/D42</f>
        <v>44660.190034762454</v>
      </c>
      <c r="G42" s="71">
        <f>Level!M42*VLOOKUP(A42,Plants!$C$4:$X$47,21)*24</f>
        <v>25920</v>
      </c>
      <c r="H42" s="63">
        <f t="shared" si="12"/>
        <v>0.34722222222222221</v>
      </c>
      <c r="I42" s="64">
        <f>SUM(H$4:H41)</f>
        <v>5.4280720628106991</v>
      </c>
      <c r="J42" s="35">
        <f>Level!M42*VLOOKUP(A42,Plants!$C$4:$X$47,22)*24</f>
        <v>233280</v>
      </c>
      <c r="K42" s="239">
        <f t="shared" si="4"/>
        <v>254036</v>
      </c>
      <c r="L42" s="239">
        <f>SUM($K$4:K42)</f>
        <v>3343825</v>
      </c>
      <c r="M42" s="239">
        <f t="shared" si="5"/>
        <v>81000</v>
      </c>
      <c r="N42" s="239">
        <f>SUM($M$4:M42)</f>
        <v>1088928</v>
      </c>
      <c r="O42">
        <f>ROUNDUP(MIN(50,ROUNDUP(A42/3,0),Level!M42)*Plants!Q$4*0.005,0)</f>
        <v>1</v>
      </c>
      <c r="P42">
        <f>ROUNDUP(MAX(4,MIN(A42,VLOOKUP(A42,Level!$A$4:$M$203,13))*MIN(4,ROUNDUP(VLOOKUP(A42,Background!$C$3:$D$52,2)/5,0)))*VLOOKUP(A42,Plants!$C$4:$AJ$53,30)*0.025,0)</f>
        <v>51</v>
      </c>
      <c r="Q42">
        <f t="shared" si="6"/>
        <v>26.5</v>
      </c>
      <c r="R42">
        <f>ROUND(MIN(50,ROUNDUP(A42/3,0),Level!M42)*Plants!R$4,0)</f>
        <v>65</v>
      </c>
      <c r="S42" s="153">
        <f>ROUNDUP(MAX(4,MIN(A42,VLOOKUP(A42,Level!$A$4:$M$203,13))*MIN(4,ROUNDUP(VLOOKUP(A42,Background!$C$3:$D$52,2)/5,0)))*VLOOKUP(A42,Plants!$C$4:$AJ$53,31)*1.25,0)</f>
        <v>54600</v>
      </c>
      <c r="T42" s="153">
        <f t="shared" si="7"/>
        <v>27332.5</v>
      </c>
      <c r="U42">
        <f>SUM($K$4:K42)</f>
        <v>3343825</v>
      </c>
      <c r="V42">
        <f>VLOOKUP(A42,Garden!$B$4:$P$19,15)</f>
        <v>1090400</v>
      </c>
      <c r="W42">
        <f>VLOOKUP(A42,Plots!$B$4:$U$39,20)</f>
        <v>1001200</v>
      </c>
      <c r="X42">
        <f>VLOOKUP(A42,'Decoration Background'!$A$2:$H$200,8)</f>
        <v>1751805</v>
      </c>
      <c r="Y42">
        <f t="shared" si="13"/>
        <v>-499580</v>
      </c>
      <c r="Z42" s="158">
        <f t="shared" si="14"/>
        <v>1.1494037516915507</v>
      </c>
      <c r="AA42">
        <f t="shared" si="15"/>
        <v>-621547</v>
      </c>
      <c r="AB42" s="170">
        <f>MAX(0,(-Y42)/VLOOKUP($A42,Payment!$A$39:$G$239,7)*100)</f>
        <v>73.46764705882353</v>
      </c>
      <c r="AC42" s="138">
        <f t="shared" si="8"/>
        <v>91.403970588235296</v>
      </c>
      <c r="AD42">
        <f t="shared" si="16"/>
        <v>2340</v>
      </c>
      <c r="AE42">
        <f t="shared" si="9"/>
        <v>11.2</v>
      </c>
      <c r="AF42" s="79">
        <f t="shared" si="10"/>
        <v>14</v>
      </c>
    </row>
    <row r="43" spans="1:32">
      <c r="A43" s="36">
        <v>40</v>
      </c>
      <c r="B43" s="69">
        <f>Level!B44-Level!B43</f>
        <v>9500</v>
      </c>
      <c r="C43" s="73">
        <f>Level!M43*VLOOKUP(A43,Plants!$C$4:$AH$47,32)*24+(27/Level!T43)</f>
        <v>1699.0268829663964</v>
      </c>
      <c r="D43" s="62">
        <f t="shared" si="11"/>
        <v>5.5914359538641225</v>
      </c>
      <c r="E43" s="65">
        <f>SUM(D$4:D42)</f>
        <v>95.897390969760863</v>
      </c>
      <c r="F43" s="205">
        <f>Level!M43*VLOOKUP(A43,Plants!$C$4:$AI$47,33)*24*1.15+IF(VLOOKUP(A43,Goals!$AO$4:$AO$120,1)=A43,VLOOKUP(A43,Goals!$AO$4:$AQ$120,3)/D43,0)+VLOOKUP(A43,Level!$A$4:$C$203,3)/D43</f>
        <v>47968.352259559681</v>
      </c>
      <c r="G43" s="71">
        <f>Level!M43*VLOOKUP(A43,Plants!$C$4:$X$47,21)*24</f>
        <v>27840</v>
      </c>
      <c r="H43" s="63">
        <f t="shared" si="12"/>
        <v>0.34123563218390807</v>
      </c>
      <c r="I43" s="64">
        <f>SUM(H$4:H42)</f>
        <v>5.7752942850329214</v>
      </c>
      <c r="J43" s="35">
        <f>Level!M43*VLOOKUP(A43,Plants!$C$4:$X$47,22)*24</f>
        <v>250560</v>
      </c>
      <c r="K43" s="239">
        <f t="shared" si="4"/>
        <v>268212</v>
      </c>
      <c r="L43" s="239">
        <f>SUM($K$4:K43)</f>
        <v>3612037</v>
      </c>
      <c r="M43" s="239">
        <f t="shared" si="5"/>
        <v>85500</v>
      </c>
      <c r="N43" s="239">
        <f>SUM($M$4:M43)</f>
        <v>1174428</v>
      </c>
      <c r="O43">
        <f>ROUNDUP(MIN(50,ROUNDUP(A43/3,0),Level!M43)*Plants!Q$4*0.005,0)</f>
        <v>1</v>
      </c>
      <c r="P43">
        <f>ROUNDUP(MAX(4,MIN(A43,VLOOKUP(A43,Level!$A$4:$M$203,13))*MIN(4,ROUNDUP(VLOOKUP(A43,Background!$C$3:$D$52,2)/5,0)))*VLOOKUP(A43,Plants!$C$4:$AJ$53,30)*0.025,0)</f>
        <v>52</v>
      </c>
      <c r="Q43">
        <f t="shared" si="6"/>
        <v>27</v>
      </c>
      <c r="R43">
        <f>ROUND(MIN(50,ROUNDUP(A43/3,0),Level!M43)*Plants!R$4,0)</f>
        <v>70</v>
      </c>
      <c r="S43" s="153">
        <f>ROUNDUP(MAX(4,MIN(A43,VLOOKUP(A43,Level!$A$4:$M$203,13))*MIN(4,ROUNDUP(VLOOKUP(A43,Background!$C$3:$D$52,2)/5,0)))*VLOOKUP(A43,Plants!$C$4:$AJ$53,31)*1.25,0)</f>
        <v>56000</v>
      </c>
      <c r="T43" s="153">
        <f t="shared" si="7"/>
        <v>28035</v>
      </c>
      <c r="U43">
        <f>SUM($K$4:K43)</f>
        <v>3612037</v>
      </c>
      <c r="V43">
        <f>VLOOKUP(A43,Garden!$B$4:$P$19,15)</f>
        <v>1090400</v>
      </c>
      <c r="W43">
        <f>VLOOKUP(A43,Plots!$B$4:$U$39,20)</f>
        <v>1311200</v>
      </c>
      <c r="X43">
        <f>VLOOKUP(A43,'Decoration Background'!$A$2:$H$200,8)</f>
        <v>1889724</v>
      </c>
      <c r="Y43">
        <f t="shared" si="13"/>
        <v>-679287</v>
      </c>
      <c r="Z43" s="158">
        <f t="shared" si="14"/>
        <v>1.1880620270501105</v>
      </c>
      <c r="AA43">
        <f t="shared" si="15"/>
        <v>-679287</v>
      </c>
      <c r="AB43" s="170">
        <f>MAX(0,(-Y43)/VLOOKUP($A43,Payment!$A$39:$G$239,7)*100)</f>
        <v>97.040999999999997</v>
      </c>
      <c r="AC43" s="138">
        <f t="shared" si="8"/>
        <v>97.040999999999997</v>
      </c>
      <c r="AD43">
        <f t="shared" si="16"/>
        <v>2460</v>
      </c>
      <c r="AE43">
        <f t="shared" si="9"/>
        <v>14.2</v>
      </c>
      <c r="AF43" s="79">
        <f t="shared" si="10"/>
        <v>14.2</v>
      </c>
    </row>
    <row r="44" spans="1:32">
      <c r="A44" s="36">
        <v>41</v>
      </c>
      <c r="B44" s="69">
        <f>Level!B45-Level!B44</f>
        <v>10000</v>
      </c>
      <c r="C44" s="73">
        <f>Level!M44*VLOOKUP(A44,Plants!$C$4:$AH$47,32)*24+(27/Level!T44)</f>
        <v>1707.0740088105729</v>
      </c>
      <c r="D44" s="62">
        <f t="shared" si="11"/>
        <v>5.8579768354434947</v>
      </c>
      <c r="E44" s="65">
        <f>SUM(D$4:D43)</f>
        <v>101.48882692362498</v>
      </c>
      <c r="F44" s="205">
        <f>Level!M44*VLOOKUP(A44,Plants!$C$4:$AI$47,33)*24*1.15+IF(VLOOKUP(A44,Goals!$AO$4:$AO$120,1)=A44,VLOOKUP(A44,Goals!$AO$4:$AQ$120,3)/D44,0)+VLOOKUP(A44,Level!$A$4:$C$203,3)/D44</f>
        <v>48367.784140969161</v>
      </c>
      <c r="G44" s="71">
        <f>Level!M44*VLOOKUP(A44,Plants!$C$4:$X$47,21)*24</f>
        <v>27840</v>
      </c>
      <c r="H44" s="63">
        <f t="shared" si="12"/>
        <v>0.35919540229885055</v>
      </c>
      <c r="I44" s="64">
        <f>SUM(H$4:H43)</f>
        <v>6.1165299172168295</v>
      </c>
      <c r="J44" s="35">
        <f>Level!M44*VLOOKUP(A44,Plants!$C$4:$X$47,22)*24</f>
        <v>250560</v>
      </c>
      <c r="K44" s="239">
        <f t="shared" si="4"/>
        <v>283337</v>
      </c>
      <c r="L44" s="239">
        <f>SUM($K$4:K44)</f>
        <v>3895374</v>
      </c>
      <c r="M44" s="239">
        <f t="shared" si="5"/>
        <v>90000</v>
      </c>
      <c r="N44" s="239">
        <f>SUM($M$4:M44)</f>
        <v>1264428</v>
      </c>
      <c r="O44">
        <f>ROUNDUP(MIN(50,ROUNDUP(A44/3,0),Level!M44)*Plants!Q$4*0.005,0)</f>
        <v>1</v>
      </c>
      <c r="P44">
        <f>ROUNDUP(MAX(4,MIN(A44,VLOOKUP(A44,Level!$A$4:$M$203,13))*MIN(4,ROUNDUP(VLOOKUP(A44,Background!$C$3:$D$52,2)/5,0)))*VLOOKUP(A44,Plants!$C$4:$AJ$53,30)*0.025,0)</f>
        <v>54</v>
      </c>
      <c r="Q44">
        <f t="shared" si="6"/>
        <v>28</v>
      </c>
      <c r="R44">
        <f>ROUND(MIN(50,ROUNDUP(A44/3,0),Level!M44)*Plants!R$4,0)</f>
        <v>70</v>
      </c>
      <c r="S44" s="153">
        <f>ROUNDUP(MAX(4,MIN(A44,VLOOKUP(A44,Level!$A$4:$M$203,13))*MIN(4,ROUNDUP(VLOOKUP(A44,Background!$C$3:$D$52,2)/5,0)))*VLOOKUP(A44,Plants!$C$4:$AJ$53,31)*1.25,0)</f>
        <v>57400</v>
      </c>
      <c r="T44" s="153">
        <f t="shared" si="7"/>
        <v>28735</v>
      </c>
      <c r="U44">
        <f>SUM($K$4:K44)</f>
        <v>3895374</v>
      </c>
      <c r="V44">
        <f>VLOOKUP(A44,Garden!$B$4:$P$19,15)</f>
        <v>1090400</v>
      </c>
      <c r="W44">
        <f>VLOOKUP(A44,Plots!$B$4:$U$39,20)</f>
        <v>1311200</v>
      </c>
      <c r="X44">
        <f>VLOOKUP(A44,'Decoration Background'!$A$2:$H$200,8)</f>
        <v>2033643</v>
      </c>
      <c r="Y44">
        <f t="shared" si="13"/>
        <v>-539869</v>
      </c>
      <c r="Z44" s="158">
        <f t="shared" si="14"/>
        <v>1.1385923405557463</v>
      </c>
      <c r="AA44">
        <f t="shared" si="15"/>
        <v>-679287</v>
      </c>
      <c r="AB44" s="170">
        <f>MAX(0,(-Y44)/VLOOKUP($A44,Payment!$A$39:$G$239,7)*100)</f>
        <v>77.124142857142857</v>
      </c>
      <c r="AC44" s="138">
        <f t="shared" si="8"/>
        <v>97.040999999999997</v>
      </c>
      <c r="AD44">
        <f t="shared" si="16"/>
        <v>2583</v>
      </c>
      <c r="AE44">
        <f t="shared" si="9"/>
        <v>11.2</v>
      </c>
      <c r="AF44" s="79">
        <f t="shared" si="10"/>
        <v>14.2</v>
      </c>
    </row>
    <row r="45" spans="1:32">
      <c r="A45" s="36">
        <v>42</v>
      </c>
      <c r="B45" s="69">
        <f>Level!B46-Level!B45</f>
        <v>10500</v>
      </c>
      <c r="C45" s="73">
        <f>Level!M45*VLOOKUP(A45,Plants!$C$4:$AH$47,32)*24+(27/Level!T45)</f>
        <v>1707.0740088105729</v>
      </c>
      <c r="D45" s="62">
        <f t="shared" si="11"/>
        <v>6.1508756772156694</v>
      </c>
      <c r="E45" s="65">
        <f>SUM(D$4:D44)</f>
        <v>107.34680375906848</v>
      </c>
      <c r="F45" s="205">
        <f>Level!M45*VLOOKUP(A45,Plants!$C$4:$AI$47,33)*24*1.15+IF(VLOOKUP(A45,Goals!$AO$4:$AO$120,1)=A45,VLOOKUP(A45,Goals!$AO$4:$AQ$120,3)/D45,0)+VLOOKUP(A45,Level!$A$4:$C$203,3)/D45</f>
        <v>48367.784140969161</v>
      </c>
      <c r="G45" s="71">
        <f>Level!M45*VLOOKUP(A45,Plants!$C$4:$X$47,21)*24</f>
        <v>27840</v>
      </c>
      <c r="H45" s="63">
        <f t="shared" si="12"/>
        <v>0.37715517241379309</v>
      </c>
      <c r="I45" s="64">
        <f>SUM(H$4:H44)</f>
        <v>6.4757253195156803</v>
      </c>
      <c r="J45" s="35">
        <f>Level!M45*VLOOKUP(A45,Plants!$C$4:$X$47,22)*24</f>
        <v>250560</v>
      </c>
      <c r="K45" s="239">
        <f t="shared" si="4"/>
        <v>297504</v>
      </c>
      <c r="L45" s="239">
        <f>SUM($K$4:K45)</f>
        <v>4192878</v>
      </c>
      <c r="M45" s="239">
        <f t="shared" si="5"/>
        <v>94500</v>
      </c>
      <c r="N45" s="239">
        <f>SUM($M$4:M45)</f>
        <v>1358928</v>
      </c>
      <c r="O45">
        <f>ROUNDUP(MIN(50,ROUNDUP(A45/3,0),Level!M45)*Plants!Q$4*0.005,0)</f>
        <v>1</v>
      </c>
      <c r="P45">
        <f>ROUNDUP(MAX(4,MIN(A45,VLOOKUP(A45,Level!$A$4:$M$203,13))*MIN(4,ROUNDUP(VLOOKUP(A45,Background!$C$3:$D$52,2)/5,0)))*VLOOKUP(A45,Plants!$C$4:$AJ$53,30)*0.025,0)</f>
        <v>55</v>
      </c>
      <c r="Q45">
        <f t="shared" si="6"/>
        <v>28.5</v>
      </c>
      <c r="R45">
        <f>ROUND(MIN(50,ROUNDUP(A45/3,0),Level!M45)*Plants!R$4,0)</f>
        <v>70</v>
      </c>
      <c r="S45" s="153">
        <f>ROUNDUP(MAX(4,MIN(A45,VLOOKUP(A45,Level!$A$4:$M$203,13))*MIN(4,ROUNDUP(VLOOKUP(A45,Background!$C$3:$D$52,2)/5,0)))*VLOOKUP(A45,Plants!$C$4:$AJ$53,31)*1.25,0)</f>
        <v>58800</v>
      </c>
      <c r="T45" s="153">
        <f t="shared" si="7"/>
        <v>29435</v>
      </c>
      <c r="U45">
        <f>SUM($K$4:K45)</f>
        <v>4192878</v>
      </c>
      <c r="V45">
        <f>VLOOKUP(A45,Garden!$B$4:$P$19,15)</f>
        <v>1090400</v>
      </c>
      <c r="W45">
        <f>VLOOKUP(A45,Plots!$B$4:$U$39,20)</f>
        <v>1311200</v>
      </c>
      <c r="X45">
        <f>VLOOKUP(A45,'Decoration Background'!$A$2:$H$200,8)</f>
        <v>2183712</v>
      </c>
      <c r="Y45">
        <f t="shared" si="13"/>
        <v>-392434</v>
      </c>
      <c r="Z45" s="158">
        <f t="shared" si="14"/>
        <v>1.093595377685685</v>
      </c>
      <c r="AA45">
        <f t="shared" si="15"/>
        <v>-679287</v>
      </c>
      <c r="AB45" s="170">
        <f>MAX(0,(-Y45)/VLOOKUP($A45,Payment!$A$39:$G$239,7)*100)</f>
        <v>56.061999999999998</v>
      </c>
      <c r="AC45" s="138">
        <f t="shared" si="8"/>
        <v>97.040999999999997</v>
      </c>
      <c r="AD45">
        <f t="shared" si="16"/>
        <v>2709</v>
      </c>
      <c r="AE45">
        <f t="shared" si="9"/>
        <v>8.1</v>
      </c>
      <c r="AF45" s="79">
        <f t="shared" si="10"/>
        <v>14.2</v>
      </c>
    </row>
    <row r="46" spans="1:32">
      <c r="A46" s="36">
        <v>43</v>
      </c>
      <c r="B46" s="69">
        <f>Level!B47-Level!B46</f>
        <v>11000</v>
      </c>
      <c r="C46" s="73">
        <f>Level!M46*VLOOKUP(A46,Plants!$C$4:$AH$47,32)*24+(27/Level!T46)</f>
        <v>1855.6413431269675</v>
      </c>
      <c r="D46" s="62">
        <f t="shared" si="11"/>
        <v>5.927869650427029</v>
      </c>
      <c r="E46" s="65">
        <f>SUM(D$4:D45)</f>
        <v>113.49767943628414</v>
      </c>
      <c r="F46" s="205">
        <f>Level!M46*VLOOKUP(A46,Plants!$C$4:$AI$47,33)*24*1.15+IF(VLOOKUP(A46,Goals!$AO$4:$AO$120,1)=A46,VLOOKUP(A46,Goals!$AO$4:$AQ$120,3)/D46,0)+VLOOKUP(A46,Level!$A$4:$C$203,3)/D46</f>
        <v>52157.48373557187</v>
      </c>
      <c r="G46" s="71">
        <f>Level!M46*VLOOKUP(A46,Plants!$C$4:$X$47,21)*24</f>
        <v>29760</v>
      </c>
      <c r="H46" s="63">
        <f t="shared" si="12"/>
        <v>0.3696236559139785</v>
      </c>
      <c r="I46" s="64">
        <f>SUM(H$4:H45)</f>
        <v>6.852880491929473</v>
      </c>
      <c r="J46" s="35">
        <f>Level!M46*VLOOKUP(A46,Plants!$C$4:$X$47,22)*24</f>
        <v>267840</v>
      </c>
      <c r="K46" s="239">
        <f t="shared" si="4"/>
        <v>309183</v>
      </c>
      <c r="L46" s="239">
        <f>SUM($K$4:K46)</f>
        <v>4502061</v>
      </c>
      <c r="M46" s="239">
        <f t="shared" si="5"/>
        <v>99000</v>
      </c>
      <c r="N46" s="239">
        <f>SUM($M$4:M46)</f>
        <v>1457928</v>
      </c>
      <c r="O46">
        <f>ROUNDUP(MIN(50,ROUNDUP(A46/3,0),Level!M46)*Plants!Q$4*0.005,0)</f>
        <v>1</v>
      </c>
      <c r="P46">
        <f>ROUNDUP(MAX(4,MIN(A46,VLOOKUP(A46,Level!$A$4:$M$203,13))*MIN(4,ROUNDUP(VLOOKUP(A46,Background!$C$3:$D$52,2)/5,0)))*VLOOKUP(A46,Plants!$C$4:$AJ$53,30)*0.025,0)</f>
        <v>56</v>
      </c>
      <c r="Q46">
        <f t="shared" si="6"/>
        <v>29</v>
      </c>
      <c r="R46">
        <f>ROUND(MIN(50,ROUNDUP(A46/3,0),Level!M46)*Plants!R$4,0)</f>
        <v>75</v>
      </c>
      <c r="S46" s="153">
        <f>ROUNDUP(MAX(4,MIN(A46,VLOOKUP(A46,Level!$A$4:$M$203,13))*MIN(4,ROUNDUP(VLOOKUP(A46,Background!$C$3:$D$52,2)/5,0)))*VLOOKUP(A46,Plants!$C$4:$AJ$53,31)*1.25,0)</f>
        <v>60200</v>
      </c>
      <c r="T46" s="153">
        <f t="shared" si="7"/>
        <v>30137.5</v>
      </c>
      <c r="U46">
        <f>SUM($K$4:K46)</f>
        <v>4502061</v>
      </c>
      <c r="V46">
        <f>VLOOKUP(A46,Garden!$B$4:$P$19,15)</f>
        <v>1090400</v>
      </c>
      <c r="W46">
        <f>VLOOKUP(A46,Plots!$B$4:$U$39,20)</f>
        <v>1641200</v>
      </c>
      <c r="X46">
        <f>VLOOKUP(A46,'Decoration Background'!$A$2:$H$200,8)</f>
        <v>2340081</v>
      </c>
      <c r="Y46">
        <f t="shared" si="13"/>
        <v>-569620</v>
      </c>
      <c r="Z46" s="158">
        <f t="shared" si="14"/>
        <v>1.1265242741046824</v>
      </c>
      <c r="AA46">
        <f t="shared" si="15"/>
        <v>-679287</v>
      </c>
      <c r="AB46" s="170">
        <f>MAX(0,(-Y46)/VLOOKUP($A46,Payment!$A$39:$G$239,7)*100)</f>
        <v>81.374285714285705</v>
      </c>
      <c r="AC46" s="138">
        <f t="shared" si="8"/>
        <v>97.040999999999997</v>
      </c>
      <c r="AD46">
        <f t="shared" si="16"/>
        <v>2838</v>
      </c>
      <c r="AE46">
        <f t="shared" si="9"/>
        <v>10.9</v>
      </c>
      <c r="AF46" s="79">
        <f t="shared" si="10"/>
        <v>14.2</v>
      </c>
    </row>
    <row r="47" spans="1:32">
      <c r="A47" s="36">
        <v>44</v>
      </c>
      <c r="B47" s="69">
        <f>Level!B48-Level!B47</f>
        <v>11500</v>
      </c>
      <c r="C47" s="73">
        <f>Level!M47*VLOOKUP(A47,Plants!$C$4:$AH$47,32)*24+(27/Level!T47)</f>
        <v>1855.6413431269675</v>
      </c>
      <c r="D47" s="62">
        <f t="shared" si="11"/>
        <v>6.1973182709009853</v>
      </c>
      <c r="E47" s="65">
        <f>SUM(D$4:D46)</f>
        <v>119.42554908671117</v>
      </c>
      <c r="F47" s="205">
        <f>Level!M47*VLOOKUP(A47,Plants!$C$4:$AI$47,33)*24*1.15+IF(VLOOKUP(A47,Goals!$AO$4:$AO$120,1)=A47,VLOOKUP(A47,Goals!$AO$4:$AQ$120,3)/D47,0)+VLOOKUP(A47,Level!$A$4:$C$203,3)/D47</f>
        <v>52157.48373557187</v>
      </c>
      <c r="G47" s="71">
        <f>Level!M47*VLOOKUP(A47,Plants!$C$4:$X$47,21)*24</f>
        <v>29760</v>
      </c>
      <c r="H47" s="63">
        <f t="shared" si="12"/>
        <v>0.38642473118279569</v>
      </c>
      <c r="I47" s="64">
        <f>SUM(H$4:H46)</f>
        <v>7.222504147843452</v>
      </c>
      <c r="J47" s="35">
        <f>Level!M47*VLOOKUP(A47,Plants!$C$4:$X$47,22)*24</f>
        <v>267840</v>
      </c>
      <c r="K47" s="239">
        <f t="shared" si="4"/>
        <v>323237</v>
      </c>
      <c r="L47" s="239">
        <f>SUM($K$4:K47)</f>
        <v>4825298</v>
      </c>
      <c r="M47" s="239">
        <f t="shared" si="5"/>
        <v>103500</v>
      </c>
      <c r="N47" s="239">
        <f>SUM($M$4:M47)</f>
        <v>1561428</v>
      </c>
      <c r="O47">
        <f>ROUNDUP(MIN(50,ROUNDUP(A47/3,0),Level!M47)*Plants!Q$4*0.005,0)</f>
        <v>1</v>
      </c>
      <c r="P47">
        <f>ROUNDUP(MAX(4,MIN(A47,VLOOKUP(A47,Level!$A$4:$M$203,13))*MIN(4,ROUNDUP(VLOOKUP(A47,Background!$C$3:$D$52,2)/5,0)))*VLOOKUP(A47,Plants!$C$4:$AJ$53,30)*0.025,0)</f>
        <v>58</v>
      </c>
      <c r="Q47">
        <f t="shared" si="6"/>
        <v>30</v>
      </c>
      <c r="R47">
        <f>ROUND(MIN(50,ROUNDUP(A47/3,0),Level!M47)*Plants!R$4,0)</f>
        <v>75</v>
      </c>
      <c r="S47" s="153">
        <f>ROUNDUP(MAX(4,MIN(A47,VLOOKUP(A47,Level!$A$4:$M$203,13))*MIN(4,ROUNDUP(VLOOKUP(A47,Background!$C$3:$D$52,2)/5,0)))*VLOOKUP(A47,Plants!$C$4:$AJ$53,31)*1.25,0)</f>
        <v>61600</v>
      </c>
      <c r="T47" s="153">
        <f t="shared" si="7"/>
        <v>30837.5</v>
      </c>
      <c r="U47">
        <f>SUM($K$4:K47)</f>
        <v>4825298</v>
      </c>
      <c r="V47">
        <f>VLOOKUP(A47,Garden!$B$4:$P$19,15)</f>
        <v>1090400</v>
      </c>
      <c r="W47">
        <f>VLOOKUP(A47,Plots!$B$4:$U$39,20)</f>
        <v>1641200</v>
      </c>
      <c r="X47">
        <f>VLOOKUP(A47,'Decoration Background'!$A$2:$H$200,8)</f>
        <v>2502900</v>
      </c>
      <c r="Y47">
        <f t="shared" si="13"/>
        <v>-409202</v>
      </c>
      <c r="Z47" s="158">
        <f t="shared" si="14"/>
        <v>1.08480346706048</v>
      </c>
      <c r="AA47">
        <f t="shared" si="15"/>
        <v>-679287</v>
      </c>
      <c r="AB47" s="170">
        <f>MAX(0,(-Y47)/VLOOKUP($A47,Payment!$A$39:$G$239,7)*100)</f>
        <v>56.833611111111118</v>
      </c>
      <c r="AC47" s="138">
        <f t="shared" si="8"/>
        <v>97.040999999999997</v>
      </c>
      <c r="AD47">
        <f t="shared" si="16"/>
        <v>2970</v>
      </c>
      <c r="AE47">
        <f t="shared" si="9"/>
        <v>7.8</v>
      </c>
      <c r="AF47" s="79">
        <f t="shared" si="10"/>
        <v>14.2</v>
      </c>
    </row>
    <row r="48" spans="1:32">
      <c r="A48" s="36">
        <v>45</v>
      </c>
      <c r="B48" s="69">
        <f>Level!B49-Level!B48</f>
        <v>12000</v>
      </c>
      <c r="C48" s="73">
        <f>Level!M48*VLOOKUP(A48,Plants!$C$4:$AH$47,32)*24+(27/Level!T48)</f>
        <v>1884.0372745490981</v>
      </c>
      <c r="D48" s="62">
        <f t="shared" si="11"/>
        <v>6.3693007362988237</v>
      </c>
      <c r="E48" s="65">
        <f>SUM(D$4:D47)</f>
        <v>125.62286735761215</v>
      </c>
      <c r="F48" s="205">
        <f>Level!M48*VLOOKUP(A48,Plants!$C$4:$AI$47,33)*24*1.15+IF(VLOOKUP(A48,Goals!$AO$4:$AO$120,1)=A48,VLOOKUP(A48,Goals!$AO$4:$AQ$120,3)/D48,0)+VLOOKUP(A48,Level!$A$4:$C$203,3)/D48</f>
        <v>52570.533066132266</v>
      </c>
      <c r="G48" s="71">
        <f>Level!M48*VLOOKUP(A48,Plants!$C$4:$X$47,21)*24</f>
        <v>29760</v>
      </c>
      <c r="H48" s="63">
        <f t="shared" si="12"/>
        <v>0.40322580645161288</v>
      </c>
      <c r="I48" s="64">
        <f>SUM(H$4:H47)</f>
        <v>7.6089288790262479</v>
      </c>
      <c r="J48" s="35">
        <f>Level!M48*VLOOKUP(A48,Plants!$C$4:$X$47,22)*24</f>
        <v>267840</v>
      </c>
      <c r="K48" s="239">
        <f t="shared" si="4"/>
        <v>334838</v>
      </c>
      <c r="L48" s="239">
        <f>SUM($K$4:K48)</f>
        <v>5160136</v>
      </c>
      <c r="M48" s="239">
        <f t="shared" si="5"/>
        <v>108000</v>
      </c>
      <c r="N48" s="239">
        <f>SUM($M$4:M48)</f>
        <v>1669428</v>
      </c>
      <c r="O48">
        <f>ROUNDUP(MIN(50,ROUNDUP(A48/3,0),Level!M48)*Plants!Q$4*0.005,0)</f>
        <v>1</v>
      </c>
      <c r="P48">
        <f>ROUNDUP(MAX(4,MIN(A48,VLOOKUP(A48,Level!$A$4:$M$203,13))*MIN(4,ROUNDUP(VLOOKUP(A48,Background!$C$3:$D$52,2)/5,0)))*VLOOKUP(A48,Plants!$C$4:$AJ$53,30)*0.025,0)</f>
        <v>59</v>
      </c>
      <c r="Q48">
        <f t="shared" si="6"/>
        <v>30.5</v>
      </c>
      <c r="R48">
        <f>ROUND(MIN(50,ROUNDUP(A48/3,0),Level!M48)*Plants!R$4,0)</f>
        <v>75</v>
      </c>
      <c r="S48" s="153">
        <f>ROUNDUP(MAX(4,MIN(A48,VLOOKUP(A48,Level!$A$4:$M$203,13))*MIN(4,ROUNDUP(VLOOKUP(A48,Background!$C$3:$D$52,2)/5,0)))*VLOOKUP(A48,Plants!$C$4:$AJ$53,31)*1.25,0)</f>
        <v>63000</v>
      </c>
      <c r="T48" s="153">
        <f t="shared" si="7"/>
        <v>31537.5</v>
      </c>
      <c r="U48">
        <f>SUM($K$4:K48)</f>
        <v>5160136</v>
      </c>
      <c r="V48">
        <f>VLOOKUP(A48,Garden!$B$4:$P$19,15)</f>
        <v>1820400</v>
      </c>
      <c r="W48">
        <f>VLOOKUP(A48,Plots!$B$4:$U$39,20)</f>
        <v>1641200</v>
      </c>
      <c r="X48">
        <f>VLOOKUP(A48,'Decoration Background'!$A$2:$H$200,8)</f>
        <v>2672319</v>
      </c>
      <c r="Y48">
        <f t="shared" si="13"/>
        <v>-973783</v>
      </c>
      <c r="Z48" s="158">
        <f t="shared" si="14"/>
        <v>1.1887126618368198</v>
      </c>
      <c r="AA48">
        <f t="shared" si="15"/>
        <v>-973783</v>
      </c>
      <c r="AB48" s="170">
        <f>MAX(0,(-Y48)/VLOOKUP($A48,Payment!$A$39:$G$239,7)*100)</f>
        <v>135.2476388888889</v>
      </c>
      <c r="AC48" s="138">
        <f t="shared" si="8"/>
        <v>135.2476388888889</v>
      </c>
      <c r="AD48">
        <f t="shared" si="16"/>
        <v>3105</v>
      </c>
      <c r="AE48">
        <f t="shared" si="9"/>
        <v>18.5</v>
      </c>
      <c r="AF48" s="79">
        <f t="shared" si="10"/>
        <v>18.5</v>
      </c>
    </row>
    <row r="49" spans="1:32">
      <c r="A49" s="36">
        <v>46</v>
      </c>
      <c r="B49" s="69">
        <f>Level!B50-Level!B49</f>
        <v>12500</v>
      </c>
      <c r="C49" s="73">
        <f>Level!M49*VLOOKUP(A49,Plants!$C$4:$AH$47,32)*24+(27/Level!T49)</f>
        <v>1884.0372745490981</v>
      </c>
      <c r="D49" s="62">
        <f t="shared" si="11"/>
        <v>6.6346882669779417</v>
      </c>
      <c r="E49" s="65">
        <f>SUM(D$4:D48)</f>
        <v>131.99216809391098</v>
      </c>
      <c r="F49" s="205">
        <f>Level!M49*VLOOKUP(A49,Plants!$C$4:$AI$47,33)*24*1.15+IF(VLOOKUP(A49,Goals!$AO$4:$AO$120,1)=A49,VLOOKUP(A49,Goals!$AO$4:$AQ$120,3)/D49,0)+VLOOKUP(A49,Level!$A$4:$C$203,3)/D49</f>
        <v>52570.533066132266</v>
      </c>
      <c r="G49" s="71">
        <f>Level!M49*VLOOKUP(A49,Plants!$C$4:$X$47,21)*24</f>
        <v>29760</v>
      </c>
      <c r="H49" s="63">
        <f t="shared" si="12"/>
        <v>0.42002688172043012</v>
      </c>
      <c r="I49" s="64">
        <f>SUM(H$4:H48)</f>
        <v>8.01215468547786</v>
      </c>
      <c r="J49" s="35">
        <f>Level!M49*VLOOKUP(A49,Plants!$C$4:$X$47,22)*24</f>
        <v>267840</v>
      </c>
      <c r="K49" s="239">
        <f t="shared" si="4"/>
        <v>348789</v>
      </c>
      <c r="L49" s="239">
        <f>SUM($K$4:K49)</f>
        <v>5508925</v>
      </c>
      <c r="M49" s="239">
        <f t="shared" si="5"/>
        <v>112500</v>
      </c>
      <c r="N49" s="239">
        <f>SUM($M$4:M49)</f>
        <v>1781928</v>
      </c>
      <c r="O49">
        <f>ROUNDUP(MIN(50,ROUNDUP(A49/3,0),Level!M49)*Plants!Q$4*0.005,0)</f>
        <v>1</v>
      </c>
      <c r="P49">
        <f>ROUNDUP(MAX(4,MIN(A49,VLOOKUP(A49,Level!$A$4:$M$203,13))*MIN(4,ROUNDUP(VLOOKUP(A49,Background!$C$3:$D$52,2)/5,0)))*VLOOKUP(A49,Plants!$C$4:$AJ$53,30)*0.025,0)</f>
        <v>60</v>
      </c>
      <c r="Q49">
        <f t="shared" si="6"/>
        <v>31</v>
      </c>
      <c r="R49">
        <f>ROUND(MIN(50,ROUNDUP(A49/3,0),Level!M49)*Plants!R$4,0)</f>
        <v>80</v>
      </c>
      <c r="S49" s="153">
        <f>ROUNDUP(MAX(4,MIN(A49,VLOOKUP(A49,Level!$A$4:$M$203,13))*MIN(4,ROUNDUP(VLOOKUP(A49,Background!$C$3:$D$52,2)/5,0)))*VLOOKUP(A49,Plants!$C$4:$AJ$53,31)*1.25,0)</f>
        <v>64400</v>
      </c>
      <c r="T49" s="153">
        <f t="shared" si="7"/>
        <v>32240</v>
      </c>
      <c r="U49">
        <f>SUM($K$4:K49)</f>
        <v>5508925</v>
      </c>
      <c r="V49">
        <f>VLOOKUP(A49,Garden!$B$4:$P$19,15)</f>
        <v>1820400</v>
      </c>
      <c r="W49">
        <f>VLOOKUP(A49,Plots!$B$4:$U$39,20)</f>
        <v>1641200</v>
      </c>
      <c r="X49">
        <f>VLOOKUP(A49,'Decoration Background'!$A$2:$H$200,8)</f>
        <v>2848488</v>
      </c>
      <c r="Y49">
        <f t="shared" si="13"/>
        <v>-801163</v>
      </c>
      <c r="Z49" s="158">
        <f t="shared" si="14"/>
        <v>1.1454300067617549</v>
      </c>
      <c r="AA49">
        <f t="shared" si="15"/>
        <v>-973783</v>
      </c>
      <c r="AB49" s="170">
        <f>MAX(0,(-Y49)/VLOOKUP($A49,Payment!$A$39:$G$239,7)*100)</f>
        <v>111.27263888888889</v>
      </c>
      <c r="AC49" s="138">
        <f t="shared" si="8"/>
        <v>135.2476388888889</v>
      </c>
      <c r="AD49">
        <f t="shared" si="16"/>
        <v>3243</v>
      </c>
      <c r="AE49">
        <f t="shared" si="9"/>
        <v>15.2</v>
      </c>
      <c r="AF49" s="79">
        <f t="shared" si="10"/>
        <v>18.5</v>
      </c>
    </row>
    <row r="50" spans="1:32">
      <c r="A50" s="36">
        <v>47</v>
      </c>
      <c r="B50" s="69">
        <f>Level!B51-Level!B50</f>
        <v>13000</v>
      </c>
      <c r="C50" s="73">
        <f>Level!M50*VLOOKUP(A50,Plants!$C$4:$AH$47,32)*24+(27/Level!T50)</f>
        <v>2032.8592521572389</v>
      </c>
      <c r="D50" s="62">
        <f t="shared" si="11"/>
        <v>6.3949336316346548</v>
      </c>
      <c r="E50" s="65">
        <f>SUM(D$4:D49)</f>
        <v>138.62685636088892</v>
      </c>
      <c r="F50" s="205">
        <f>Level!M50*VLOOKUP(A50,Plants!$C$4:$AI$47,33)*24*1.15+IF(VLOOKUP(A50,Goals!$AO$4:$AO$120,1)=A50,VLOOKUP(A50,Goals!$AO$4:$AQ$120,3)/D50,0)+VLOOKUP(A50,Level!$A$4:$C$203,3)/D50</f>
        <v>56429.430488974118</v>
      </c>
      <c r="G50" s="71">
        <f>Level!M50*VLOOKUP(A50,Plants!$C$4:$X$47,21)*24</f>
        <v>31680</v>
      </c>
      <c r="H50" s="63">
        <f t="shared" si="12"/>
        <v>0.41035353535353536</v>
      </c>
      <c r="I50" s="64">
        <f>SUM(H$4:H49)</f>
        <v>8.43218156719829</v>
      </c>
      <c r="J50" s="35">
        <f>Level!M50*VLOOKUP(A50,Plants!$C$4:$X$47,22)*24</f>
        <v>285120</v>
      </c>
      <c r="K50" s="239">
        <f t="shared" si="4"/>
        <v>360862</v>
      </c>
      <c r="L50" s="239">
        <f>SUM($K$4:K50)</f>
        <v>5869787</v>
      </c>
      <c r="M50" s="239">
        <f t="shared" si="5"/>
        <v>117000</v>
      </c>
      <c r="N50" s="239">
        <f>SUM($M$4:M50)</f>
        <v>1898928</v>
      </c>
      <c r="O50">
        <f>ROUNDUP(MIN(50,ROUNDUP(A50/3,0),Level!M50)*Plants!Q$4*0.005,0)</f>
        <v>1</v>
      </c>
      <c r="P50">
        <f>ROUNDUP(MAX(4,MIN(A50,VLOOKUP(A50,Level!$A$4:$M$203,13))*MIN(4,ROUNDUP(VLOOKUP(A50,Background!$C$3:$D$52,2)/5,0)))*VLOOKUP(A50,Plants!$C$4:$AJ$53,30)*0.025,0)</f>
        <v>62</v>
      </c>
      <c r="Q50">
        <f t="shared" si="6"/>
        <v>32</v>
      </c>
      <c r="R50">
        <f>ROUND(MIN(50,ROUNDUP(A50/3,0),Level!M50)*Plants!R$4,0)</f>
        <v>80</v>
      </c>
      <c r="S50" s="153">
        <f>ROUNDUP(MAX(4,MIN(A50,VLOOKUP(A50,Level!$A$4:$M$203,13))*MIN(4,ROUNDUP(VLOOKUP(A50,Background!$C$3:$D$52,2)/5,0)))*VLOOKUP(A50,Plants!$C$4:$AJ$53,31)*1.25,0)</f>
        <v>65800</v>
      </c>
      <c r="T50" s="153">
        <f t="shared" si="7"/>
        <v>32940</v>
      </c>
      <c r="U50">
        <f>SUM($K$4:K50)</f>
        <v>5869787</v>
      </c>
      <c r="V50">
        <f>VLOOKUP(A50,Garden!$B$4:$P$19,15)</f>
        <v>1820400</v>
      </c>
      <c r="W50">
        <f>VLOOKUP(A50,Plots!$B$4:$U$39,20)</f>
        <v>2091200</v>
      </c>
      <c r="X50">
        <f>VLOOKUP(A50,'Decoration Background'!$A$2:$H$200,8)</f>
        <v>3031557</v>
      </c>
      <c r="Y50">
        <f t="shared" si="13"/>
        <v>-1073370</v>
      </c>
      <c r="Z50" s="158">
        <f t="shared" si="14"/>
        <v>1.1828635349119141</v>
      </c>
      <c r="AA50">
        <f t="shared" si="15"/>
        <v>-1073370</v>
      </c>
      <c r="AB50" s="170">
        <f>MAX(0,(-Y50)/VLOOKUP($A50,Payment!$A$39:$G$239,7)*100)</f>
        <v>149.07916666666668</v>
      </c>
      <c r="AC50" s="138">
        <f t="shared" si="8"/>
        <v>149.07916666666668</v>
      </c>
      <c r="AD50">
        <f t="shared" si="16"/>
        <v>3384</v>
      </c>
      <c r="AE50">
        <f t="shared" si="9"/>
        <v>19</v>
      </c>
      <c r="AF50" s="79">
        <f t="shared" si="10"/>
        <v>19</v>
      </c>
    </row>
    <row r="51" spans="1:32">
      <c r="A51" s="36">
        <v>48</v>
      </c>
      <c r="B51" s="69">
        <f>Level!B52-Level!B51</f>
        <v>13500</v>
      </c>
      <c r="C51" s="73">
        <f>Level!M51*VLOOKUP(A51,Plants!$C$4:$AH$47,32)*24+(27/Level!T51)</f>
        <v>2032.8592521572389</v>
      </c>
      <c r="D51" s="62">
        <f t="shared" si="11"/>
        <v>6.6408926174667569</v>
      </c>
      <c r="E51" s="65">
        <f>SUM(D$4:D50)</f>
        <v>145.02178999252357</v>
      </c>
      <c r="F51" s="205">
        <f>Level!M51*VLOOKUP(A51,Plants!$C$4:$AI$47,33)*24*1.15+IF(VLOOKUP(A51,Goals!$AO$4:$AO$120,1)=A51,VLOOKUP(A51,Goals!$AO$4:$AQ$120,3)/D51,0)+VLOOKUP(A51,Level!$A$4:$C$203,3)/D51</f>
        <v>56429.430488974118</v>
      </c>
      <c r="G51" s="71">
        <f>Level!M51*VLOOKUP(A51,Plants!$C$4:$X$47,21)*24</f>
        <v>31680</v>
      </c>
      <c r="H51" s="63">
        <f t="shared" si="12"/>
        <v>0.42613636363636365</v>
      </c>
      <c r="I51" s="64">
        <f>SUM(H$4:H50)</f>
        <v>8.8425351025518246</v>
      </c>
      <c r="J51" s="35">
        <f>Level!M51*VLOOKUP(A51,Plants!$C$4:$X$47,22)*24</f>
        <v>285120</v>
      </c>
      <c r="K51" s="239">
        <f t="shared" si="4"/>
        <v>374742</v>
      </c>
      <c r="L51" s="239">
        <f>SUM($K$4:K51)</f>
        <v>6244529</v>
      </c>
      <c r="M51" s="239">
        <f t="shared" si="5"/>
        <v>121500</v>
      </c>
      <c r="N51" s="239">
        <f>SUM($M$4:M51)</f>
        <v>2020428</v>
      </c>
      <c r="O51">
        <f>ROUNDUP(MIN(50,ROUNDUP(A51/3,0),Level!M51)*Plants!Q$4*0.005,0)</f>
        <v>1</v>
      </c>
      <c r="P51">
        <f>ROUNDUP(MAX(4,MIN(A51,VLOOKUP(A51,Level!$A$4:$M$203,13))*MIN(4,ROUNDUP(VLOOKUP(A51,Background!$C$3:$D$52,2)/5,0)))*VLOOKUP(A51,Plants!$C$4:$AJ$53,30)*0.025,0)</f>
        <v>63</v>
      </c>
      <c r="Q51">
        <f t="shared" si="6"/>
        <v>32.5</v>
      </c>
      <c r="R51">
        <f>ROUND(MIN(50,ROUNDUP(A51/3,0),Level!M51)*Plants!R$4,0)</f>
        <v>80</v>
      </c>
      <c r="S51" s="153">
        <f>ROUNDUP(MAX(4,MIN(A51,VLOOKUP(A51,Level!$A$4:$M$203,13))*MIN(4,ROUNDUP(VLOOKUP(A51,Background!$C$3:$D$52,2)/5,0)))*VLOOKUP(A51,Plants!$C$4:$AJ$53,31)*1.25,0)</f>
        <v>67200</v>
      </c>
      <c r="T51" s="153">
        <f t="shared" si="7"/>
        <v>33640</v>
      </c>
      <c r="U51">
        <f>SUM($K$4:K51)</f>
        <v>6244529</v>
      </c>
      <c r="V51">
        <f>VLOOKUP(A51,Garden!$B$4:$P$19,15)</f>
        <v>1820400</v>
      </c>
      <c r="W51">
        <f>VLOOKUP(A51,Plots!$B$4:$U$39,20)</f>
        <v>2091200</v>
      </c>
      <c r="X51">
        <f>VLOOKUP(A51,'Decoration Background'!$A$2:$H$200,8)</f>
        <v>3221676</v>
      </c>
      <c r="Y51">
        <f t="shared" si="13"/>
        <v>-888747</v>
      </c>
      <c r="Z51" s="158">
        <f t="shared" si="14"/>
        <v>1.1423241048284025</v>
      </c>
      <c r="AA51">
        <f t="shared" si="15"/>
        <v>-1073370</v>
      </c>
      <c r="AB51" s="170">
        <f>MAX(0,(-Y51)/VLOOKUP($A51,Payment!$A$39:$G$239,7)*100)</f>
        <v>120.10094594594594</v>
      </c>
      <c r="AC51" s="138">
        <f t="shared" si="8"/>
        <v>149.07916666666668</v>
      </c>
      <c r="AD51">
        <f t="shared" si="16"/>
        <v>3528</v>
      </c>
      <c r="AE51">
        <f t="shared" si="9"/>
        <v>15.7</v>
      </c>
      <c r="AF51" s="79">
        <f t="shared" si="10"/>
        <v>19</v>
      </c>
    </row>
    <row r="52" spans="1:32">
      <c r="A52" s="36">
        <v>49</v>
      </c>
      <c r="B52" s="69">
        <f>Level!B53-Level!B52</f>
        <v>14000</v>
      </c>
      <c r="C52" s="73">
        <f>Level!M52*VLOOKUP(A52,Plants!$C$4:$AH$47,32)*24+(27/Level!T52)</f>
        <v>2058.1941176470591</v>
      </c>
      <c r="D52" s="62">
        <f t="shared" si="11"/>
        <v>6.8020794928735349</v>
      </c>
      <c r="E52" s="65">
        <f>SUM(D$4:D51)</f>
        <v>151.66268260999033</v>
      </c>
      <c r="F52" s="205">
        <f>Level!M52*VLOOKUP(A52,Plants!$C$4:$AI$47,33)*24*1.15+IF(VLOOKUP(A52,Goals!$AO$4:$AO$120,1)=A52,VLOOKUP(A52,Goals!$AO$4:$AQ$120,3)/D52,0)+VLOOKUP(A52,Level!$A$4:$C$203,3)/D52</f>
        <v>56920.814338235294</v>
      </c>
      <c r="G52" s="71">
        <f>Level!M52*VLOOKUP(A52,Plants!$C$4:$X$47,21)*24</f>
        <v>31680</v>
      </c>
      <c r="H52" s="63">
        <f t="shared" si="12"/>
        <v>0.44191919191919193</v>
      </c>
      <c r="I52" s="64">
        <f>SUM(H$4:H51)</f>
        <v>9.2686714661881879</v>
      </c>
      <c r="J52" s="35">
        <f>Level!M52*VLOOKUP(A52,Plants!$C$4:$X$47,22)*24</f>
        <v>285120</v>
      </c>
      <c r="K52" s="239">
        <f t="shared" si="4"/>
        <v>387180</v>
      </c>
      <c r="L52" s="239">
        <f>SUM($K$4:K52)</f>
        <v>6631709</v>
      </c>
      <c r="M52" s="239">
        <f t="shared" si="5"/>
        <v>126000</v>
      </c>
      <c r="N52" s="239">
        <f>SUM($M$4:M52)</f>
        <v>2146428</v>
      </c>
      <c r="O52">
        <f>ROUNDUP(MIN(50,ROUNDUP(A52/3,0),Level!M52)*Plants!Q$4*0.005,0)</f>
        <v>1</v>
      </c>
      <c r="P52">
        <f>ROUNDUP(MAX(4,MIN(A52,VLOOKUP(A52,Level!$A$4:$M$203,13))*MIN(4,ROUNDUP(VLOOKUP(A52,Background!$C$3:$D$52,2)/5,0)))*VLOOKUP(A52,Plants!$C$4:$AJ$53,30)*0.025,0)</f>
        <v>64</v>
      </c>
      <c r="Q52">
        <f t="shared" si="6"/>
        <v>33</v>
      </c>
      <c r="R52">
        <f>ROUND(MIN(50,ROUNDUP(A52/3,0),Level!M52)*Plants!R$4,0)</f>
        <v>85</v>
      </c>
      <c r="S52" s="153">
        <f>ROUNDUP(MAX(4,MIN(A52,VLOOKUP(A52,Level!$A$4:$M$203,13))*MIN(4,ROUNDUP(VLOOKUP(A52,Background!$C$3:$D$52,2)/5,0)))*VLOOKUP(A52,Plants!$C$4:$AJ$53,31)*1.25,0)</f>
        <v>68600</v>
      </c>
      <c r="T52" s="153">
        <f t="shared" si="7"/>
        <v>34342.5</v>
      </c>
      <c r="U52">
        <f>SUM($K$4:K52)</f>
        <v>6631709</v>
      </c>
      <c r="V52">
        <f>VLOOKUP(A52,Garden!$B$4:$P$19,15)</f>
        <v>1820400</v>
      </c>
      <c r="W52">
        <f>VLOOKUP(A52,Plots!$B$4:$U$39,20)</f>
        <v>2091200</v>
      </c>
      <c r="X52">
        <f>VLOOKUP(A52,'Decoration Background'!$A$2:$H$200,8)</f>
        <v>3418995</v>
      </c>
      <c r="Y52">
        <f t="shared" si="13"/>
        <v>-698886</v>
      </c>
      <c r="Z52" s="158">
        <f t="shared" si="14"/>
        <v>1.1053855047017291</v>
      </c>
      <c r="AA52">
        <f t="shared" si="15"/>
        <v>-1073370</v>
      </c>
      <c r="AB52" s="170">
        <f>MAX(0,(-Y52)/VLOOKUP($A52,Payment!$A$39:$G$239,7)*100)</f>
        <v>94.44405405405405</v>
      </c>
      <c r="AC52" s="138">
        <f t="shared" si="8"/>
        <v>149.07916666666668</v>
      </c>
      <c r="AD52">
        <f t="shared" si="16"/>
        <v>3675</v>
      </c>
      <c r="AE52">
        <f t="shared" si="9"/>
        <v>12.3</v>
      </c>
      <c r="AF52" s="79">
        <f t="shared" si="10"/>
        <v>19</v>
      </c>
    </row>
    <row r="53" spans="1:32">
      <c r="A53" s="36">
        <v>50</v>
      </c>
      <c r="B53" s="69">
        <f>Level!B54-Level!B53</f>
        <v>14500</v>
      </c>
      <c r="C53" s="73">
        <f>Level!M53*VLOOKUP(A53,Plants!$C$4:$AH$47,32)*24+(27/Level!T53)</f>
        <v>2182.6058823529415</v>
      </c>
      <c r="D53" s="62">
        <f t="shared" si="11"/>
        <v>6.6434348579544675</v>
      </c>
      <c r="E53" s="65">
        <f>SUM(D$4:D52)</f>
        <v>158.46476210286386</v>
      </c>
      <c r="F53" s="205">
        <f>Level!M53*VLOOKUP(A53,Plants!$C$4:$AI$47,33)*24*1.15+IF(VLOOKUP(A53,Goals!$AO$4:$AO$120,1)=A53,VLOOKUP(A53,Goals!$AO$4:$AQ$120,3)/D53,0)+VLOOKUP(A53,Level!$A$4:$C$203,3)/D53</f>
        <v>60370.560661764706</v>
      </c>
      <c r="G53" s="71">
        <f>Level!M53*VLOOKUP(A53,Plants!$C$4:$X$47,21)*24</f>
        <v>33600</v>
      </c>
      <c r="H53" s="63">
        <f t="shared" si="12"/>
        <v>0.43154761904761907</v>
      </c>
      <c r="I53" s="64">
        <f>SUM(H$4:H52)</f>
        <v>9.71059065810738</v>
      </c>
      <c r="J53" s="35">
        <f>Level!M53*VLOOKUP(A53,Plants!$C$4:$X$47,22)*24</f>
        <v>302400</v>
      </c>
      <c r="K53" s="239">
        <f t="shared" si="4"/>
        <v>401068</v>
      </c>
      <c r="L53" s="239">
        <f>SUM($K$4:K53)</f>
        <v>7032777</v>
      </c>
      <c r="M53" s="239">
        <f t="shared" si="5"/>
        <v>130500</v>
      </c>
      <c r="N53" s="239">
        <f>SUM($M$4:M53)</f>
        <v>2276928</v>
      </c>
      <c r="O53">
        <f>ROUNDUP(MIN(50,ROUNDUP(A53/3,0),Level!M53)*Plants!Q$4*0.005,0)</f>
        <v>1</v>
      </c>
      <c r="P53">
        <f>ROUNDUP(MAX(4,MIN(A53,VLOOKUP(A53,Level!$A$4:$M$203,13))*MIN(4,ROUNDUP(VLOOKUP(A53,Background!$C$3:$D$52,2)/5,0)))*VLOOKUP(A53,Plants!$C$4:$AJ$53,30)*0.025,0)</f>
        <v>65</v>
      </c>
      <c r="Q53">
        <f t="shared" si="6"/>
        <v>33.5</v>
      </c>
      <c r="R53">
        <f>ROUND(MIN(50,ROUNDUP(A53/3,0),Level!M53)*Plants!R$4,0)</f>
        <v>85</v>
      </c>
      <c r="S53" s="153">
        <f>ROUNDUP(MAX(4,MIN(A53,VLOOKUP(A53,Level!$A$4:$M$203,13))*MIN(4,ROUNDUP(VLOOKUP(A53,Background!$C$3:$D$52,2)/5,0)))*VLOOKUP(A53,Plants!$C$4:$AJ$53,31)*1.25,0)</f>
        <v>70000</v>
      </c>
      <c r="T53" s="153">
        <f t="shared" si="7"/>
        <v>35042.5</v>
      </c>
      <c r="U53">
        <f>SUM($K$4:K53)</f>
        <v>7032777</v>
      </c>
      <c r="V53">
        <f>VLOOKUP(A53,Garden!$B$4:$P$19,15)</f>
        <v>1820400</v>
      </c>
      <c r="W53">
        <f>VLOOKUP(A53,Plots!$B$4:$U$39,20)</f>
        <v>2571200</v>
      </c>
      <c r="X53">
        <f>VLOOKUP(A53,'Decoration Background'!$A$2:$H$200,8)</f>
        <v>3623664</v>
      </c>
      <c r="Y53">
        <f t="shared" si="13"/>
        <v>-982487</v>
      </c>
      <c r="Z53" s="158">
        <f t="shared" si="14"/>
        <v>1.1397011450810968</v>
      </c>
      <c r="AA53">
        <f t="shared" si="15"/>
        <v>-1073370</v>
      </c>
      <c r="AB53" s="170">
        <f>MAX(0,(-Y53)/VLOOKUP($A53,Payment!$A$39:$G$239,7)*100)</f>
        <v>132.76851351351351</v>
      </c>
      <c r="AC53" s="138">
        <f t="shared" si="8"/>
        <v>149.07916666666668</v>
      </c>
      <c r="AD53">
        <f t="shared" si="16"/>
        <v>3825</v>
      </c>
      <c r="AE53">
        <f t="shared" si="9"/>
        <v>16.3</v>
      </c>
      <c r="AF53" s="79">
        <f t="shared" si="10"/>
        <v>19</v>
      </c>
    </row>
    <row r="54" spans="1:32">
      <c r="A54" s="36">
        <v>51</v>
      </c>
      <c r="B54" s="69">
        <f>Level!B55-Level!B54</f>
        <v>15000</v>
      </c>
      <c r="C54" s="73">
        <f>Level!M54*VLOOKUP(A54,Plants!$C$4:$AH$47,32)*24+(27/Level!T54)</f>
        <v>2207.3417475728156</v>
      </c>
      <c r="D54" s="62">
        <f t="shared" si="11"/>
        <v>6.7955041472368025</v>
      </c>
      <c r="E54" s="65">
        <f>SUM(D$4:D53)</f>
        <v>165.10819696081833</v>
      </c>
      <c r="F54" s="205">
        <f>Level!M54*VLOOKUP(A54,Plants!$C$4:$AI$47,33)*24*1.15+IF(VLOOKUP(A54,Goals!$AO$4:$AO$120,1)=A54,VLOOKUP(A54,Goals!$AO$4:$AQ$120,3)/D54,0)+VLOOKUP(A54,Level!$A$4:$C$203,3)/D54</f>
        <v>60850.326566637246</v>
      </c>
      <c r="G54" s="71">
        <f>Level!M54*VLOOKUP(A54,Plants!$C$4:$X$47,21)*24</f>
        <v>33600</v>
      </c>
      <c r="H54" s="63">
        <f t="shared" si="12"/>
        <v>0.44642857142857145</v>
      </c>
      <c r="I54" s="64">
        <f>SUM(H$4:H53)</f>
        <v>10.142138277154999</v>
      </c>
      <c r="J54" s="35">
        <f>Level!M54*VLOOKUP(A54,Plants!$C$4:$X$47,22)*24</f>
        <v>302400</v>
      </c>
      <c r="K54" s="239">
        <f t="shared" si="4"/>
        <v>413509</v>
      </c>
      <c r="L54" s="239">
        <f>SUM($K$4:K54)</f>
        <v>7446286</v>
      </c>
      <c r="M54" s="239">
        <f t="shared" si="5"/>
        <v>135000</v>
      </c>
      <c r="N54" s="239">
        <f>SUM($M$4:M54)</f>
        <v>2411928</v>
      </c>
      <c r="O54">
        <f>ROUNDUP(MIN(50,ROUNDUP(A54/3,0),Level!M54)*Plants!Q$4*0.005,0)</f>
        <v>1</v>
      </c>
      <c r="P54">
        <f>ROUNDUP(MAX(4,MIN(A54,VLOOKUP(A54,Level!$A$4:$M$203,13))*MIN(4,ROUNDUP(VLOOKUP(A54,Background!$C$3:$D$52,2)/5,0)))*VLOOKUP(A54,Plants!$C$4:$AJ$53,30)*0.025,0)</f>
        <v>67</v>
      </c>
      <c r="Q54">
        <f t="shared" si="6"/>
        <v>34.5</v>
      </c>
      <c r="R54">
        <f>ROUND(MIN(50,ROUNDUP(A54/3,0),Level!M54)*Plants!R$4,0)</f>
        <v>85</v>
      </c>
      <c r="S54" s="153">
        <f>ROUNDUP(MAX(4,MIN(A54,VLOOKUP(A54,Level!$A$4:$M$203,13))*MIN(4,ROUNDUP(VLOOKUP(A54,Background!$C$3:$D$52,2)/5,0)))*VLOOKUP(A54,Plants!$C$4:$AJ$53,31)*1.25,0)</f>
        <v>71400</v>
      </c>
      <c r="T54" s="153">
        <f t="shared" si="7"/>
        <v>35742.5</v>
      </c>
      <c r="U54">
        <f>SUM($K$4:K54)</f>
        <v>7446286</v>
      </c>
      <c r="V54">
        <f>VLOOKUP(A54,Garden!$B$4:$P$19,15)</f>
        <v>1820400</v>
      </c>
      <c r="W54">
        <f>VLOOKUP(A54,Plots!$B$4:$U$39,20)</f>
        <v>2571200</v>
      </c>
      <c r="X54">
        <f>VLOOKUP(A54,'Decoration Background'!$A$2:$H$200,8)</f>
        <v>3835833</v>
      </c>
      <c r="Y54">
        <f t="shared" si="13"/>
        <v>-781147</v>
      </c>
      <c r="Z54" s="158">
        <f t="shared" si="14"/>
        <v>1.1049042435383223</v>
      </c>
      <c r="AA54">
        <f t="shared" si="15"/>
        <v>-1073370</v>
      </c>
      <c r="AB54" s="170">
        <f>MAX(0,(-Y54)/VLOOKUP($A54,Payment!$A$39:$G$239,7)*100)</f>
        <v>105.5604054054054</v>
      </c>
      <c r="AC54" s="138">
        <f t="shared" si="8"/>
        <v>149.07916666666668</v>
      </c>
      <c r="AD54">
        <f t="shared" si="16"/>
        <v>3978</v>
      </c>
      <c r="AE54">
        <f t="shared" si="9"/>
        <v>12.8</v>
      </c>
      <c r="AF54" s="79">
        <f t="shared" si="10"/>
        <v>19</v>
      </c>
    </row>
    <row r="55" spans="1:32">
      <c r="A55" s="36">
        <v>52</v>
      </c>
      <c r="B55" s="69">
        <f>Level!B56-Level!B55</f>
        <v>15500</v>
      </c>
      <c r="C55" s="73">
        <f>Level!M55*VLOOKUP(A55,Plants!$C$4:$AH$47,32)*24+(27/Level!T55)</f>
        <v>2207.3417475728156</v>
      </c>
      <c r="D55" s="62">
        <f t="shared" si="11"/>
        <v>7.0220209521446959</v>
      </c>
      <c r="E55" s="65">
        <f>SUM(D$4:D54)</f>
        <v>171.90370110805515</v>
      </c>
      <c r="F55" s="205">
        <f>Level!M55*VLOOKUP(A55,Plants!$C$4:$AI$47,33)*24*1.15+IF(VLOOKUP(A55,Goals!$AO$4:$AO$120,1)=A55,VLOOKUP(A55,Goals!$AO$4:$AQ$120,3)/D55,0)+VLOOKUP(A55,Level!$A$4:$C$203,3)/D55</f>
        <v>60850.326566637246</v>
      </c>
      <c r="G55" s="71">
        <f>Level!M55*VLOOKUP(A55,Plants!$C$4:$X$47,21)*24</f>
        <v>33600</v>
      </c>
      <c r="H55" s="63">
        <f t="shared" si="12"/>
        <v>0.46130952380952384</v>
      </c>
      <c r="I55" s="64">
        <f>SUM(H$4:H54)</f>
        <v>10.58856684858357</v>
      </c>
      <c r="J55" s="35">
        <f>Level!M55*VLOOKUP(A55,Plants!$C$4:$X$47,22)*24</f>
        <v>302400</v>
      </c>
      <c r="K55" s="239">
        <f t="shared" si="4"/>
        <v>427292</v>
      </c>
      <c r="L55" s="239">
        <f>SUM($K$4:K55)</f>
        <v>7873578</v>
      </c>
      <c r="M55" s="239">
        <f t="shared" si="5"/>
        <v>139500</v>
      </c>
      <c r="N55" s="239">
        <f>SUM($M$4:M55)</f>
        <v>2551428</v>
      </c>
      <c r="O55">
        <f>ROUNDUP(MIN(50,ROUNDUP(A55/3,0),Level!M55)*Plants!Q$4*0.005,0)</f>
        <v>1</v>
      </c>
      <c r="P55">
        <f>ROUNDUP(MAX(4,MIN(A55,VLOOKUP(A55,Level!$A$4:$M$203,13))*MIN(4,ROUNDUP(VLOOKUP(A55,Background!$C$3:$D$52,2)/5,0)))*VLOOKUP(A55,Plants!$C$4:$AJ$53,30)*0.025,0)</f>
        <v>68</v>
      </c>
      <c r="Q55">
        <f t="shared" si="6"/>
        <v>35</v>
      </c>
      <c r="R55">
        <f>ROUND(MIN(50,ROUNDUP(A55/3,0),Level!M55)*Plants!R$4,0)</f>
        <v>90</v>
      </c>
      <c r="S55" s="153">
        <f>ROUNDUP(MAX(4,MIN(A55,VLOOKUP(A55,Level!$A$4:$M$203,13))*MIN(4,ROUNDUP(VLOOKUP(A55,Background!$C$3:$D$52,2)/5,0)))*VLOOKUP(A55,Plants!$C$4:$AJ$53,31)*1.25,0)</f>
        <v>72800</v>
      </c>
      <c r="T55" s="153">
        <f t="shared" si="7"/>
        <v>36445</v>
      </c>
      <c r="U55">
        <f>SUM($K$4:K55)</f>
        <v>7873578</v>
      </c>
      <c r="V55">
        <f>VLOOKUP(A55,Garden!$B$4:$P$19,15)</f>
        <v>2770400</v>
      </c>
      <c r="W55">
        <f>VLOOKUP(A55,Plots!$B$4:$U$39,20)</f>
        <v>2571200</v>
      </c>
      <c r="X55">
        <f>VLOOKUP(A55,'Decoration Background'!$A$2:$H$200,8)</f>
        <v>4055652</v>
      </c>
      <c r="Y55">
        <f t="shared" si="13"/>
        <v>-1523674</v>
      </c>
      <c r="Z55" s="158">
        <f t="shared" si="14"/>
        <v>1.1935173564039119</v>
      </c>
      <c r="AA55">
        <f t="shared" si="15"/>
        <v>-1523674</v>
      </c>
      <c r="AB55" s="170">
        <f>MAX(0,(-Y55)/VLOOKUP($A55,Payment!$A$39:$G$239,7)*100)</f>
        <v>200.48342105263157</v>
      </c>
      <c r="AC55" s="138">
        <f t="shared" si="8"/>
        <v>200.48342105263157</v>
      </c>
      <c r="AD55">
        <f t="shared" si="16"/>
        <v>4134</v>
      </c>
      <c r="AE55">
        <f t="shared" si="9"/>
        <v>25</v>
      </c>
      <c r="AF55" s="79">
        <f t="shared" si="10"/>
        <v>25</v>
      </c>
    </row>
    <row r="56" spans="1:32">
      <c r="A56" s="36">
        <v>53</v>
      </c>
      <c r="B56" s="69">
        <f>Level!B57-Level!B56</f>
        <v>16000</v>
      </c>
      <c r="C56" s="73">
        <f>Level!M56*VLOOKUP(A56,Plants!$C$4:$AH$47,32)*24+(27/Level!T56)</f>
        <v>2230.1877758913415</v>
      </c>
      <c r="D56" s="62">
        <f t="shared" si="11"/>
        <v>7.1742837858598083</v>
      </c>
      <c r="E56" s="65">
        <f>SUM(D$4:D55)</f>
        <v>178.92572206019983</v>
      </c>
      <c r="F56" s="205">
        <f>Level!M56*VLOOKUP(A56,Plants!$C$4:$AI$47,33)*24*1.15+IF(VLOOKUP(A56,Goals!$AO$4:$AO$120,1)=A56,VLOOKUP(A56,Goals!$AO$4:$AQ$120,3)/D56,0)+VLOOKUP(A56,Level!$A$4:$C$203,3)/D56</f>
        <v>61354.940577249574</v>
      </c>
      <c r="G56" s="71">
        <f>Level!M56*VLOOKUP(A56,Plants!$C$4:$X$47,21)*24</f>
        <v>33600</v>
      </c>
      <c r="H56" s="63">
        <f t="shared" si="12"/>
        <v>0.47619047619047616</v>
      </c>
      <c r="I56" s="64">
        <f>SUM(H$4:H55)</f>
        <v>11.049876372393094</v>
      </c>
      <c r="J56" s="35">
        <f>Level!M56*VLOOKUP(A56,Plants!$C$4:$X$47,22)*24</f>
        <v>302400</v>
      </c>
      <c r="K56" s="239">
        <f t="shared" si="4"/>
        <v>440178</v>
      </c>
      <c r="L56" s="239">
        <f>SUM($K$4:K56)</f>
        <v>8313756</v>
      </c>
      <c r="M56" s="239">
        <f t="shared" si="5"/>
        <v>144000</v>
      </c>
      <c r="N56" s="239">
        <f>SUM($M$4:M56)</f>
        <v>2695428</v>
      </c>
      <c r="O56">
        <f>ROUNDUP(MIN(50,ROUNDUP(A56/3,0),Level!M56)*Plants!Q$4*0.005,0)</f>
        <v>1</v>
      </c>
      <c r="P56">
        <f>ROUNDUP(MAX(4,MIN(A56,VLOOKUP(A56,Level!$A$4:$M$203,13))*MIN(4,ROUNDUP(VLOOKUP(A56,Background!$C$3:$D$52,2)/5,0)))*VLOOKUP(A56,Plants!$C$4:$AJ$53,30)*0.025,0)</f>
        <v>69</v>
      </c>
      <c r="Q56">
        <f t="shared" si="6"/>
        <v>35.5</v>
      </c>
      <c r="R56">
        <f>ROUND(MIN(50,ROUNDUP(A56/3,0),Level!M56)*Plants!R$4,0)</f>
        <v>90</v>
      </c>
      <c r="S56" s="153">
        <f>ROUNDUP(MAX(4,MIN(A56,VLOOKUP(A56,Level!$A$4:$M$203,13))*MIN(4,ROUNDUP(VLOOKUP(A56,Background!$C$3:$D$52,2)/5,0)))*VLOOKUP(A56,Plants!$C$4:$AJ$53,31)*1.25,0)</f>
        <v>74200</v>
      </c>
      <c r="T56" s="153">
        <f t="shared" si="7"/>
        <v>37145</v>
      </c>
      <c r="U56">
        <f>SUM($K$4:K56)</f>
        <v>8313756</v>
      </c>
      <c r="V56">
        <f>VLOOKUP(A56,Garden!$B$4:$P$19,15)</f>
        <v>2770400</v>
      </c>
      <c r="W56">
        <f>VLOOKUP(A56,Plots!$B$4:$U$39,20)</f>
        <v>2571200</v>
      </c>
      <c r="X56">
        <f>VLOOKUP(A56,'Decoration Background'!$A$2:$H$200,8)</f>
        <v>4283271</v>
      </c>
      <c r="Y56">
        <f t="shared" si="13"/>
        <v>-1311115</v>
      </c>
      <c r="Z56" s="158">
        <f t="shared" si="14"/>
        <v>1.1577042915380245</v>
      </c>
      <c r="AA56">
        <f t="shared" si="15"/>
        <v>-1523674</v>
      </c>
      <c r="AB56" s="170">
        <f>MAX(0,(-Y56)/VLOOKUP($A56,Payment!$A$39:$G$239,7)*100)</f>
        <v>172.51513157894738</v>
      </c>
      <c r="AC56" s="138">
        <f t="shared" si="8"/>
        <v>200.48342105263157</v>
      </c>
      <c r="AD56">
        <f t="shared" si="16"/>
        <v>4293</v>
      </c>
      <c r="AE56">
        <f t="shared" si="9"/>
        <v>21.4</v>
      </c>
      <c r="AF56" s="79">
        <f t="shared" si="10"/>
        <v>25</v>
      </c>
    </row>
    <row r="57" spans="1:32">
      <c r="A57" s="36">
        <v>54</v>
      </c>
      <c r="B57" s="69">
        <f>Level!B58-Level!B57</f>
        <v>16500</v>
      </c>
      <c r="C57" s="73">
        <f>Level!M57*VLOOKUP(A57,Plants!$C$4:$AH$47,32)*24+(27/Level!T57)</f>
        <v>2357.3185059422754</v>
      </c>
      <c r="D57" s="62">
        <f t="shared" si="11"/>
        <v>6.999478415159925</v>
      </c>
      <c r="E57" s="65">
        <f>SUM(D$4:D56)</f>
        <v>186.10000584605964</v>
      </c>
      <c r="F57" s="205">
        <f>Level!M57*VLOOKUP(A57,Plants!$C$4:$AI$47,33)*24*1.15+IF(VLOOKUP(A57,Goals!$AO$4:$AO$120,1)=A57,VLOOKUP(A57,Goals!$AO$4:$AQ$120,3)/D57,0)+VLOOKUP(A57,Level!$A$4:$C$203,3)/D57</f>
        <v>64860.937181663838</v>
      </c>
      <c r="G57" s="71">
        <f>Level!M57*VLOOKUP(A57,Plants!$C$4:$X$47,21)*24</f>
        <v>35520</v>
      </c>
      <c r="H57" s="63">
        <f t="shared" si="12"/>
        <v>0.46452702702702703</v>
      </c>
      <c r="I57" s="64">
        <f>SUM(H$4:H56)</f>
        <v>11.52606684858357</v>
      </c>
      <c r="J57" s="35">
        <f>Level!M57*VLOOKUP(A57,Plants!$C$4:$X$47,22)*24</f>
        <v>319680</v>
      </c>
      <c r="K57" s="239">
        <f t="shared" si="4"/>
        <v>453993</v>
      </c>
      <c r="L57" s="239">
        <f>SUM($K$4:K57)</f>
        <v>8767749</v>
      </c>
      <c r="M57" s="239">
        <f t="shared" si="5"/>
        <v>148500</v>
      </c>
      <c r="N57" s="239">
        <f>SUM($M$4:M57)</f>
        <v>2843928</v>
      </c>
      <c r="O57">
        <f>ROUNDUP(MIN(50,ROUNDUP(A57/3,0),Level!M57)*Plants!Q$4*0.005,0)</f>
        <v>1</v>
      </c>
      <c r="P57">
        <f>ROUNDUP(MAX(4,MIN(A57,VLOOKUP(A57,Level!$A$4:$M$203,13))*MIN(4,ROUNDUP(VLOOKUP(A57,Background!$C$3:$D$52,2)/5,0)))*VLOOKUP(A57,Plants!$C$4:$AJ$53,30)*0.025,0)</f>
        <v>71</v>
      </c>
      <c r="Q57">
        <f t="shared" si="6"/>
        <v>36.5</v>
      </c>
      <c r="R57">
        <f>ROUND(MIN(50,ROUNDUP(A57/3,0),Level!M57)*Plants!R$4,0)</f>
        <v>90</v>
      </c>
      <c r="S57" s="153">
        <f>ROUNDUP(MAX(4,MIN(A57,VLOOKUP(A57,Level!$A$4:$M$203,13))*MIN(4,ROUNDUP(VLOOKUP(A57,Background!$C$3:$D$52,2)/5,0)))*VLOOKUP(A57,Plants!$C$4:$AJ$53,31)*1.25,0)</f>
        <v>75600</v>
      </c>
      <c r="T57" s="153">
        <f t="shared" si="7"/>
        <v>37845</v>
      </c>
      <c r="U57">
        <f>SUM($K$4:K57)</f>
        <v>8767749</v>
      </c>
      <c r="V57">
        <f>VLOOKUP(A57,Garden!$B$4:$P$19,15)</f>
        <v>2770400</v>
      </c>
      <c r="W57">
        <f>VLOOKUP(A57,Plots!$B$4:$U$39,20)</f>
        <v>3121200</v>
      </c>
      <c r="X57">
        <f>VLOOKUP(A57,'Decoration Background'!$A$2:$H$200,8)</f>
        <v>4518840</v>
      </c>
      <c r="Y57">
        <f t="shared" si="13"/>
        <v>-1642691</v>
      </c>
      <c r="Z57" s="158">
        <f t="shared" si="14"/>
        <v>1.1873560705261978</v>
      </c>
      <c r="AA57">
        <f t="shared" si="15"/>
        <v>-1642691</v>
      </c>
      <c r="AB57" s="170">
        <f>MAX(0,(-Y57)/VLOOKUP($A57,Payment!$A$39:$G$239,7)*100)</f>
        <v>216.14355263157896</v>
      </c>
      <c r="AC57" s="138">
        <f t="shared" si="8"/>
        <v>216.14355263157896</v>
      </c>
      <c r="AD57">
        <f t="shared" si="16"/>
        <v>4455</v>
      </c>
      <c r="AE57">
        <f t="shared" si="9"/>
        <v>25.3</v>
      </c>
      <c r="AF57" s="79">
        <f t="shared" si="10"/>
        <v>25.3</v>
      </c>
    </row>
    <row r="58" spans="1:32">
      <c r="A58" s="36">
        <v>55</v>
      </c>
      <c r="B58" s="69">
        <f>Level!B59-Level!B58</f>
        <v>17000</v>
      </c>
      <c r="C58" s="73">
        <f>Level!M58*VLOOKUP(A58,Plants!$C$4:$AH$47,32)*24+(27/Level!T58)</f>
        <v>2379.6927228127556</v>
      </c>
      <c r="D58" s="62">
        <f t="shared" si="11"/>
        <v>7.1437794623779389</v>
      </c>
      <c r="E58" s="65">
        <f>SUM(D$4:D57)</f>
        <v>193.09948426121957</v>
      </c>
      <c r="F58" s="205">
        <f>Level!M58*VLOOKUP(A58,Plants!$C$4:$AI$47,33)*24*1.15+IF(VLOOKUP(A58,Goals!$AO$4:$AO$120,1)=A58,VLOOKUP(A58,Goals!$AO$4:$AQ$120,3)/D58,0)+VLOOKUP(A58,Level!$A$4:$C$203,3)/D58</f>
        <v>65355.130008176609</v>
      </c>
      <c r="G58" s="71">
        <f>Level!M58*VLOOKUP(A58,Plants!$C$4:$X$47,21)*24</f>
        <v>35520</v>
      </c>
      <c r="H58" s="63">
        <f t="shared" si="12"/>
        <v>0.4786036036036036</v>
      </c>
      <c r="I58" s="64">
        <f>SUM(H$4:H57)</f>
        <v>11.990593875610596</v>
      </c>
      <c r="J58" s="35">
        <f>Level!M58*VLOOKUP(A58,Plants!$C$4:$X$47,22)*24</f>
        <v>319680</v>
      </c>
      <c r="K58" s="239">
        <f t="shared" si="4"/>
        <v>466883</v>
      </c>
      <c r="L58" s="239">
        <f>SUM($K$4:K58)</f>
        <v>9234632</v>
      </c>
      <c r="M58" s="239">
        <f t="shared" si="5"/>
        <v>153000</v>
      </c>
      <c r="N58" s="239">
        <f>SUM($M$4:M58)</f>
        <v>2996928</v>
      </c>
      <c r="O58">
        <f>ROUNDUP(MIN(50,ROUNDUP(A58/3,0),Level!M58)*Plants!Q$4*0.005,0)</f>
        <v>1</v>
      </c>
      <c r="P58">
        <f>ROUNDUP(MAX(4,MIN(A58,VLOOKUP(A58,Level!$A$4:$M$203,13))*MIN(4,ROUNDUP(VLOOKUP(A58,Background!$C$3:$D$52,2)/5,0)))*VLOOKUP(A58,Plants!$C$4:$AJ$53,30)*0.025,0)</f>
        <v>72</v>
      </c>
      <c r="Q58">
        <f t="shared" si="6"/>
        <v>37</v>
      </c>
      <c r="R58">
        <f>ROUND(MIN(50,ROUNDUP(A58/3,0),Level!M58)*Plants!R$4,0)</f>
        <v>95</v>
      </c>
      <c r="S58" s="153">
        <f>ROUNDUP(MAX(4,MIN(A58,VLOOKUP(A58,Level!$A$4:$M$203,13))*MIN(4,ROUNDUP(VLOOKUP(A58,Background!$C$3:$D$52,2)/5,0)))*VLOOKUP(A58,Plants!$C$4:$AJ$53,31)*1.25,0)</f>
        <v>77000</v>
      </c>
      <c r="T58" s="153">
        <f t="shared" si="7"/>
        <v>38547.5</v>
      </c>
      <c r="U58">
        <f>SUM($K$4:K58)</f>
        <v>9234632</v>
      </c>
      <c r="V58">
        <f>VLOOKUP(A58,Garden!$B$4:$P$19,15)</f>
        <v>2770400</v>
      </c>
      <c r="W58">
        <f>VLOOKUP(A58,Plots!$B$4:$U$39,20)</f>
        <v>3121200</v>
      </c>
      <c r="X58">
        <f>VLOOKUP(A58,'Decoration Background'!$A$2:$H$200,8)</f>
        <v>4762509</v>
      </c>
      <c r="Y58">
        <f t="shared" si="13"/>
        <v>-1419477</v>
      </c>
      <c r="Z58" s="158">
        <f t="shared" si="14"/>
        <v>1.1537123515046404</v>
      </c>
      <c r="AA58">
        <f t="shared" si="15"/>
        <v>-1642691</v>
      </c>
      <c r="AB58" s="170">
        <f>MAX(0,(-Y58)/VLOOKUP($A58,Payment!$A$39:$G$239,7)*100)</f>
        <v>186.7732894736842</v>
      </c>
      <c r="AC58" s="138">
        <f t="shared" si="8"/>
        <v>216.14355263157896</v>
      </c>
      <c r="AD58">
        <f t="shared" si="16"/>
        <v>4620</v>
      </c>
      <c r="AE58">
        <f t="shared" si="9"/>
        <v>21.7</v>
      </c>
      <c r="AF58" s="79">
        <f t="shared" si="10"/>
        <v>25.3</v>
      </c>
    </row>
    <row r="59" spans="1:32">
      <c r="A59" s="36">
        <v>56</v>
      </c>
      <c r="B59" s="69">
        <f>Level!B60-Level!B59</f>
        <v>17500</v>
      </c>
      <c r="C59" s="73">
        <f>Level!M59*VLOOKUP(A59,Plants!$C$4:$AH$47,32)*24+(27/Level!T59)</f>
        <v>2379.6927228127556</v>
      </c>
      <c r="D59" s="62">
        <f t="shared" si="11"/>
        <v>7.3538906230361132</v>
      </c>
      <c r="E59" s="65">
        <f>SUM(D$4:D58)</f>
        <v>200.24326372359752</v>
      </c>
      <c r="F59" s="205">
        <f>Level!M59*VLOOKUP(A59,Plants!$C$4:$AI$47,33)*24*1.15+IF(VLOOKUP(A59,Goals!$AO$4:$AO$120,1)=A59,VLOOKUP(A59,Goals!$AO$4:$AQ$120,3)/D59,0)+VLOOKUP(A59,Level!$A$4:$C$203,3)/D59</f>
        <v>65355.130008176609</v>
      </c>
      <c r="G59" s="71">
        <f>Level!M59*VLOOKUP(A59,Plants!$C$4:$X$47,21)*24</f>
        <v>35520</v>
      </c>
      <c r="H59" s="63">
        <f t="shared" si="12"/>
        <v>0.49268018018018017</v>
      </c>
      <c r="I59" s="64">
        <f>SUM(H$4:H58)</f>
        <v>12.4691974792142</v>
      </c>
      <c r="J59" s="35">
        <f>Level!M59*VLOOKUP(A59,Plants!$C$4:$X$47,22)*24</f>
        <v>319680</v>
      </c>
      <c r="K59" s="239">
        <f t="shared" si="4"/>
        <v>480614</v>
      </c>
      <c r="L59" s="239">
        <f>SUM($K$4:K59)</f>
        <v>9715246</v>
      </c>
      <c r="M59" s="239">
        <f t="shared" si="5"/>
        <v>157500</v>
      </c>
      <c r="N59" s="239">
        <f>SUM($M$4:M59)</f>
        <v>3154428</v>
      </c>
      <c r="O59">
        <f>ROUNDUP(MIN(50,ROUNDUP(A59/3,0),Level!M59)*Plants!Q$4*0.005,0)</f>
        <v>1</v>
      </c>
      <c r="P59">
        <f>ROUNDUP(MAX(4,MIN(A59,VLOOKUP(A59,Level!$A$4:$M$203,13))*MIN(4,ROUNDUP(VLOOKUP(A59,Background!$C$3:$D$52,2)/5,0)))*VLOOKUP(A59,Plants!$C$4:$AJ$53,30)*0.025,0)</f>
        <v>73</v>
      </c>
      <c r="Q59">
        <f t="shared" si="6"/>
        <v>37.5</v>
      </c>
      <c r="R59">
        <f>ROUND(MIN(50,ROUNDUP(A59/3,0),Level!M59)*Plants!R$4,0)</f>
        <v>95</v>
      </c>
      <c r="S59" s="153">
        <f>ROUNDUP(MAX(4,MIN(A59,VLOOKUP(A59,Level!$A$4:$M$203,13))*MIN(4,ROUNDUP(VLOOKUP(A59,Background!$C$3:$D$52,2)/5,0)))*VLOOKUP(A59,Plants!$C$4:$AJ$53,31)*1.25,0)</f>
        <v>78400</v>
      </c>
      <c r="T59" s="153">
        <f t="shared" si="7"/>
        <v>39247.5</v>
      </c>
      <c r="U59">
        <f>SUM($K$4:K59)</f>
        <v>9715246</v>
      </c>
      <c r="V59">
        <f>VLOOKUP(A59,Garden!$B$4:$P$19,15)</f>
        <v>2770400</v>
      </c>
      <c r="W59">
        <f>VLOOKUP(A59,Plots!$B$4:$U$39,20)</f>
        <v>3121200</v>
      </c>
      <c r="X59">
        <f>VLOOKUP(A59,'Decoration Background'!$A$2:$H$200,8)</f>
        <v>5014428</v>
      </c>
      <c r="Y59">
        <f t="shared" si="13"/>
        <v>-1190782</v>
      </c>
      <c r="Z59" s="158">
        <f t="shared" si="14"/>
        <v>1.1225683837547706</v>
      </c>
      <c r="AA59">
        <f t="shared" si="15"/>
        <v>-1642691</v>
      </c>
      <c r="AB59" s="170">
        <f>MAX(0,(-Y59)/VLOOKUP($A59,Payment!$A$39:$G$239,7)*100)</f>
        <v>152.66435897435898</v>
      </c>
      <c r="AC59" s="138">
        <f t="shared" si="8"/>
        <v>216.14355263157896</v>
      </c>
      <c r="AD59">
        <f t="shared" si="16"/>
        <v>4788</v>
      </c>
      <c r="AE59">
        <f t="shared" si="9"/>
        <v>18.2</v>
      </c>
      <c r="AF59" s="79">
        <f t="shared" si="10"/>
        <v>25.3</v>
      </c>
    </row>
    <row r="60" spans="1:32">
      <c r="A60" s="36">
        <v>57</v>
      </c>
      <c r="B60" s="69">
        <f>Level!B61-Level!B60</f>
        <v>18000</v>
      </c>
      <c r="C60" s="73">
        <f>Level!M60*VLOOKUP(A60,Plants!$C$4:$AH$47,32)*24+(27/Level!T60)</f>
        <v>2529.9425867507889</v>
      </c>
      <c r="D60" s="62">
        <f t="shared" si="11"/>
        <v>7.1147859616519762</v>
      </c>
      <c r="E60" s="65">
        <f>SUM(D$4:D59)</f>
        <v>207.59715434663363</v>
      </c>
      <c r="F60" s="205">
        <f>Level!M60*VLOOKUP(A60,Plants!$C$4:$AI$47,33)*24*1.15+IF(VLOOKUP(A60,Goals!$AO$4:$AO$120,1)=A60,VLOOKUP(A60,Goals!$AO$4:$AQ$120,3)/D60,0)+VLOOKUP(A60,Level!$A$4:$C$203,3)/D60</f>
        <v>69435.440063091475</v>
      </c>
      <c r="G60" s="71">
        <f>Level!M60*VLOOKUP(A60,Plants!$C$4:$X$47,21)*24</f>
        <v>37440</v>
      </c>
      <c r="H60" s="63">
        <f t="shared" si="12"/>
        <v>0.48076923076923078</v>
      </c>
      <c r="I60" s="64">
        <f>SUM(H$4:H59)</f>
        <v>12.96187765939438</v>
      </c>
      <c r="J60" s="35">
        <f>Level!M60*VLOOKUP(A60,Plants!$C$4:$X$47,22)*24</f>
        <v>336960</v>
      </c>
      <c r="K60" s="239">
        <f t="shared" si="4"/>
        <v>494018</v>
      </c>
      <c r="L60" s="239">
        <f>SUM($K$4:K60)</f>
        <v>10209264</v>
      </c>
      <c r="M60" s="239">
        <f t="shared" si="5"/>
        <v>162000</v>
      </c>
      <c r="N60" s="239">
        <f>SUM($M$4:M60)</f>
        <v>3316428</v>
      </c>
      <c r="O60">
        <f>ROUNDUP(MIN(50,ROUNDUP(A60/3,0),Level!M60)*Plants!Q$4*0.005,0)</f>
        <v>1</v>
      </c>
      <c r="P60">
        <f>ROUNDUP(MAX(4,MIN(A60,VLOOKUP(A60,Level!$A$4:$M$203,13))*MIN(4,ROUNDUP(VLOOKUP(A60,Background!$C$3:$D$52,2)/5,0)))*VLOOKUP(A60,Plants!$C$4:$AJ$53,30)*0.025,0)</f>
        <v>75</v>
      </c>
      <c r="Q60">
        <f t="shared" si="6"/>
        <v>38.5</v>
      </c>
      <c r="R60">
        <f>ROUND(MIN(50,ROUNDUP(A60/3,0),Level!M60)*Plants!R$4,0)</f>
        <v>95</v>
      </c>
      <c r="S60" s="153">
        <f>ROUNDUP(MAX(4,MIN(A60,VLOOKUP(A60,Level!$A$4:$M$203,13))*MIN(4,ROUNDUP(VLOOKUP(A60,Background!$C$3:$D$52,2)/5,0)))*VLOOKUP(A60,Plants!$C$4:$AJ$53,31)*1.25,0)</f>
        <v>79800</v>
      </c>
      <c r="T60" s="153">
        <f t="shared" si="7"/>
        <v>39947.5</v>
      </c>
      <c r="U60">
        <f>SUM($K$4:K60)</f>
        <v>10209264</v>
      </c>
      <c r="V60">
        <f>VLOOKUP(A60,Garden!$B$4:$P$19,15)</f>
        <v>2770400</v>
      </c>
      <c r="W60">
        <f>VLOOKUP(A60,Plots!$B$4:$U$39,20)</f>
        <v>3701200</v>
      </c>
      <c r="X60">
        <f>VLOOKUP(A60,'Decoration Background'!$A$2:$H$200,8)</f>
        <v>5274747</v>
      </c>
      <c r="Y60">
        <f t="shared" si="13"/>
        <v>-1537083</v>
      </c>
      <c r="Z60" s="158">
        <f t="shared" si="14"/>
        <v>1.1505576699750344</v>
      </c>
      <c r="AA60">
        <f t="shared" si="15"/>
        <v>-1642691</v>
      </c>
      <c r="AB60" s="170">
        <f>MAX(0,(-Y60)/VLOOKUP($A60,Payment!$A$39:$G$239,7)*100)</f>
        <v>197.06192307692308</v>
      </c>
      <c r="AC60" s="138">
        <f t="shared" si="8"/>
        <v>216.14355263157896</v>
      </c>
      <c r="AD60">
        <f t="shared" si="16"/>
        <v>4959</v>
      </c>
      <c r="AE60">
        <f t="shared" si="9"/>
        <v>22.1</v>
      </c>
      <c r="AF60" s="79">
        <f t="shared" si="10"/>
        <v>25.3</v>
      </c>
    </row>
    <row r="61" spans="1:32">
      <c r="A61" s="36">
        <v>58</v>
      </c>
      <c r="B61" s="69">
        <f>Level!B62-Level!B61</f>
        <v>18500</v>
      </c>
      <c r="C61" s="73">
        <f>Level!M61*VLOOKUP(A61,Plants!$C$4:$AH$47,32)*24+(27/Level!T61)</f>
        <v>2529.9425867507889</v>
      </c>
      <c r="D61" s="62">
        <f t="shared" si="11"/>
        <v>7.3124189050311976</v>
      </c>
      <c r="E61" s="65">
        <f>SUM(D$4:D60)</f>
        <v>214.71194030828562</v>
      </c>
      <c r="F61" s="205">
        <f>Level!M61*VLOOKUP(A61,Plants!$C$4:$AI$47,33)*24*1.15+IF(VLOOKUP(A61,Goals!$AO$4:$AO$120,1)=A61,VLOOKUP(A61,Goals!$AO$4:$AQ$120,3)/D61,0)+VLOOKUP(A61,Level!$A$4:$C$203,3)/D61</f>
        <v>69435.440063091475</v>
      </c>
      <c r="G61" s="71">
        <f>Level!M61*VLOOKUP(A61,Plants!$C$4:$X$47,21)*24</f>
        <v>37440</v>
      </c>
      <c r="H61" s="63">
        <f t="shared" si="12"/>
        <v>0.49412393162393164</v>
      </c>
      <c r="I61" s="64">
        <f>SUM(H$4:H60)</f>
        <v>13.44264689016361</v>
      </c>
      <c r="J61" s="35">
        <f>Level!M61*VLOOKUP(A61,Plants!$C$4:$X$47,22)*24</f>
        <v>336960</v>
      </c>
      <c r="K61" s="239">
        <f t="shared" si="4"/>
        <v>507741</v>
      </c>
      <c r="L61" s="239">
        <f>SUM($K$4:K61)</f>
        <v>10717005</v>
      </c>
      <c r="M61" s="239">
        <f t="shared" si="5"/>
        <v>166500</v>
      </c>
      <c r="N61" s="239">
        <f>SUM($M$4:M61)</f>
        <v>3482928</v>
      </c>
      <c r="O61">
        <f>ROUNDUP(MIN(50,ROUNDUP(A61/3,0),Level!M61)*Plants!Q$4*0.005,0)</f>
        <v>1</v>
      </c>
      <c r="P61">
        <f>ROUNDUP(MAX(4,MIN(A61,VLOOKUP(A61,Level!$A$4:$M$203,13))*MIN(4,ROUNDUP(VLOOKUP(A61,Background!$C$3:$D$52,2)/5,0)))*VLOOKUP(A61,Plants!$C$4:$AJ$53,30)*0.025,0)</f>
        <v>76</v>
      </c>
      <c r="Q61">
        <f t="shared" si="6"/>
        <v>39</v>
      </c>
      <c r="R61">
        <f>ROUND(MIN(50,ROUNDUP(A61/3,0),Level!M61)*Plants!R$4,0)</f>
        <v>100</v>
      </c>
      <c r="S61" s="153">
        <f>ROUNDUP(MAX(4,MIN(A61,VLOOKUP(A61,Level!$A$4:$M$203,13))*MIN(4,ROUNDUP(VLOOKUP(A61,Background!$C$3:$D$52,2)/5,0)))*VLOOKUP(A61,Plants!$C$4:$AJ$53,31)*1.25,0)</f>
        <v>81200</v>
      </c>
      <c r="T61" s="153">
        <f t="shared" si="7"/>
        <v>40650</v>
      </c>
      <c r="U61">
        <f>SUM($K$4:K61)</f>
        <v>10717005</v>
      </c>
      <c r="V61">
        <f>VLOOKUP(A61,Garden!$B$4:$P$19,15)</f>
        <v>2770400</v>
      </c>
      <c r="W61">
        <f>VLOOKUP(A61,Plots!$B$4:$U$39,20)</f>
        <v>3701200</v>
      </c>
      <c r="X61">
        <f>VLOOKUP(A61,'Decoration Background'!$A$2:$H$200,8)</f>
        <v>5543616</v>
      </c>
      <c r="Y61">
        <f t="shared" si="13"/>
        <v>-1298211</v>
      </c>
      <c r="Z61" s="158">
        <f t="shared" si="14"/>
        <v>1.1211356157807149</v>
      </c>
      <c r="AA61">
        <f t="shared" si="15"/>
        <v>-1642691</v>
      </c>
      <c r="AB61" s="170">
        <f>MAX(0,(-Y61)/VLOOKUP($A61,Payment!$A$39:$G$239,7)*100)</f>
        <v>166.43730769230768</v>
      </c>
      <c r="AC61" s="138">
        <f t="shared" si="8"/>
        <v>216.14355263157896</v>
      </c>
      <c r="AD61">
        <f t="shared" si="16"/>
        <v>5133</v>
      </c>
      <c r="AE61">
        <f t="shared" si="9"/>
        <v>18.7</v>
      </c>
      <c r="AF61" s="79">
        <f t="shared" si="10"/>
        <v>25.3</v>
      </c>
    </row>
    <row r="62" spans="1:32">
      <c r="A62" s="36">
        <v>59</v>
      </c>
      <c r="B62" s="69">
        <f>Level!B63-Level!B62</f>
        <v>19000</v>
      </c>
      <c r="C62" s="73">
        <f>Level!M62*VLOOKUP(A62,Plants!$C$4:$AH$47,32)*24+(27/Level!T62)</f>
        <v>2561.043564356436</v>
      </c>
      <c r="D62" s="62">
        <f t="shared" si="11"/>
        <v>7.418850762413526</v>
      </c>
      <c r="E62" s="65">
        <f>SUM(D$4:D61)</f>
        <v>222.02435921331681</v>
      </c>
      <c r="F62" s="205">
        <f>Level!M62*VLOOKUP(A62,Plants!$C$4:$AI$47,33)*24*1.15+IF(VLOOKUP(A62,Goals!$AO$4:$AO$120,1)=A62,VLOOKUP(A62,Goals!$AO$4:$AQ$120,3)/D62,0)+VLOOKUP(A62,Level!$A$4:$C$203,3)/D62</f>
        <v>70006.990099009883</v>
      </c>
      <c r="G62" s="71">
        <f>Level!M62*VLOOKUP(A62,Plants!$C$4:$X$47,21)*24</f>
        <v>37440</v>
      </c>
      <c r="H62" s="63">
        <f t="shared" si="12"/>
        <v>0.50747863247863245</v>
      </c>
      <c r="I62" s="64">
        <f>SUM(H$4:H61)</f>
        <v>13.936770821787542</v>
      </c>
      <c r="J62" s="35">
        <f>Level!M62*VLOOKUP(A62,Plants!$C$4:$X$47,22)*24</f>
        <v>336960</v>
      </c>
      <c r="K62" s="239">
        <f t="shared" si="4"/>
        <v>519371</v>
      </c>
      <c r="L62" s="239">
        <f>SUM($K$4:K62)</f>
        <v>11236376</v>
      </c>
      <c r="M62" s="239">
        <f t="shared" si="5"/>
        <v>171000</v>
      </c>
      <c r="N62" s="239">
        <f>SUM($M$4:M62)</f>
        <v>3653928</v>
      </c>
      <c r="O62">
        <f>ROUNDUP(MIN(50,ROUNDUP(A62/3,0),Level!M62)*Plants!Q$4*0.005,0)</f>
        <v>1</v>
      </c>
      <c r="P62">
        <f>ROUNDUP(MAX(4,MIN(A62,VLOOKUP(A62,Level!$A$4:$M$203,13))*MIN(4,ROUNDUP(VLOOKUP(A62,Background!$C$3:$D$52,2)/5,0)))*VLOOKUP(A62,Plants!$C$4:$AJ$53,30)*0.025,0)</f>
        <v>77</v>
      </c>
      <c r="Q62">
        <f t="shared" si="6"/>
        <v>39.5</v>
      </c>
      <c r="R62">
        <f>ROUND(MIN(50,ROUNDUP(A62/3,0),Level!M62)*Plants!R$4,0)</f>
        <v>100</v>
      </c>
      <c r="S62" s="153">
        <f>ROUNDUP(MAX(4,MIN(A62,VLOOKUP(A62,Level!$A$4:$M$203,13))*MIN(4,ROUNDUP(VLOOKUP(A62,Background!$C$3:$D$52,2)/5,0)))*VLOOKUP(A62,Plants!$C$4:$AJ$53,31)*1.25,0)</f>
        <v>82600</v>
      </c>
      <c r="T62" s="153">
        <f t="shared" si="7"/>
        <v>41350</v>
      </c>
      <c r="U62">
        <f>SUM($K$4:K62)</f>
        <v>11236376</v>
      </c>
      <c r="V62">
        <f>VLOOKUP(A62,Garden!$B$4:$P$19,15)</f>
        <v>3970400</v>
      </c>
      <c r="W62">
        <f>VLOOKUP(A62,Plots!$B$4:$U$39,20)</f>
        <v>3701200</v>
      </c>
      <c r="X62">
        <f>VLOOKUP(A62,'Decoration Background'!$A$2:$H$200,8)</f>
        <v>5821185</v>
      </c>
      <c r="Y62">
        <f t="shared" si="13"/>
        <v>-2256409</v>
      </c>
      <c r="Z62" s="158">
        <f t="shared" si="14"/>
        <v>1.200812877746348</v>
      </c>
      <c r="AA62">
        <f t="shared" si="15"/>
        <v>-2256409</v>
      </c>
      <c r="AB62" s="170">
        <f>MAX(0,(-Y62)/VLOOKUP($A62,Payment!$A$39:$G$239,7)*100)</f>
        <v>289.28320512820511</v>
      </c>
      <c r="AC62" s="138">
        <f t="shared" si="8"/>
        <v>289.28320512820511</v>
      </c>
      <c r="AD62">
        <f t="shared" si="16"/>
        <v>5310</v>
      </c>
      <c r="AE62">
        <f t="shared" si="9"/>
        <v>32.200000000000003</v>
      </c>
      <c r="AF62" s="79">
        <f t="shared" si="10"/>
        <v>32.200000000000003</v>
      </c>
    </row>
    <row r="63" spans="1:32">
      <c r="A63" s="36">
        <v>60</v>
      </c>
      <c r="B63" s="69">
        <f>Level!B64-Level!B63</f>
        <v>19500</v>
      </c>
      <c r="C63" s="73">
        <f>Level!M63*VLOOKUP(A63,Plants!$C$4:$AH$47,32)*24+(27/Level!T63)</f>
        <v>2561.043564356436</v>
      </c>
      <c r="D63" s="62">
        <f t="shared" si="11"/>
        <v>7.6140836772138822</v>
      </c>
      <c r="E63" s="65">
        <f>SUM(D$4:D62)</f>
        <v>229.44320997573033</v>
      </c>
      <c r="F63" s="205">
        <f>Level!M63*VLOOKUP(A63,Plants!$C$4:$AI$47,33)*24*1.15+IF(VLOOKUP(A63,Goals!$AO$4:$AO$120,1)=A63,VLOOKUP(A63,Goals!$AO$4:$AQ$120,3)/D63,0)+VLOOKUP(A63,Level!$A$4:$C$203,3)/D63</f>
        <v>70006.990099009883</v>
      </c>
      <c r="G63" s="71">
        <f>Level!M63*VLOOKUP(A63,Plants!$C$4:$X$47,21)*24</f>
        <v>37440</v>
      </c>
      <c r="H63" s="63">
        <f t="shared" si="12"/>
        <v>0.52083333333333337</v>
      </c>
      <c r="I63" s="64">
        <f>SUM(H$4:H62)</f>
        <v>14.444249454266174</v>
      </c>
      <c r="J63" s="35">
        <f>Level!M63*VLOOKUP(A63,Plants!$C$4:$X$47,22)*24</f>
        <v>336960</v>
      </c>
      <c r="K63" s="239">
        <f t="shared" si="4"/>
        <v>533039</v>
      </c>
      <c r="L63" s="239">
        <f>SUM($K$4:K63)</f>
        <v>11769415</v>
      </c>
      <c r="M63" s="239">
        <f t="shared" si="5"/>
        <v>175500</v>
      </c>
      <c r="N63" s="239">
        <f>SUM($M$4:M63)</f>
        <v>3829428</v>
      </c>
      <c r="O63">
        <f>ROUNDUP(MIN(50,ROUNDUP(A63/3,0),Level!M63)*Plants!Q$4*0.005,0)</f>
        <v>1</v>
      </c>
      <c r="P63">
        <f>ROUNDUP(MAX(4,MIN(A63,VLOOKUP(A63,Level!$A$4:$M$203,13))*MIN(4,ROUNDUP(VLOOKUP(A63,Background!$C$3:$D$52,2)/5,0)))*VLOOKUP(A63,Plants!$C$4:$AJ$53,30)*0.025,0)</f>
        <v>78</v>
      </c>
      <c r="Q63">
        <f t="shared" si="6"/>
        <v>40</v>
      </c>
      <c r="R63">
        <f>ROUND(MIN(50,ROUNDUP(A63/3,0),Level!M63)*Plants!R$4,0)</f>
        <v>100</v>
      </c>
      <c r="S63" s="153">
        <f>ROUNDUP(MAX(4,MIN(A63,VLOOKUP(A63,Level!$A$4:$M$203,13))*MIN(4,ROUNDUP(VLOOKUP(A63,Background!$C$3:$D$52,2)/5,0)))*VLOOKUP(A63,Plants!$C$4:$AJ$53,31)*1.25,0)</f>
        <v>84000</v>
      </c>
      <c r="T63" s="153">
        <f t="shared" si="7"/>
        <v>42050</v>
      </c>
      <c r="U63">
        <f>SUM($K$4:K63)</f>
        <v>11769415</v>
      </c>
      <c r="V63">
        <f>VLOOKUP(A63,Garden!$B$4:$P$19,15)</f>
        <v>3970400</v>
      </c>
      <c r="W63">
        <f>VLOOKUP(A63,Plots!$B$4:$U$39,20)</f>
        <v>3701200</v>
      </c>
      <c r="X63">
        <f>VLOOKUP(A63,'Decoration Background'!$A$2:$H$200,8)</f>
        <v>6107604</v>
      </c>
      <c r="Y63">
        <f t="shared" si="13"/>
        <v>-2009789</v>
      </c>
      <c r="Z63" s="158">
        <f t="shared" si="14"/>
        <v>1.170763712554957</v>
      </c>
      <c r="AA63">
        <f t="shared" si="15"/>
        <v>-2256409</v>
      </c>
      <c r="AB63" s="170">
        <f>MAX(0,(-Y63)/VLOOKUP($A63,Payment!$A$39:$G$239,7)*100)</f>
        <v>251.223625</v>
      </c>
      <c r="AC63" s="138">
        <f t="shared" si="8"/>
        <v>289.28320512820511</v>
      </c>
      <c r="AD63">
        <f t="shared" si="16"/>
        <v>5490</v>
      </c>
      <c r="AE63">
        <f t="shared" si="9"/>
        <v>28.7</v>
      </c>
      <c r="AF63" s="79">
        <f t="shared" si="10"/>
        <v>32.200000000000003</v>
      </c>
    </row>
    <row r="64" spans="1:32">
      <c r="A64" s="36">
        <v>61</v>
      </c>
      <c r="B64" s="69">
        <f>Level!B65-Level!B64</f>
        <v>20000</v>
      </c>
      <c r="C64" s="73">
        <f>Level!M64*VLOOKUP(A64,Plants!$C$4:$AH$47,32)*24+(27/Level!T64)</f>
        <v>2722.6312223858617</v>
      </c>
      <c r="D64" s="62">
        <f t="shared" si="11"/>
        <v>7.3458351008234795</v>
      </c>
      <c r="E64" s="65">
        <f>SUM(D$4:D63)</f>
        <v>237.0572936529442</v>
      </c>
      <c r="F64" s="205">
        <f>Level!M64*VLOOKUP(A64,Plants!$C$4:$AI$47,33)*24*1.15+IF(VLOOKUP(A64,Goals!$AO$4:$AO$120,1)=A64,VLOOKUP(A64,Goals!$AO$4:$AQ$120,3)/D64,0)+VLOOKUP(A64,Level!$A$4:$C$203,3)/D64</f>
        <v>74158.131075110461</v>
      </c>
      <c r="G64" s="71">
        <f>Level!M64*VLOOKUP(A64,Plants!$C$4:$X$47,21)*24</f>
        <v>39360</v>
      </c>
      <c r="H64" s="63">
        <f t="shared" si="12"/>
        <v>0.50813008130081305</v>
      </c>
      <c r="I64" s="64">
        <f>SUM(H$4:H63)</f>
        <v>14.965082787599508</v>
      </c>
      <c r="J64" s="35">
        <f>Level!M64*VLOOKUP(A64,Plants!$C$4:$X$47,22)*24</f>
        <v>354240</v>
      </c>
      <c r="K64" s="239">
        <f t="shared" si="4"/>
        <v>544753</v>
      </c>
      <c r="L64" s="239">
        <f>SUM($K$4:K64)</f>
        <v>12314168</v>
      </c>
      <c r="M64" s="239">
        <f t="shared" si="5"/>
        <v>180000</v>
      </c>
      <c r="N64" s="239">
        <f>SUM($M$4:M64)</f>
        <v>4009428</v>
      </c>
      <c r="O64">
        <f>ROUNDUP(MIN(50,ROUNDUP(A64/3,0),Level!M64)*Plants!Q$4*0.005,0)</f>
        <v>1</v>
      </c>
      <c r="P64">
        <f>ROUNDUP(MAX(4,MIN(A64,VLOOKUP(A64,Level!$A$4:$M$203,13))*MIN(4,ROUNDUP(VLOOKUP(A64,Background!$C$3:$D$52,2)/5,0)))*VLOOKUP(A64,Plants!$C$4:$AJ$53,30)*0.025,0)</f>
        <v>80</v>
      </c>
      <c r="Q64">
        <f t="shared" si="6"/>
        <v>41</v>
      </c>
      <c r="R64">
        <f>ROUND(MIN(50,ROUNDUP(A64/3,0),Level!M64)*Plants!R$4,0)</f>
        <v>105</v>
      </c>
      <c r="S64" s="153">
        <f>ROUNDUP(MAX(4,MIN(A64,VLOOKUP(A64,Level!$A$4:$M$203,13))*MIN(4,ROUNDUP(VLOOKUP(A64,Background!$C$3:$D$52,2)/5,0)))*VLOOKUP(A64,Plants!$C$4:$AJ$53,31)*1.25,0)</f>
        <v>85400</v>
      </c>
      <c r="T64" s="153">
        <f t="shared" si="7"/>
        <v>42752.5</v>
      </c>
      <c r="U64">
        <f>SUM($K$4:K64)</f>
        <v>12314168</v>
      </c>
      <c r="V64">
        <f>VLOOKUP(A64,Garden!$B$4:$P$19,15)</f>
        <v>3970400</v>
      </c>
      <c r="W64">
        <f>VLOOKUP(A64,Plots!$B$4:$U$39,20)</f>
        <v>4371200</v>
      </c>
      <c r="X64">
        <f>VLOOKUP(A64,'Decoration Background'!$A$2:$H$200,8)</f>
        <v>6403023</v>
      </c>
      <c r="Y64">
        <f t="shared" si="13"/>
        <v>-2430455</v>
      </c>
      <c r="Z64" s="158">
        <f t="shared" si="14"/>
        <v>1.197370622197131</v>
      </c>
      <c r="AA64">
        <f t="shared" si="15"/>
        <v>-2430455</v>
      </c>
      <c r="AB64" s="170">
        <f>MAX(0,(-Y64)/VLOOKUP($A64,Payment!$A$39:$G$239,7)*100)</f>
        <v>303.80687499999999</v>
      </c>
      <c r="AC64" s="138">
        <f t="shared" si="8"/>
        <v>303.80687499999999</v>
      </c>
      <c r="AD64">
        <f t="shared" si="16"/>
        <v>5673</v>
      </c>
      <c r="AE64">
        <f t="shared" si="9"/>
        <v>32.799999999999997</v>
      </c>
      <c r="AF64" s="79">
        <f t="shared" si="10"/>
        <v>32.799999999999997</v>
      </c>
    </row>
    <row r="65" spans="1:32">
      <c r="A65" s="36">
        <v>62</v>
      </c>
      <c r="B65" s="69">
        <f>Level!B66-Level!B65</f>
        <v>20500</v>
      </c>
      <c r="C65" s="73">
        <f>Level!M65*VLOOKUP(A65,Plants!$C$4:$AH$47,32)*24+(27/Level!T65)</f>
        <v>2722.6312223858617</v>
      </c>
      <c r="D65" s="62">
        <f t="shared" si="11"/>
        <v>7.5294809783440666</v>
      </c>
      <c r="E65" s="65">
        <f>SUM(D$4:D64)</f>
        <v>244.40312875376767</v>
      </c>
      <c r="F65" s="205">
        <f>Level!M65*VLOOKUP(A65,Plants!$C$4:$AI$47,33)*24*1.15+IF(VLOOKUP(A65,Goals!$AO$4:$AO$120,1)=A65,VLOOKUP(A65,Goals!$AO$4:$AQ$120,3)/D65,0)+VLOOKUP(A65,Level!$A$4:$C$203,3)/D65</f>
        <v>74158.131075110461</v>
      </c>
      <c r="G65" s="71">
        <f>Level!M65*VLOOKUP(A65,Plants!$C$4:$X$47,21)*24</f>
        <v>39360</v>
      </c>
      <c r="H65" s="63">
        <f t="shared" si="12"/>
        <v>0.52083333333333337</v>
      </c>
      <c r="I65" s="64">
        <f>SUM(H$4:H64)</f>
        <v>15.473212868900321</v>
      </c>
      <c r="J65" s="35">
        <f>Level!M65*VLOOKUP(A65,Plants!$C$4:$X$47,22)*24</f>
        <v>354240</v>
      </c>
      <c r="K65" s="239">
        <f t="shared" si="4"/>
        <v>558372</v>
      </c>
      <c r="L65" s="239">
        <f>SUM($K$4:K65)</f>
        <v>12872540</v>
      </c>
      <c r="M65" s="239">
        <f t="shared" si="5"/>
        <v>184500</v>
      </c>
      <c r="N65" s="239">
        <f>SUM($M$4:M65)</f>
        <v>4193928</v>
      </c>
      <c r="O65">
        <f>ROUNDUP(MIN(50,ROUNDUP(A65/3,0),Level!M65)*Plants!Q$4*0.005,0)</f>
        <v>1</v>
      </c>
      <c r="P65">
        <f>ROUNDUP(MAX(4,MIN(A65,VLOOKUP(A65,Level!$A$4:$M$203,13))*MIN(4,ROUNDUP(VLOOKUP(A65,Background!$C$3:$D$52,2)/5,0)))*VLOOKUP(A65,Plants!$C$4:$AJ$53,30)*0.025,0)</f>
        <v>81</v>
      </c>
      <c r="Q65">
        <f t="shared" si="6"/>
        <v>41.5</v>
      </c>
      <c r="R65">
        <f>ROUND(MIN(50,ROUNDUP(A65/3,0),Level!M65)*Plants!R$4,0)</f>
        <v>105</v>
      </c>
      <c r="S65" s="153">
        <f>ROUNDUP(MAX(4,MIN(A65,VLOOKUP(A65,Level!$A$4:$M$203,13))*MIN(4,ROUNDUP(VLOOKUP(A65,Background!$C$3:$D$52,2)/5,0)))*VLOOKUP(A65,Plants!$C$4:$AJ$53,31)*1.25,0)</f>
        <v>86800</v>
      </c>
      <c r="T65" s="153">
        <f t="shared" si="7"/>
        <v>43452.5</v>
      </c>
      <c r="U65">
        <f>SUM($K$4:K65)</f>
        <v>12872540</v>
      </c>
      <c r="V65">
        <f>VLOOKUP(A65,Garden!$B$4:$P$19,15)</f>
        <v>3970400</v>
      </c>
      <c r="W65">
        <f>VLOOKUP(A65,Plots!$B$4:$U$39,20)</f>
        <v>4371200</v>
      </c>
      <c r="X65">
        <f>VLOOKUP(A65,'Decoration Background'!$A$2:$H$200,8)</f>
        <v>6707592</v>
      </c>
      <c r="Y65">
        <f t="shared" si="13"/>
        <v>-2176652</v>
      </c>
      <c r="Z65" s="158">
        <f t="shared" si="14"/>
        <v>1.1690926577039187</v>
      </c>
      <c r="AA65">
        <f t="shared" si="15"/>
        <v>-2430455</v>
      </c>
      <c r="AB65" s="170">
        <f>MAX(0,(-Y65)/VLOOKUP($A65,Payment!$A$39:$G$239,7)*100)</f>
        <v>272.08150000000001</v>
      </c>
      <c r="AC65" s="138">
        <f t="shared" si="8"/>
        <v>303.80687499999999</v>
      </c>
      <c r="AD65">
        <f t="shared" si="16"/>
        <v>5859</v>
      </c>
      <c r="AE65">
        <f t="shared" si="9"/>
        <v>29.4</v>
      </c>
      <c r="AF65" s="79">
        <f t="shared" si="10"/>
        <v>32.799999999999997</v>
      </c>
    </row>
    <row r="66" spans="1:32">
      <c r="A66" s="36">
        <v>63</v>
      </c>
      <c r="B66" s="69">
        <f>Level!B67-Level!B66</f>
        <v>21000</v>
      </c>
      <c r="C66" s="73">
        <f>Level!M66*VLOOKUP(A66,Plants!$C$4:$AH$47,32)*24+(27/Level!T66)</f>
        <v>2751.2018531717749</v>
      </c>
      <c r="D66" s="62">
        <f t="shared" si="11"/>
        <v>7.6330277168829888</v>
      </c>
      <c r="E66" s="65">
        <f>SUM(D$4:D65)</f>
        <v>251.93260973211173</v>
      </c>
      <c r="F66" s="205">
        <f>Level!M66*VLOOKUP(A66,Plants!$C$4:$AI$47,33)*24*1.15+IF(VLOOKUP(A66,Goals!$AO$4:$AO$120,1)=A66,VLOOKUP(A66,Goals!$AO$4:$AQ$120,3)/D66,0)+VLOOKUP(A66,Level!$A$4:$C$203,3)/D66</f>
        <v>74743.672131147541</v>
      </c>
      <c r="G66" s="71">
        <f>Level!M66*VLOOKUP(A66,Plants!$C$4:$X$47,21)*24</f>
        <v>39360</v>
      </c>
      <c r="H66" s="63">
        <f t="shared" si="12"/>
        <v>0.53353658536585369</v>
      </c>
      <c r="I66" s="64">
        <f>SUM(H$4:H65)</f>
        <v>15.994046202233655</v>
      </c>
      <c r="J66" s="35">
        <f>Level!M66*VLOOKUP(A66,Plants!$C$4:$X$47,22)*24</f>
        <v>354240</v>
      </c>
      <c r="K66" s="239">
        <f t="shared" si="4"/>
        <v>570521</v>
      </c>
      <c r="L66" s="239">
        <f>SUM($K$4:K66)</f>
        <v>13443061</v>
      </c>
      <c r="M66" s="239">
        <f t="shared" si="5"/>
        <v>189000</v>
      </c>
      <c r="N66" s="239">
        <f>SUM($M$4:M66)</f>
        <v>4382928</v>
      </c>
      <c r="O66">
        <f>ROUNDUP(MIN(50,ROUNDUP(A66/3,0),Level!M66)*Plants!Q$4*0.005,0)</f>
        <v>1</v>
      </c>
      <c r="P66">
        <f>ROUNDUP(MAX(4,MIN(A66,VLOOKUP(A66,Level!$A$4:$M$203,13))*MIN(4,ROUNDUP(VLOOKUP(A66,Background!$C$3:$D$52,2)/5,0)))*VLOOKUP(A66,Plants!$C$4:$AJ$53,30)*0.025,0)</f>
        <v>82</v>
      </c>
      <c r="Q66">
        <f t="shared" si="6"/>
        <v>42</v>
      </c>
      <c r="R66">
        <f>ROUND(MIN(50,ROUNDUP(A66/3,0),Level!M66)*Plants!R$4,0)</f>
        <v>105</v>
      </c>
      <c r="S66" s="153">
        <f>ROUNDUP(MAX(4,MIN(A66,VLOOKUP(A66,Level!$A$4:$M$203,13))*MIN(4,ROUNDUP(VLOOKUP(A66,Background!$C$3:$D$52,2)/5,0)))*VLOOKUP(A66,Plants!$C$4:$AJ$53,31)*1.25,0)</f>
        <v>88200</v>
      </c>
      <c r="T66" s="153">
        <f t="shared" si="7"/>
        <v>44152.5</v>
      </c>
      <c r="U66">
        <f>SUM($K$4:K66)</f>
        <v>13443061</v>
      </c>
      <c r="V66">
        <f>VLOOKUP(A66,Garden!$B$4:$P$19,15)</f>
        <v>3970400</v>
      </c>
      <c r="W66">
        <f>VLOOKUP(A66,Plots!$B$4:$U$39,20)</f>
        <v>4371200</v>
      </c>
      <c r="X66">
        <f>VLOOKUP(A66,'Decoration Background'!$A$2:$H$200,8)</f>
        <v>7021461</v>
      </c>
      <c r="Y66">
        <f t="shared" si="13"/>
        <v>-1920000</v>
      </c>
      <c r="Z66" s="158">
        <f t="shared" si="14"/>
        <v>1.1428246141262024</v>
      </c>
      <c r="AA66">
        <f t="shared" si="15"/>
        <v>-2430455</v>
      </c>
      <c r="AB66" s="170">
        <f>MAX(0,(-Y66)/VLOOKUP($A66,Payment!$A$39:$G$239,7)*100)</f>
        <v>240</v>
      </c>
      <c r="AC66" s="138">
        <f t="shared" si="8"/>
        <v>303.80687499999999</v>
      </c>
      <c r="AD66">
        <f t="shared" si="16"/>
        <v>6048</v>
      </c>
      <c r="AE66">
        <f t="shared" si="9"/>
        <v>25.7</v>
      </c>
      <c r="AF66" s="79">
        <f t="shared" si="10"/>
        <v>32.799999999999997</v>
      </c>
    </row>
    <row r="67" spans="1:32">
      <c r="A67" s="36">
        <v>64</v>
      </c>
      <c r="B67" s="69">
        <f>Level!B68-Level!B67</f>
        <v>21500</v>
      </c>
      <c r="C67" s="73">
        <f>Level!M67*VLOOKUP(A67,Plants!$C$4:$AH$47,32)*24+(27/Level!T67)</f>
        <v>2885.143406985032</v>
      </c>
      <c r="D67" s="62">
        <f t="shared" si="11"/>
        <v>7.451969267090071</v>
      </c>
      <c r="E67" s="65">
        <f>SUM(D$4:D66)</f>
        <v>259.56563744899472</v>
      </c>
      <c r="F67" s="205">
        <f>Level!M67*VLOOKUP(A67,Plants!$C$4:$AI$47,33)*24*1.15+IF(VLOOKUP(A67,Goals!$AO$4:$AO$120,1)=A67,VLOOKUP(A67,Goals!$AO$4:$AQ$120,3)/D67,0)+VLOOKUP(A67,Level!$A$4:$C$203,3)/D67</f>
        <v>78389.704918032803</v>
      </c>
      <c r="G67" s="71">
        <f>Level!M67*VLOOKUP(A67,Plants!$C$4:$X$47,21)*24</f>
        <v>41280</v>
      </c>
      <c r="H67" s="63">
        <f t="shared" si="12"/>
        <v>0.52083333333333337</v>
      </c>
      <c r="I67" s="64">
        <f>SUM(H$4:H66)</f>
        <v>16.52758278759951</v>
      </c>
      <c r="J67" s="35">
        <f>Level!M67*VLOOKUP(A67,Plants!$C$4:$X$47,22)*24</f>
        <v>371520</v>
      </c>
      <c r="K67" s="239">
        <f t="shared" si="4"/>
        <v>584158</v>
      </c>
      <c r="L67" s="239">
        <f>SUM($K$4:K67)</f>
        <v>14027219</v>
      </c>
      <c r="M67" s="239">
        <f t="shared" si="5"/>
        <v>193500</v>
      </c>
      <c r="N67" s="239">
        <f>SUM($M$4:M67)</f>
        <v>4576428</v>
      </c>
      <c r="O67">
        <f>ROUNDUP(MIN(50,ROUNDUP(A67/3,0),Level!M67)*Plants!Q$4*0.005,0)</f>
        <v>1</v>
      </c>
      <c r="P67">
        <f>ROUNDUP(MAX(4,MIN(A67,VLOOKUP(A67,Level!$A$4:$M$203,13))*MIN(4,ROUNDUP(VLOOKUP(A67,Background!$C$3:$D$52,2)/5,0)))*VLOOKUP(A67,Plants!$C$4:$AJ$53,30)*0.025,0)</f>
        <v>84</v>
      </c>
      <c r="Q67">
        <f t="shared" si="6"/>
        <v>43</v>
      </c>
      <c r="R67">
        <f>ROUND(MIN(50,ROUNDUP(A67/3,0),Level!M67)*Plants!R$4,0)</f>
        <v>110</v>
      </c>
      <c r="S67" s="153">
        <f>ROUNDUP(MAX(4,MIN(A67,VLOOKUP(A67,Level!$A$4:$M$203,13))*MIN(4,ROUNDUP(VLOOKUP(A67,Background!$C$3:$D$52,2)/5,0)))*VLOOKUP(A67,Plants!$C$4:$AJ$53,31)*1.25,0)</f>
        <v>89600</v>
      </c>
      <c r="T67" s="153">
        <f t="shared" si="7"/>
        <v>44855</v>
      </c>
      <c r="U67">
        <f>SUM($K$4:K67)</f>
        <v>14027219</v>
      </c>
      <c r="V67">
        <f>VLOOKUP(A67,Garden!$B$4:$P$19,15)</f>
        <v>3970400</v>
      </c>
      <c r="W67">
        <f>VLOOKUP(A67,Plots!$B$4:$U$39,20)</f>
        <v>5081200</v>
      </c>
      <c r="X67">
        <f>VLOOKUP(A67,'Decoration Background'!$A$2:$H$200,8)</f>
        <v>7344780</v>
      </c>
      <c r="Y67">
        <f t="shared" si="13"/>
        <v>-2369161</v>
      </c>
      <c r="Z67" s="158">
        <f t="shared" si="14"/>
        <v>1.1688974129512057</v>
      </c>
      <c r="AA67">
        <f t="shared" si="15"/>
        <v>-2430455</v>
      </c>
      <c r="AB67" s="170">
        <f>MAX(0,(-Y67)/VLOOKUP($A67,Payment!$A$39:$G$239,7)*100)</f>
        <v>288.92207317073166</v>
      </c>
      <c r="AC67" s="138">
        <f t="shared" si="8"/>
        <v>303.80687499999999</v>
      </c>
      <c r="AD67">
        <f t="shared" si="16"/>
        <v>6240</v>
      </c>
      <c r="AE67">
        <f t="shared" si="9"/>
        <v>30.2</v>
      </c>
      <c r="AF67" s="79">
        <f t="shared" si="10"/>
        <v>32.799999999999997</v>
      </c>
    </row>
    <row r="68" spans="1:32">
      <c r="A68" s="36">
        <v>65</v>
      </c>
      <c r="B68" s="69">
        <f>Level!B69-Level!B68</f>
        <v>22000</v>
      </c>
      <c r="C68" s="73">
        <f>Level!M68*VLOOKUP(A68,Plants!$C$4:$AH$47,32)*24+(27/Level!T68)</f>
        <v>2913.2453038674034</v>
      </c>
      <c r="D68" s="62">
        <f t="shared" si="11"/>
        <v>7.5517155973080845</v>
      </c>
      <c r="E68" s="65">
        <f>SUM(D$4:D67)</f>
        <v>267.0176067160848</v>
      </c>
      <c r="F68" s="205">
        <f>Level!M68*VLOOKUP(A68,Plants!$C$4:$AI$47,33)*24*1.15+IF(VLOOKUP(A68,Goals!$AO$4:$AO$120,1)=A68,VLOOKUP(A68,Goals!$AO$4:$AQ$120,3)/D68,0)+VLOOKUP(A68,Level!$A$4:$C$203,3)/D68</f>
        <v>78965.639502762409</v>
      </c>
      <c r="G68" s="71">
        <f>Level!M68*VLOOKUP(A68,Plants!$C$4:$X$47,21)*24</f>
        <v>41280</v>
      </c>
      <c r="H68" s="63">
        <f t="shared" si="12"/>
        <v>0.53294573643410847</v>
      </c>
      <c r="I68" s="64">
        <f>SUM(H$4:H67)</f>
        <v>17.048416120932842</v>
      </c>
      <c r="J68" s="35">
        <f>Level!M68*VLOOKUP(A68,Plants!$C$4:$X$47,22)*24</f>
        <v>371520</v>
      </c>
      <c r="K68" s="239">
        <f t="shared" si="4"/>
        <v>596326</v>
      </c>
      <c r="L68" s="239">
        <f>SUM($K$4:K68)</f>
        <v>14623545</v>
      </c>
      <c r="M68" s="239">
        <f t="shared" si="5"/>
        <v>198000</v>
      </c>
      <c r="N68" s="239">
        <f>SUM($M$4:M68)</f>
        <v>4774428</v>
      </c>
      <c r="O68">
        <f>ROUNDUP(MIN(50,ROUNDUP(A68/3,0),Level!M68)*Plants!Q$4*0.005,0)</f>
        <v>1</v>
      </c>
      <c r="P68">
        <f>ROUNDUP(MAX(4,MIN(A68,VLOOKUP(A68,Level!$A$4:$M$203,13))*MIN(4,ROUNDUP(VLOOKUP(A68,Background!$C$3:$D$52,2)/5,0)))*VLOOKUP(A68,Plants!$C$4:$AJ$53,30)*0.025,0)</f>
        <v>85</v>
      </c>
      <c r="Q68">
        <f t="shared" si="6"/>
        <v>43.5</v>
      </c>
      <c r="R68">
        <f>ROUND(MIN(50,ROUNDUP(A68/3,0),Level!M68)*Plants!R$4,0)</f>
        <v>110</v>
      </c>
      <c r="S68" s="153">
        <f>ROUNDUP(MAX(4,MIN(A68,VLOOKUP(A68,Level!$A$4:$M$203,13))*MIN(4,ROUNDUP(VLOOKUP(A68,Background!$C$3:$D$52,2)/5,0)))*VLOOKUP(A68,Plants!$C$4:$AJ$53,31)*1.25,0)</f>
        <v>91000</v>
      </c>
      <c r="T68" s="153">
        <f t="shared" si="7"/>
        <v>45555</v>
      </c>
      <c r="U68">
        <f>SUM($K$4:K68)</f>
        <v>14623545</v>
      </c>
      <c r="V68">
        <f>VLOOKUP(A68,Garden!$B$4:$P$19,15)</f>
        <v>3970400</v>
      </c>
      <c r="W68">
        <f>VLOOKUP(A68,Plots!$B$4:$U$39,20)</f>
        <v>5081200</v>
      </c>
      <c r="X68">
        <f>VLOOKUP(A68,'Decoration Background'!$A$2:$H$200,8)</f>
        <v>7677699</v>
      </c>
      <c r="Y68">
        <f t="shared" ref="Y68:Y99" si="17">U68-SUM(V68:X68)</f>
        <v>-2105754</v>
      </c>
      <c r="Z68" s="158">
        <f t="shared" ref="Z68:Z99" si="18">SUM(V68:X68)/U68</f>
        <v>1.1439975053928442</v>
      </c>
      <c r="AA68">
        <f t="shared" ref="AA68:AA99" si="19">MIN(0,IF(Y68&lt;AA67,Y68,AA67))</f>
        <v>-2430455</v>
      </c>
      <c r="AB68" s="170">
        <f>MAX(0,(-Y68)/VLOOKUP($A68,Payment!$A$39:$G$239,7)*100)</f>
        <v>256.79926829268294</v>
      </c>
      <c r="AC68" s="138">
        <f t="shared" si="8"/>
        <v>303.80687499999999</v>
      </c>
      <c r="AD68">
        <f t="shared" ref="AD68:AD99" si="20">A68*(A68+1)*3/2</f>
        <v>6435</v>
      </c>
      <c r="AE68">
        <f t="shared" si="9"/>
        <v>26.7</v>
      </c>
      <c r="AF68" s="79">
        <f t="shared" si="10"/>
        <v>32.799999999999997</v>
      </c>
    </row>
    <row r="69" spans="1:32">
      <c r="A69" s="36">
        <v>66</v>
      </c>
      <c r="B69" s="69">
        <f>Level!B70-Level!B69</f>
        <v>22500</v>
      </c>
      <c r="C69" s="73">
        <f>Level!M69*VLOOKUP(A69,Plants!$C$4:$AH$47,32)*24+(27/Level!T69)</f>
        <v>2913.2453038674034</v>
      </c>
      <c r="D69" s="62">
        <f t="shared" si="11"/>
        <v>7.7233454972469042</v>
      </c>
      <c r="E69" s="65">
        <f>SUM(D$4:D68)</f>
        <v>274.56932231339289</v>
      </c>
      <c r="F69" s="205">
        <f>Level!M69*VLOOKUP(A69,Plants!$C$4:$AI$47,33)*24*1.15+IF(VLOOKUP(A69,Goals!$AO$4:$AO$120,1)=A69,VLOOKUP(A69,Goals!$AO$4:$AQ$120,3)/D69,0)+VLOOKUP(A69,Level!$A$4:$C$203,3)/D69</f>
        <v>78965.639502762409</v>
      </c>
      <c r="G69" s="71">
        <f>Level!M69*VLOOKUP(A69,Plants!$C$4:$X$47,21)*24</f>
        <v>41280</v>
      </c>
      <c r="H69" s="63">
        <f t="shared" si="12"/>
        <v>0.54505813953488369</v>
      </c>
      <c r="I69" s="64">
        <f>SUM(H$4:H68)</f>
        <v>17.58136185736695</v>
      </c>
      <c r="J69" s="35">
        <f>Level!M69*VLOOKUP(A69,Plants!$C$4:$X$47,22)*24</f>
        <v>371520</v>
      </c>
      <c r="K69" s="239">
        <f t="shared" ref="K69:K132" si="21">ROUND(D69*F69,0)</f>
        <v>609879</v>
      </c>
      <c r="L69" s="239">
        <f>SUM($K$4:K69)</f>
        <v>15233424</v>
      </c>
      <c r="M69" s="239">
        <f t="shared" ref="M69:M132" si="22">ROUND(H69*J69,0)</f>
        <v>202500</v>
      </c>
      <c r="N69" s="239">
        <f>SUM($M$4:M69)</f>
        <v>4976928</v>
      </c>
      <c r="O69">
        <f>ROUNDUP(MIN(50,ROUNDUP(A69/3,0),Level!M69)*Plants!Q$4*0.005,0)</f>
        <v>1</v>
      </c>
      <c r="P69">
        <f>ROUNDUP(MAX(4,MIN(A69,VLOOKUP(A69,Level!$A$4:$M$203,13))*MIN(4,ROUNDUP(VLOOKUP(A69,Background!$C$3:$D$52,2)/5,0)))*VLOOKUP(A69,Plants!$C$4:$AJ$53,30)*0.025,0)</f>
        <v>86</v>
      </c>
      <c r="Q69">
        <f t="shared" ref="Q69:Q132" si="23">O69+P69/2</f>
        <v>44</v>
      </c>
      <c r="R69">
        <f>ROUND(MIN(50,ROUNDUP(A69/3,0),Level!M69)*Plants!R$4,0)</f>
        <v>110</v>
      </c>
      <c r="S69" s="153">
        <f>ROUNDUP(MAX(4,MIN(A69,VLOOKUP(A69,Level!$A$4:$M$203,13))*MIN(4,ROUNDUP(VLOOKUP(A69,Background!$C$3:$D$52,2)/5,0)))*VLOOKUP(A69,Plants!$C$4:$AJ$53,31)*1.25,0)</f>
        <v>92400</v>
      </c>
      <c r="T69" s="153">
        <f t="shared" ref="T69:T132" si="24">(R69+S69)/2</f>
        <v>46255</v>
      </c>
      <c r="U69">
        <f>SUM($K$4:K69)</f>
        <v>15233424</v>
      </c>
      <c r="V69">
        <f>VLOOKUP(A69,Garden!$B$4:$P$19,15)</f>
        <v>5370400</v>
      </c>
      <c r="W69">
        <f>VLOOKUP(A69,Plots!$B$4:$U$39,20)</f>
        <v>5081200</v>
      </c>
      <c r="X69">
        <f>VLOOKUP(A69,'Decoration Background'!$A$2:$H$200,8)</f>
        <v>8020368</v>
      </c>
      <c r="Y69">
        <f t="shared" si="17"/>
        <v>-3238544</v>
      </c>
      <c r="Z69" s="158">
        <f t="shared" si="18"/>
        <v>1.212594620881031</v>
      </c>
      <c r="AA69">
        <f t="shared" si="19"/>
        <v>-3238544</v>
      </c>
      <c r="AB69" s="170">
        <f>MAX(0,(-Y69)/VLOOKUP($A69,Payment!$A$39:$G$239,7)*100)</f>
        <v>394.94439024390243</v>
      </c>
      <c r="AC69" s="138">
        <f t="shared" ref="AC69:AC132" si="25">IF(AND(AB69&lt;AC68,ISNUMBER(AC68)),AC68,AB69)</f>
        <v>394.94439024390243</v>
      </c>
      <c r="AD69">
        <f t="shared" si="20"/>
        <v>6633</v>
      </c>
      <c r="AE69">
        <f t="shared" ref="AE69:AE132" si="26">IF(Y69&gt;=0,0,ROUND(-Y69/F69,1))</f>
        <v>41</v>
      </c>
      <c r="AF69" s="79">
        <f t="shared" ref="AF69:AF132" si="27">IF(AND(AE69&lt;AF68,ISNUMBER(AF68)),AF68,AE69)</f>
        <v>41</v>
      </c>
    </row>
    <row r="70" spans="1:32">
      <c r="A70" s="36">
        <v>67</v>
      </c>
      <c r="B70" s="69">
        <f>Level!B71-Level!B70</f>
        <v>23000</v>
      </c>
      <c r="C70" s="73">
        <f>Level!M70*VLOOKUP(A70,Plants!$C$4:$AH$47,32)*24+(27/Level!T70)</f>
        <v>2939.6531815137305</v>
      </c>
      <c r="D70" s="62">
        <f t="shared" ref="D70:D133" si="28">B70/C70</f>
        <v>7.8240522197099773</v>
      </c>
      <c r="E70" s="65">
        <f>SUM(D$4:D69)</f>
        <v>282.29266781063978</v>
      </c>
      <c r="F70" s="205">
        <f>Level!M70*VLOOKUP(A70,Plants!$C$4:$AI$47,33)*24*1.15+IF(VLOOKUP(A70,Goals!$AO$4:$AO$120,1)=A70,VLOOKUP(A70,Goals!$AO$4:$AQ$120,3)/D70,0)+VLOOKUP(A70,Level!$A$4:$C$203,3)/D70</f>
        <v>79566.474212993984</v>
      </c>
      <c r="G70" s="71">
        <f>Level!M70*VLOOKUP(A70,Plants!$C$4:$X$47,21)*24</f>
        <v>41280</v>
      </c>
      <c r="H70" s="63">
        <f t="shared" ref="H70:H133" si="29">B70/G70</f>
        <v>0.55717054263565891</v>
      </c>
      <c r="I70" s="64">
        <f>SUM(H$4:H69)</f>
        <v>18.126419996901834</v>
      </c>
      <c r="J70" s="35">
        <f>Level!M70*VLOOKUP(A70,Plants!$C$4:$X$47,22)*24</f>
        <v>371520</v>
      </c>
      <c r="K70" s="239">
        <f t="shared" si="21"/>
        <v>622532</v>
      </c>
      <c r="L70" s="239">
        <f>SUM($K$4:K70)</f>
        <v>15855956</v>
      </c>
      <c r="M70" s="239">
        <f t="shared" si="22"/>
        <v>207000</v>
      </c>
      <c r="N70" s="239">
        <f>SUM($M$4:M70)</f>
        <v>5183928</v>
      </c>
      <c r="O70">
        <f>ROUNDUP(MIN(50,ROUNDUP(A70/3,0),Level!M70)*Plants!Q$4*0.005,0)</f>
        <v>1</v>
      </c>
      <c r="P70">
        <f>ROUNDUP(MAX(4,MIN(A70,VLOOKUP(A70,Level!$A$4:$M$203,13))*MIN(4,ROUNDUP(VLOOKUP(A70,Background!$C$3:$D$52,2)/5,0)))*VLOOKUP(A70,Plants!$C$4:$AJ$53,30)*0.025,0)</f>
        <v>88</v>
      </c>
      <c r="Q70">
        <f t="shared" si="23"/>
        <v>45</v>
      </c>
      <c r="R70">
        <f>ROUND(MIN(50,ROUNDUP(A70/3,0),Level!M70)*Plants!R$4,0)</f>
        <v>115</v>
      </c>
      <c r="S70" s="153">
        <f>ROUNDUP(MAX(4,MIN(A70,VLOOKUP(A70,Level!$A$4:$M$203,13))*MIN(4,ROUNDUP(VLOOKUP(A70,Background!$C$3:$D$52,2)/5,0)))*VLOOKUP(A70,Plants!$C$4:$AJ$53,31)*1.25,0)</f>
        <v>93800</v>
      </c>
      <c r="T70" s="153">
        <f t="shared" si="24"/>
        <v>46957.5</v>
      </c>
      <c r="U70">
        <f>SUM($K$4:K70)</f>
        <v>15855956</v>
      </c>
      <c r="V70">
        <f>VLOOKUP(A70,Garden!$B$4:$P$19,15)</f>
        <v>5370400</v>
      </c>
      <c r="W70">
        <f>VLOOKUP(A70,Plots!$B$4:$U$39,20)</f>
        <v>5081200</v>
      </c>
      <c r="X70">
        <f>VLOOKUP(A70,'Decoration Background'!$A$2:$H$200,8)</f>
        <v>8372937</v>
      </c>
      <c r="Y70">
        <f t="shared" si="17"/>
        <v>-2968581</v>
      </c>
      <c r="Z70" s="158">
        <f t="shared" si="18"/>
        <v>1.1872218237739811</v>
      </c>
      <c r="AA70">
        <f t="shared" si="19"/>
        <v>-3238544</v>
      </c>
      <c r="AB70" s="170">
        <f>MAX(0,(-Y70)/VLOOKUP($A70,Payment!$A$39:$G$239,7)*100)</f>
        <v>362.02207317073174</v>
      </c>
      <c r="AC70" s="138">
        <f t="shared" si="25"/>
        <v>394.94439024390243</v>
      </c>
      <c r="AD70">
        <f t="shared" si="20"/>
        <v>6834</v>
      </c>
      <c r="AE70">
        <f t="shared" si="26"/>
        <v>37.299999999999997</v>
      </c>
      <c r="AF70" s="79">
        <f t="shared" si="27"/>
        <v>41</v>
      </c>
    </row>
    <row r="71" spans="1:32">
      <c r="A71" s="36">
        <v>68</v>
      </c>
      <c r="B71" s="69">
        <f>Level!B72-Level!B71</f>
        <v>23500</v>
      </c>
      <c r="C71" s="73">
        <f>Level!M71*VLOOKUP(A71,Plants!$C$4:$AH$47,32)*24+(27/Level!T71)</f>
        <v>3076.13007367716</v>
      </c>
      <c r="D71" s="62">
        <f t="shared" si="28"/>
        <v>7.6394688901787724</v>
      </c>
      <c r="E71" s="65">
        <f>SUM(D$4:D70)</f>
        <v>290.11672003034977</v>
      </c>
      <c r="F71" s="205">
        <f>Level!M71*VLOOKUP(A71,Plants!$C$4:$AI$47,33)*24*1.15+IF(VLOOKUP(A71,Goals!$AO$4:$AO$120,1)=A71,VLOOKUP(A71,Goals!$AO$4:$AQ$120,3)/D71,0)+VLOOKUP(A71,Level!$A$4:$C$203,3)/D71</f>
        <v>83267.240455458799</v>
      </c>
      <c r="G71" s="71">
        <f>Level!M71*VLOOKUP(A71,Plants!$C$4:$X$47,21)*24</f>
        <v>43200</v>
      </c>
      <c r="H71" s="63">
        <f t="shared" si="29"/>
        <v>0.54398148148148151</v>
      </c>
      <c r="I71" s="64">
        <f>SUM(H$4:H70)</f>
        <v>18.683590539537494</v>
      </c>
      <c r="J71" s="35">
        <f>Level!M71*VLOOKUP(A71,Plants!$C$4:$X$47,22)*24</f>
        <v>388800</v>
      </c>
      <c r="K71" s="239">
        <f t="shared" si="21"/>
        <v>636117</v>
      </c>
      <c r="L71" s="239">
        <f>SUM($K$4:K71)</f>
        <v>16492073</v>
      </c>
      <c r="M71" s="239">
        <f t="shared" si="22"/>
        <v>211500</v>
      </c>
      <c r="N71" s="239">
        <f>SUM($M$4:M71)</f>
        <v>5395428</v>
      </c>
      <c r="O71">
        <f>ROUNDUP(MIN(50,ROUNDUP(A71/3,0),Level!M71)*Plants!Q$4*0.005,0)</f>
        <v>1</v>
      </c>
      <c r="P71">
        <f>ROUNDUP(MAX(4,MIN(A71,VLOOKUP(A71,Level!$A$4:$M$203,13))*MIN(4,ROUNDUP(VLOOKUP(A71,Background!$C$3:$D$52,2)/5,0)))*VLOOKUP(A71,Plants!$C$4:$AJ$53,30)*0.025,0)</f>
        <v>89</v>
      </c>
      <c r="Q71">
        <f t="shared" si="23"/>
        <v>45.5</v>
      </c>
      <c r="R71">
        <f>ROUND(MIN(50,ROUNDUP(A71/3,0),Level!M71)*Plants!R$4,0)</f>
        <v>115</v>
      </c>
      <c r="S71" s="153">
        <f>ROUNDUP(MAX(4,MIN(A71,VLOOKUP(A71,Level!$A$4:$M$203,13))*MIN(4,ROUNDUP(VLOOKUP(A71,Background!$C$3:$D$52,2)/5,0)))*VLOOKUP(A71,Plants!$C$4:$AJ$53,31)*1.25,0)</f>
        <v>95200</v>
      </c>
      <c r="T71" s="153">
        <f t="shared" si="24"/>
        <v>47657.5</v>
      </c>
      <c r="U71">
        <f>SUM($K$4:K71)</f>
        <v>16492073</v>
      </c>
      <c r="V71">
        <f>VLOOKUP(A71,Garden!$B$4:$P$19,15)</f>
        <v>5370400</v>
      </c>
      <c r="W71">
        <f>VLOOKUP(A71,Plots!$B$4:$U$39,20)</f>
        <v>5841200</v>
      </c>
      <c r="X71">
        <f>VLOOKUP(A71,'Decoration Background'!$A$2:$H$200,8)</f>
        <v>8735556</v>
      </c>
      <c r="Y71">
        <f t="shared" si="17"/>
        <v>-3455083</v>
      </c>
      <c r="Z71" s="158">
        <f t="shared" si="18"/>
        <v>1.209499618392424</v>
      </c>
      <c r="AA71">
        <f t="shared" si="19"/>
        <v>-3455083</v>
      </c>
      <c r="AB71" s="170">
        <f>MAX(0,(-Y71)/VLOOKUP($A71,Payment!$A$39:$G$239,7)*100)</f>
        <v>411.31940476190476</v>
      </c>
      <c r="AC71" s="138">
        <f t="shared" si="25"/>
        <v>411.31940476190476</v>
      </c>
      <c r="AD71">
        <f t="shared" si="20"/>
        <v>7038</v>
      </c>
      <c r="AE71">
        <f t="shared" si="26"/>
        <v>41.5</v>
      </c>
      <c r="AF71" s="79">
        <f t="shared" si="27"/>
        <v>41.5</v>
      </c>
    </row>
    <row r="72" spans="1:32">
      <c r="A72" s="36">
        <v>69</v>
      </c>
      <c r="B72" s="69">
        <f>Level!B73-Level!B72</f>
        <v>24000</v>
      </c>
      <c r="C72" s="73">
        <f>Level!M72*VLOOKUP(A72,Plants!$C$4:$AH$47,32)*24+(27/Level!T72)</f>
        <v>3102.1490247074121</v>
      </c>
      <c r="D72" s="62">
        <f t="shared" si="28"/>
        <v>7.7365722306856703</v>
      </c>
      <c r="E72" s="65">
        <f>SUM(D$4:D71)</f>
        <v>297.75618892052853</v>
      </c>
      <c r="F72" s="205">
        <f>Level!M72*VLOOKUP(A72,Plants!$C$4:$AI$47,33)*24*1.15+IF(VLOOKUP(A72,Goals!$AO$4:$AO$120,1)=A72,VLOOKUP(A72,Goals!$AO$4:$AQ$120,3)/D72,0)+VLOOKUP(A72,Level!$A$4:$C$203,3)/D72</f>
        <v>83919.791937581263</v>
      </c>
      <c r="G72" s="71">
        <f>Level!M72*VLOOKUP(A72,Plants!$C$4:$X$47,21)*24</f>
        <v>43200</v>
      </c>
      <c r="H72" s="63">
        <f t="shared" si="29"/>
        <v>0.55555555555555558</v>
      </c>
      <c r="I72" s="64">
        <f>SUM(H$4:H71)</f>
        <v>19.227572021018975</v>
      </c>
      <c r="J72" s="35">
        <f>Level!M72*VLOOKUP(A72,Plants!$C$4:$X$47,22)*24</f>
        <v>388800</v>
      </c>
      <c r="K72" s="239">
        <f t="shared" si="21"/>
        <v>649252</v>
      </c>
      <c r="L72" s="239">
        <f>SUM($K$4:K72)</f>
        <v>17141325</v>
      </c>
      <c r="M72" s="239">
        <f t="shared" si="22"/>
        <v>216000</v>
      </c>
      <c r="N72" s="239">
        <f>SUM($M$4:M72)</f>
        <v>5611428</v>
      </c>
      <c r="O72">
        <f>ROUNDUP(MIN(50,ROUNDUP(A72/3,0),Level!M72)*Plants!Q$4*0.005,0)</f>
        <v>1</v>
      </c>
      <c r="P72">
        <f>ROUNDUP(MAX(4,MIN(A72,VLOOKUP(A72,Level!$A$4:$M$203,13))*MIN(4,ROUNDUP(VLOOKUP(A72,Background!$C$3:$D$52,2)/5,0)))*VLOOKUP(A72,Plants!$C$4:$AJ$53,30)*0.025,0)</f>
        <v>90</v>
      </c>
      <c r="Q72">
        <f t="shared" si="23"/>
        <v>46</v>
      </c>
      <c r="R72">
        <f>ROUND(MIN(50,ROUNDUP(A72/3,0),Level!M72)*Plants!R$4,0)</f>
        <v>115</v>
      </c>
      <c r="S72" s="153">
        <f>ROUNDUP(MAX(4,MIN(A72,VLOOKUP(A72,Level!$A$4:$M$203,13))*MIN(4,ROUNDUP(VLOOKUP(A72,Background!$C$3:$D$52,2)/5,0)))*VLOOKUP(A72,Plants!$C$4:$AJ$53,31)*1.25,0)</f>
        <v>96600</v>
      </c>
      <c r="T72" s="153">
        <f t="shared" si="24"/>
        <v>48357.5</v>
      </c>
      <c r="U72">
        <f>SUM($K$4:K72)</f>
        <v>17141325</v>
      </c>
      <c r="V72">
        <f>VLOOKUP(A72,Garden!$B$4:$P$19,15)</f>
        <v>5370400</v>
      </c>
      <c r="W72">
        <f>VLOOKUP(A72,Plots!$B$4:$U$39,20)</f>
        <v>5841200</v>
      </c>
      <c r="X72">
        <f>VLOOKUP(A72,'Decoration Background'!$A$2:$H$200,8)</f>
        <v>9108375</v>
      </c>
      <c r="Y72">
        <f t="shared" si="17"/>
        <v>-3178650</v>
      </c>
      <c r="Z72" s="158">
        <f t="shared" si="18"/>
        <v>1.1854378235054759</v>
      </c>
      <c r="AA72">
        <f t="shared" si="19"/>
        <v>-3455083</v>
      </c>
      <c r="AB72" s="170">
        <f>MAX(0,(-Y72)/VLOOKUP($A72,Payment!$A$39:$G$239,7)*100)</f>
        <v>378.41071428571428</v>
      </c>
      <c r="AC72" s="138">
        <f t="shared" si="25"/>
        <v>411.31940476190476</v>
      </c>
      <c r="AD72">
        <f t="shared" si="20"/>
        <v>7245</v>
      </c>
      <c r="AE72">
        <f t="shared" si="26"/>
        <v>37.9</v>
      </c>
      <c r="AF72" s="79">
        <f t="shared" si="27"/>
        <v>41.5</v>
      </c>
    </row>
    <row r="73" spans="1:32">
      <c r="A73" s="36">
        <v>70</v>
      </c>
      <c r="B73" s="69">
        <f>Level!B74-Level!B73</f>
        <v>24500</v>
      </c>
      <c r="C73" s="73">
        <f>Level!M73*VLOOKUP(A73,Plants!$C$4:$AH$47,32)*24+(27/Level!T73)</f>
        <v>3102.1490247074121</v>
      </c>
      <c r="D73" s="62">
        <f t="shared" si="28"/>
        <v>7.8977508188249548</v>
      </c>
      <c r="E73" s="65">
        <f>SUM(D$4:D72)</f>
        <v>305.49276115121421</v>
      </c>
      <c r="F73" s="205">
        <f>Level!M73*VLOOKUP(A73,Plants!$C$4:$AI$47,33)*24*1.15+IF(VLOOKUP(A73,Goals!$AO$4:$AO$120,1)=A73,VLOOKUP(A73,Goals!$AO$4:$AQ$120,3)/D73,0)+VLOOKUP(A73,Level!$A$4:$C$203,3)/D73</f>
        <v>83919.791937581263</v>
      </c>
      <c r="G73" s="71">
        <f>Level!M73*VLOOKUP(A73,Plants!$C$4:$X$47,21)*24</f>
        <v>43200</v>
      </c>
      <c r="H73" s="63">
        <f t="shared" si="29"/>
        <v>0.56712962962962965</v>
      </c>
      <c r="I73" s="64">
        <f>SUM(H$4:H72)</f>
        <v>19.783127576574532</v>
      </c>
      <c r="J73" s="35">
        <f>Level!M73*VLOOKUP(A73,Plants!$C$4:$X$47,22)*24</f>
        <v>388800</v>
      </c>
      <c r="K73" s="239">
        <f t="shared" si="21"/>
        <v>662778</v>
      </c>
      <c r="L73" s="239">
        <f>SUM($K$4:K73)</f>
        <v>17804103</v>
      </c>
      <c r="M73" s="239">
        <f t="shared" si="22"/>
        <v>220500</v>
      </c>
      <c r="N73" s="239">
        <f>SUM($M$4:M73)</f>
        <v>5831928</v>
      </c>
      <c r="O73">
        <f>ROUNDUP(MIN(50,ROUNDUP(A73/3,0),Level!M73)*Plants!Q$4*0.005,0)</f>
        <v>1</v>
      </c>
      <c r="P73">
        <f>ROUNDUP(MAX(4,MIN(A73,VLOOKUP(A73,Level!$A$4:$M$203,13))*MIN(4,ROUNDUP(VLOOKUP(A73,Background!$C$3:$D$52,2)/5,0)))*VLOOKUP(A73,Plants!$C$4:$AJ$53,30)*0.025,0)</f>
        <v>91</v>
      </c>
      <c r="Q73">
        <f t="shared" si="23"/>
        <v>46.5</v>
      </c>
      <c r="R73">
        <f>ROUND(MIN(50,ROUNDUP(A73/3,0),Level!M73)*Plants!R$4,0)</f>
        <v>120</v>
      </c>
      <c r="S73" s="153">
        <f>ROUNDUP(MAX(4,MIN(A73,VLOOKUP(A73,Level!$A$4:$M$203,13))*MIN(4,ROUNDUP(VLOOKUP(A73,Background!$C$3:$D$52,2)/5,0)))*VLOOKUP(A73,Plants!$C$4:$AJ$53,31)*1.25,0)</f>
        <v>98000</v>
      </c>
      <c r="T73" s="153">
        <f t="shared" si="24"/>
        <v>49060</v>
      </c>
      <c r="U73">
        <f>SUM($K$4:K73)</f>
        <v>17804103</v>
      </c>
      <c r="V73">
        <f>VLOOKUP(A73,Garden!$B$4:$P$19,15)</f>
        <v>5370400</v>
      </c>
      <c r="W73">
        <f>VLOOKUP(A73,Plots!$B$4:$U$39,20)</f>
        <v>5841200</v>
      </c>
      <c r="X73">
        <f>VLOOKUP(A73,'Decoration Background'!$A$2:$H$200,8)</f>
        <v>9491544</v>
      </c>
      <c r="Y73">
        <f t="shared" si="17"/>
        <v>-2899041</v>
      </c>
      <c r="Z73" s="158">
        <f t="shared" si="18"/>
        <v>1.1628299386944683</v>
      </c>
      <c r="AA73">
        <f t="shared" si="19"/>
        <v>-3455083</v>
      </c>
      <c r="AB73" s="170">
        <f>MAX(0,(-Y73)/VLOOKUP($A73,Payment!$A$39:$G$239,7)*100)</f>
        <v>345.12392857142856</v>
      </c>
      <c r="AC73" s="138">
        <f t="shared" si="25"/>
        <v>411.31940476190476</v>
      </c>
      <c r="AD73">
        <f t="shared" si="20"/>
        <v>7455</v>
      </c>
      <c r="AE73">
        <f t="shared" si="26"/>
        <v>34.5</v>
      </c>
      <c r="AF73" s="79">
        <f t="shared" si="27"/>
        <v>41.5</v>
      </c>
    </row>
    <row r="74" spans="1:32">
      <c r="A74" s="36">
        <v>71</v>
      </c>
      <c r="B74" s="69">
        <f>Level!B75-Level!B74</f>
        <v>25000</v>
      </c>
      <c r="C74" s="73">
        <f>Level!M74*VLOOKUP(A74,Plants!$C$4:$AH$47,32)*24+(27/Level!T74)</f>
        <v>3265.4126342387872</v>
      </c>
      <c r="D74" s="62">
        <f t="shared" si="28"/>
        <v>7.6560002671233143</v>
      </c>
      <c r="E74" s="65">
        <f>SUM(D$4:D73)</f>
        <v>313.39051197003914</v>
      </c>
      <c r="F74" s="205">
        <f>Level!M74*VLOOKUP(A74,Plants!$C$4:$AI$47,33)*24*1.15+IF(VLOOKUP(A74,Goals!$AO$4:$AO$120,1)=A74,VLOOKUP(A74,Goals!$AO$4:$AQ$120,3)/D74,0)+VLOOKUP(A74,Level!$A$4:$C$203,3)/D74</f>
        <v>88292.365129500948</v>
      </c>
      <c r="G74" s="71">
        <f>Level!M74*VLOOKUP(A74,Plants!$C$4:$X$47,21)*24</f>
        <v>45120</v>
      </c>
      <c r="H74" s="63">
        <f t="shared" si="29"/>
        <v>0.55407801418439717</v>
      </c>
      <c r="I74" s="64">
        <f>SUM(H$4:H73)</f>
        <v>20.350257206204162</v>
      </c>
      <c r="J74" s="35">
        <f>Level!M74*VLOOKUP(A74,Plants!$C$4:$X$47,22)*24</f>
        <v>406080</v>
      </c>
      <c r="K74" s="239">
        <f t="shared" si="21"/>
        <v>675966</v>
      </c>
      <c r="L74" s="239">
        <f>SUM($K$4:K74)</f>
        <v>18480069</v>
      </c>
      <c r="M74" s="239">
        <f t="shared" si="22"/>
        <v>225000</v>
      </c>
      <c r="N74" s="239">
        <f>SUM($M$4:M74)</f>
        <v>6056928</v>
      </c>
      <c r="O74">
        <f>ROUNDUP(MIN(50,ROUNDUP(A74/3,0),Level!M74)*Plants!Q$4*0.005,0)</f>
        <v>1</v>
      </c>
      <c r="P74">
        <f>ROUNDUP(MAX(4,MIN(A74,VLOOKUP(A74,Level!$A$4:$M$203,13))*MIN(4,ROUNDUP(VLOOKUP(A74,Background!$C$3:$D$52,2)/5,0)))*VLOOKUP(A74,Plants!$C$4:$AJ$53,30)*0.025,0)</f>
        <v>93</v>
      </c>
      <c r="Q74">
        <f t="shared" si="23"/>
        <v>47.5</v>
      </c>
      <c r="R74">
        <f>ROUND(MIN(50,ROUNDUP(A74/3,0),Level!M74)*Plants!R$4,0)</f>
        <v>120</v>
      </c>
      <c r="S74" s="153">
        <f>ROUNDUP(MAX(4,MIN(A74,VLOOKUP(A74,Level!$A$4:$M$203,13))*MIN(4,ROUNDUP(VLOOKUP(A74,Background!$C$3:$D$52,2)/5,0)))*VLOOKUP(A74,Plants!$C$4:$AJ$53,31)*1.25,0)</f>
        <v>99400</v>
      </c>
      <c r="T74" s="153">
        <f t="shared" si="24"/>
        <v>49760</v>
      </c>
      <c r="U74">
        <f>SUM($K$4:K74)</f>
        <v>18480069</v>
      </c>
      <c r="V74">
        <f>VLOOKUP(A74,Garden!$B$4:$P$19,15)</f>
        <v>5370400</v>
      </c>
      <c r="W74">
        <f>VLOOKUP(A74,Plots!$B$4:$U$39,20)</f>
        <v>6641200</v>
      </c>
      <c r="X74">
        <f>VLOOKUP(A74,'Decoration Background'!$A$2:$H$200,8)</f>
        <v>9885213</v>
      </c>
      <c r="Y74">
        <f t="shared" si="17"/>
        <v>-3416744</v>
      </c>
      <c r="Z74" s="158">
        <f t="shared" si="18"/>
        <v>1.1848880542599705</v>
      </c>
      <c r="AA74">
        <f t="shared" si="19"/>
        <v>-3455083</v>
      </c>
      <c r="AB74" s="170">
        <f>MAX(0,(-Y74)/VLOOKUP($A74,Payment!$A$39:$G$239,7)*100)</f>
        <v>406.7552380952381</v>
      </c>
      <c r="AC74" s="138">
        <f t="shared" si="25"/>
        <v>411.31940476190476</v>
      </c>
      <c r="AD74">
        <f t="shared" si="20"/>
        <v>7668</v>
      </c>
      <c r="AE74">
        <f t="shared" si="26"/>
        <v>38.700000000000003</v>
      </c>
      <c r="AF74" s="79">
        <f t="shared" si="27"/>
        <v>41.5</v>
      </c>
    </row>
    <row r="75" spans="1:32">
      <c r="A75" s="36">
        <v>72</v>
      </c>
      <c r="B75" s="69">
        <f>Level!B76-Level!B75</f>
        <v>25500</v>
      </c>
      <c r="C75" s="73">
        <f>Level!M75*VLOOKUP(A75,Plants!$C$4:$AH$47,32)*24+(27/Level!T75)</f>
        <v>3265.4126342387872</v>
      </c>
      <c r="D75" s="62">
        <f t="shared" si="28"/>
        <v>7.8091202724657807</v>
      </c>
      <c r="E75" s="65">
        <f>SUM(D$4:D74)</f>
        <v>321.04651223716246</v>
      </c>
      <c r="F75" s="205">
        <f>Level!M75*VLOOKUP(A75,Plants!$C$4:$AI$47,33)*24*1.15+IF(VLOOKUP(A75,Goals!$AO$4:$AO$120,1)=A75,VLOOKUP(A75,Goals!$AO$4:$AQ$120,3)/D75,0)+VLOOKUP(A75,Level!$A$4:$C$203,3)/D75</f>
        <v>88292.365129500948</v>
      </c>
      <c r="G75" s="71">
        <f>Level!M75*VLOOKUP(A75,Plants!$C$4:$X$47,21)*24</f>
        <v>45120</v>
      </c>
      <c r="H75" s="63">
        <f t="shared" si="29"/>
        <v>0.56515957446808507</v>
      </c>
      <c r="I75" s="64">
        <f>SUM(H$4:H74)</f>
        <v>20.90433522038856</v>
      </c>
      <c r="J75" s="35">
        <f>Level!M75*VLOOKUP(A75,Plants!$C$4:$X$47,22)*24</f>
        <v>406080</v>
      </c>
      <c r="K75" s="239">
        <f t="shared" si="21"/>
        <v>689486</v>
      </c>
      <c r="L75" s="239">
        <f>SUM($K$4:K75)</f>
        <v>19169555</v>
      </c>
      <c r="M75" s="239">
        <f t="shared" si="22"/>
        <v>229500</v>
      </c>
      <c r="N75" s="239">
        <f>SUM($M$4:M75)</f>
        <v>6286428</v>
      </c>
      <c r="O75">
        <f>ROUNDUP(MIN(50,ROUNDUP(A75/3,0),Level!M75)*Plants!Q$4*0.005,0)</f>
        <v>1</v>
      </c>
      <c r="P75">
        <f>ROUNDUP(MAX(4,MIN(A75,VLOOKUP(A75,Level!$A$4:$M$203,13))*MIN(4,ROUNDUP(VLOOKUP(A75,Background!$C$3:$D$52,2)/5,0)))*VLOOKUP(A75,Plants!$C$4:$AJ$53,30)*0.025,0)</f>
        <v>94</v>
      </c>
      <c r="Q75">
        <f t="shared" si="23"/>
        <v>48</v>
      </c>
      <c r="R75">
        <f>ROUND(MIN(50,ROUNDUP(A75/3,0),Level!M75)*Plants!R$4,0)</f>
        <v>120</v>
      </c>
      <c r="S75" s="153">
        <f>ROUNDUP(MAX(4,MIN(A75,VLOOKUP(A75,Level!$A$4:$M$203,13))*MIN(4,ROUNDUP(VLOOKUP(A75,Background!$C$3:$D$52,2)/5,0)))*VLOOKUP(A75,Plants!$C$4:$AJ$53,31)*1.25,0)</f>
        <v>100800</v>
      </c>
      <c r="T75" s="153">
        <f t="shared" si="24"/>
        <v>50460</v>
      </c>
      <c r="U75">
        <f>SUM($K$4:K75)</f>
        <v>19169555</v>
      </c>
      <c r="V75">
        <f>VLOOKUP(A75,Garden!$B$4:$P$19,15)</f>
        <v>5370400</v>
      </c>
      <c r="W75">
        <f>VLOOKUP(A75,Plots!$B$4:$U$39,20)</f>
        <v>6641200</v>
      </c>
      <c r="X75">
        <f>VLOOKUP(A75,'Decoration Background'!$A$2:$H$200,8)</f>
        <v>10289532</v>
      </c>
      <c r="Y75">
        <f t="shared" si="17"/>
        <v>-3131577</v>
      </c>
      <c r="Z75" s="158">
        <f t="shared" si="18"/>
        <v>1.163362008142599</v>
      </c>
      <c r="AA75">
        <f t="shared" si="19"/>
        <v>-3455083</v>
      </c>
      <c r="AB75" s="170">
        <f>MAX(0,(-Y75)/VLOOKUP($A75,Payment!$A$39:$G$239,7)*100)</f>
        <v>364.13686046511629</v>
      </c>
      <c r="AC75" s="138">
        <f t="shared" si="25"/>
        <v>411.31940476190476</v>
      </c>
      <c r="AD75">
        <f t="shared" si="20"/>
        <v>7884</v>
      </c>
      <c r="AE75">
        <f t="shared" si="26"/>
        <v>35.5</v>
      </c>
      <c r="AF75" s="79">
        <f t="shared" si="27"/>
        <v>41.5</v>
      </c>
    </row>
    <row r="76" spans="1:32">
      <c r="A76" s="36">
        <v>73</v>
      </c>
      <c r="B76" s="69">
        <f>Level!B77-Level!B76</f>
        <v>26000</v>
      </c>
      <c r="C76" s="73">
        <f>Level!M76*VLOOKUP(A76,Plants!$C$4:$AH$47,32)*24+(27/Level!T76)</f>
        <v>3300.0191646191647</v>
      </c>
      <c r="D76" s="62">
        <f t="shared" si="28"/>
        <v>7.8787421233053667</v>
      </c>
      <c r="E76" s="65">
        <f>SUM(D$4:D75)</f>
        <v>328.85563250962826</v>
      </c>
      <c r="F76" s="205">
        <f>Level!M76*VLOOKUP(A76,Plants!$C$4:$AI$47,33)*24*1.15+IF(VLOOKUP(A76,Goals!$AO$4:$AO$120,1)=A76,VLOOKUP(A76,Goals!$AO$4:$AQ$120,3)/D76,0)+VLOOKUP(A76,Level!$A$4:$C$203,3)/D76</f>
        <v>88959.394348894362</v>
      </c>
      <c r="G76" s="71">
        <f>Level!M76*VLOOKUP(A76,Plants!$C$4:$X$47,21)*24</f>
        <v>45120</v>
      </c>
      <c r="H76" s="63">
        <f t="shared" si="29"/>
        <v>0.57624113475177308</v>
      </c>
      <c r="I76" s="64">
        <f>SUM(H$4:H75)</f>
        <v>21.469494794856644</v>
      </c>
      <c r="J76" s="35">
        <f>Level!M76*VLOOKUP(A76,Plants!$C$4:$X$47,22)*24</f>
        <v>406080</v>
      </c>
      <c r="K76" s="239">
        <f t="shared" si="21"/>
        <v>700888</v>
      </c>
      <c r="L76" s="239">
        <f>SUM($K$4:K76)</f>
        <v>19870443</v>
      </c>
      <c r="M76" s="239">
        <f t="shared" si="22"/>
        <v>234000</v>
      </c>
      <c r="N76" s="239">
        <f>SUM($M$4:M76)</f>
        <v>6520428</v>
      </c>
      <c r="O76">
        <f>ROUNDUP(MIN(50,ROUNDUP(A76/3,0),Level!M76)*Plants!Q$4*0.005,0)</f>
        <v>1</v>
      </c>
      <c r="P76">
        <f>ROUNDUP(MAX(4,MIN(A76,VLOOKUP(A76,Level!$A$4:$M$203,13))*MIN(4,ROUNDUP(VLOOKUP(A76,Background!$C$3:$D$52,2)/5,0)))*VLOOKUP(A76,Plants!$C$4:$AJ$53,30)*0.025,0)</f>
        <v>95</v>
      </c>
      <c r="Q76">
        <f t="shared" si="23"/>
        <v>48.5</v>
      </c>
      <c r="R76">
        <f>ROUND(MIN(50,ROUNDUP(A76/3,0),Level!M76)*Plants!R$4,0)</f>
        <v>125</v>
      </c>
      <c r="S76" s="153">
        <f>ROUNDUP(MAX(4,MIN(A76,VLOOKUP(A76,Level!$A$4:$M$203,13))*MIN(4,ROUNDUP(VLOOKUP(A76,Background!$C$3:$D$52,2)/5,0)))*VLOOKUP(A76,Plants!$C$4:$AJ$53,31)*1.25,0)</f>
        <v>102200</v>
      </c>
      <c r="T76" s="153">
        <f t="shared" si="24"/>
        <v>51162.5</v>
      </c>
      <c r="U76">
        <f>SUM($K$4:K76)</f>
        <v>19870443</v>
      </c>
      <c r="V76">
        <f>VLOOKUP(A76,Garden!$B$4:$P$19,15)</f>
        <v>7070400</v>
      </c>
      <c r="W76">
        <f>VLOOKUP(A76,Plots!$B$4:$U$39,20)</f>
        <v>6641200</v>
      </c>
      <c r="X76">
        <f>VLOOKUP(A76,'Decoration Background'!$A$2:$H$200,8)</f>
        <v>10704651</v>
      </c>
      <c r="Y76">
        <f t="shared" si="17"/>
        <v>-4545808</v>
      </c>
      <c r="Z76" s="158">
        <f t="shared" si="18"/>
        <v>1.2287723529867955</v>
      </c>
      <c r="AA76">
        <f t="shared" si="19"/>
        <v>-4545808</v>
      </c>
      <c r="AB76" s="170">
        <f>MAX(0,(-Y76)/VLOOKUP($A76,Payment!$A$39:$G$239,7)*100)</f>
        <v>528.58232558139537</v>
      </c>
      <c r="AC76" s="138">
        <f t="shared" si="25"/>
        <v>528.58232558139537</v>
      </c>
      <c r="AD76">
        <f t="shared" si="20"/>
        <v>8103</v>
      </c>
      <c r="AE76">
        <f t="shared" si="26"/>
        <v>51.1</v>
      </c>
      <c r="AF76" s="79">
        <f t="shared" si="27"/>
        <v>51.1</v>
      </c>
    </row>
    <row r="77" spans="1:32">
      <c r="A77" s="36">
        <v>74</v>
      </c>
      <c r="B77" s="69">
        <f>Level!B78-Level!B77</f>
        <v>26500</v>
      </c>
      <c r="C77" s="73">
        <f>Level!M77*VLOOKUP(A77,Plants!$C$4:$AH$47,32)*24+(27/Level!T77)</f>
        <v>3300.0191646191647</v>
      </c>
      <c r="D77" s="62">
        <f t="shared" si="28"/>
        <v>8.0302563949073935</v>
      </c>
      <c r="E77" s="65">
        <f>SUM(D$4:D76)</f>
        <v>336.73437463293362</v>
      </c>
      <c r="F77" s="205">
        <f>Level!M77*VLOOKUP(A77,Plants!$C$4:$AI$47,33)*24*1.15+IF(VLOOKUP(A77,Goals!$AO$4:$AO$120,1)=A77,VLOOKUP(A77,Goals!$AO$4:$AQ$120,3)/D77,0)+VLOOKUP(A77,Level!$A$4:$C$203,3)/D77</f>
        <v>88959.394348894362</v>
      </c>
      <c r="G77" s="71">
        <f>Level!M77*VLOOKUP(A77,Plants!$C$4:$X$47,21)*24</f>
        <v>45120</v>
      </c>
      <c r="H77" s="63">
        <f t="shared" si="29"/>
        <v>0.58732269503546097</v>
      </c>
      <c r="I77" s="64">
        <f>SUM(H$4:H76)</f>
        <v>22.045735929608416</v>
      </c>
      <c r="J77" s="35">
        <f>Level!M77*VLOOKUP(A77,Plants!$C$4:$X$47,22)*24</f>
        <v>406080</v>
      </c>
      <c r="K77" s="239">
        <f t="shared" si="21"/>
        <v>714367</v>
      </c>
      <c r="L77" s="239">
        <f>SUM($K$4:K77)</f>
        <v>20584810</v>
      </c>
      <c r="M77" s="239">
        <f t="shared" si="22"/>
        <v>238500</v>
      </c>
      <c r="N77" s="239">
        <f>SUM($M$4:M77)</f>
        <v>6758928</v>
      </c>
      <c r="O77">
        <f>ROUNDUP(MIN(50,ROUNDUP(A77/3,0),Level!M77)*Plants!Q$4*0.005,0)</f>
        <v>1</v>
      </c>
      <c r="P77">
        <f>ROUNDUP(MAX(4,MIN(A77,VLOOKUP(A77,Level!$A$4:$M$203,13))*MIN(4,ROUNDUP(VLOOKUP(A77,Background!$C$3:$D$52,2)/5,0)))*VLOOKUP(A77,Plants!$C$4:$AJ$53,30)*0.025,0)</f>
        <v>97</v>
      </c>
      <c r="Q77">
        <f t="shared" si="23"/>
        <v>49.5</v>
      </c>
      <c r="R77">
        <f>ROUND(MIN(50,ROUNDUP(A77/3,0),Level!M77)*Plants!R$4,0)</f>
        <v>125</v>
      </c>
      <c r="S77" s="153">
        <f>ROUNDUP(MAX(4,MIN(A77,VLOOKUP(A77,Level!$A$4:$M$203,13))*MIN(4,ROUNDUP(VLOOKUP(A77,Background!$C$3:$D$52,2)/5,0)))*VLOOKUP(A77,Plants!$C$4:$AJ$53,31)*1.25,0)</f>
        <v>103600</v>
      </c>
      <c r="T77" s="153">
        <f t="shared" si="24"/>
        <v>51862.5</v>
      </c>
      <c r="U77">
        <f>SUM($K$4:K77)</f>
        <v>20584810</v>
      </c>
      <c r="V77">
        <f>VLOOKUP(A77,Garden!$B$4:$P$19,15)</f>
        <v>7070400</v>
      </c>
      <c r="W77">
        <f>VLOOKUP(A77,Plots!$B$4:$U$39,20)</f>
        <v>6641200</v>
      </c>
      <c r="X77">
        <f>VLOOKUP(A77,'Decoration Background'!$A$2:$H$200,8)</f>
        <v>11130720</v>
      </c>
      <c r="Y77">
        <f t="shared" si="17"/>
        <v>-4257510</v>
      </c>
      <c r="Z77" s="158">
        <f t="shared" si="18"/>
        <v>1.206827753085892</v>
      </c>
      <c r="AA77">
        <f t="shared" si="19"/>
        <v>-4545808</v>
      </c>
      <c r="AB77" s="170">
        <f>MAX(0,(-Y77)/VLOOKUP($A77,Payment!$A$39:$G$239,7)*100)</f>
        <v>495.05930232558137</v>
      </c>
      <c r="AC77" s="138">
        <f t="shared" si="25"/>
        <v>528.58232558139537</v>
      </c>
      <c r="AD77">
        <f t="shared" si="20"/>
        <v>8325</v>
      </c>
      <c r="AE77">
        <f t="shared" si="26"/>
        <v>47.9</v>
      </c>
      <c r="AF77" s="79">
        <f t="shared" si="27"/>
        <v>51.1</v>
      </c>
    </row>
    <row r="78" spans="1:32">
      <c r="A78" s="36">
        <v>75</v>
      </c>
      <c r="B78" s="69">
        <f>Level!B79-Level!B78</f>
        <v>27000</v>
      </c>
      <c r="C78" s="73">
        <f>Level!M78*VLOOKUP(A78,Plants!$C$4:$AH$47,32)*24+(27/Level!T78)</f>
        <v>3474.3539748953976</v>
      </c>
      <c r="D78" s="62">
        <f t="shared" si="28"/>
        <v>7.7712288946646231</v>
      </c>
      <c r="E78" s="65">
        <f>SUM(D$4:D77)</f>
        <v>344.76463102784101</v>
      </c>
      <c r="F78" s="205">
        <f>Level!M78*VLOOKUP(A78,Plants!$C$4:$AI$47,33)*24*1.15+IF(VLOOKUP(A78,Goals!$AO$4:$AO$120,1)=A78,VLOOKUP(A78,Goals!$AO$4:$AQ$120,3)/D78,0)+VLOOKUP(A78,Level!$A$4:$C$203,3)/D78</f>
        <v>93402.903765690367</v>
      </c>
      <c r="G78" s="71">
        <f>Level!M78*VLOOKUP(A78,Plants!$C$4:$X$47,21)*24</f>
        <v>47040</v>
      </c>
      <c r="H78" s="63">
        <f t="shared" si="29"/>
        <v>0.57397959183673475</v>
      </c>
      <c r="I78" s="64">
        <f>SUM(H$4:H77)</f>
        <v>22.633058624643876</v>
      </c>
      <c r="J78" s="35">
        <f>Level!M78*VLOOKUP(A78,Plants!$C$4:$X$47,22)*24</f>
        <v>423360</v>
      </c>
      <c r="K78" s="239">
        <f t="shared" si="21"/>
        <v>725855</v>
      </c>
      <c r="L78" s="239">
        <f>SUM($K$4:K78)</f>
        <v>21310665</v>
      </c>
      <c r="M78" s="239">
        <f t="shared" si="22"/>
        <v>243000</v>
      </c>
      <c r="N78" s="239">
        <f>SUM($M$4:M78)</f>
        <v>7001928</v>
      </c>
      <c r="O78">
        <f>ROUNDUP(MIN(50,ROUNDUP(A78/3,0),Level!M78)*Plants!Q$4*0.005,0)</f>
        <v>1</v>
      </c>
      <c r="P78">
        <f>ROUNDUP(MAX(4,MIN(A78,VLOOKUP(A78,Level!$A$4:$M$203,13))*MIN(4,ROUNDUP(VLOOKUP(A78,Background!$C$3:$D$52,2)/5,0)))*VLOOKUP(A78,Plants!$C$4:$AJ$53,30)*0.025,0)</f>
        <v>98</v>
      </c>
      <c r="Q78">
        <f t="shared" si="23"/>
        <v>50</v>
      </c>
      <c r="R78">
        <f>ROUND(MIN(50,ROUNDUP(A78/3,0),Level!M78)*Plants!R$4,0)</f>
        <v>125</v>
      </c>
      <c r="S78" s="153">
        <f>ROUNDUP(MAX(4,MIN(A78,VLOOKUP(A78,Level!$A$4:$M$203,13))*MIN(4,ROUNDUP(VLOOKUP(A78,Background!$C$3:$D$52,2)/5,0)))*VLOOKUP(A78,Plants!$C$4:$AJ$53,31)*1.25,0)</f>
        <v>105000</v>
      </c>
      <c r="T78" s="153">
        <f t="shared" si="24"/>
        <v>52562.5</v>
      </c>
      <c r="U78">
        <f>SUM($K$4:K78)</f>
        <v>21310665</v>
      </c>
      <c r="V78">
        <f>VLOOKUP(A78,Garden!$B$4:$P$19,15)</f>
        <v>7070400</v>
      </c>
      <c r="W78">
        <f>VLOOKUP(A78,Plots!$B$4:$U$39,20)</f>
        <v>7531200</v>
      </c>
      <c r="X78">
        <f>VLOOKUP(A78,'Decoration Background'!$A$2:$H$200,8)</f>
        <v>11567739</v>
      </c>
      <c r="Y78">
        <f t="shared" si="17"/>
        <v>-4858674</v>
      </c>
      <c r="Z78" s="158">
        <f t="shared" si="18"/>
        <v>1.2279926037033571</v>
      </c>
      <c r="AA78">
        <f t="shared" si="19"/>
        <v>-4858674</v>
      </c>
      <c r="AB78" s="170">
        <f>MAX(0,(-Y78)/VLOOKUP($A78,Payment!$A$39:$G$239,7)*100)</f>
        <v>564.96209302325587</v>
      </c>
      <c r="AC78" s="138">
        <f t="shared" si="25"/>
        <v>564.96209302325587</v>
      </c>
      <c r="AD78">
        <f t="shared" si="20"/>
        <v>8550</v>
      </c>
      <c r="AE78">
        <f t="shared" si="26"/>
        <v>52</v>
      </c>
      <c r="AF78" s="79">
        <f t="shared" si="27"/>
        <v>52</v>
      </c>
    </row>
    <row r="79" spans="1:32">
      <c r="A79" s="36">
        <v>76</v>
      </c>
      <c r="B79" s="69">
        <f>Level!B80-Level!B79</f>
        <v>27500</v>
      </c>
      <c r="C79" s="73">
        <f>Level!M79*VLOOKUP(A79,Plants!$C$4:$AH$47,32)*24+(27/Level!T79)</f>
        <v>3474.3539748953976</v>
      </c>
      <c r="D79" s="62">
        <f t="shared" si="28"/>
        <v>7.915140540862116</v>
      </c>
      <c r="E79" s="65">
        <f>SUM(D$4:D78)</f>
        <v>352.53585992250561</v>
      </c>
      <c r="F79" s="205">
        <f>Level!M79*VLOOKUP(A79,Plants!$C$4:$AI$47,33)*24*1.15+IF(VLOOKUP(A79,Goals!$AO$4:$AO$120,1)=A79,VLOOKUP(A79,Goals!$AO$4:$AQ$120,3)/D79,0)+VLOOKUP(A79,Level!$A$4:$C$203,3)/D79</f>
        <v>93402.903765690367</v>
      </c>
      <c r="G79" s="71">
        <f>Level!M79*VLOOKUP(A79,Plants!$C$4:$X$47,21)*24</f>
        <v>47040</v>
      </c>
      <c r="H79" s="63">
        <f t="shared" si="29"/>
        <v>0.58460884353741494</v>
      </c>
      <c r="I79" s="64">
        <f>SUM(H$4:H78)</f>
        <v>23.207038216480612</v>
      </c>
      <c r="J79" s="35">
        <f>Level!M79*VLOOKUP(A79,Plants!$C$4:$X$47,22)*24</f>
        <v>423360</v>
      </c>
      <c r="K79" s="239">
        <f t="shared" si="21"/>
        <v>739297</v>
      </c>
      <c r="L79" s="239">
        <f>SUM($K$4:K79)</f>
        <v>22049962</v>
      </c>
      <c r="M79" s="239">
        <f t="shared" si="22"/>
        <v>247500</v>
      </c>
      <c r="N79" s="239">
        <f>SUM($M$4:M79)</f>
        <v>7249428</v>
      </c>
      <c r="O79">
        <f>ROUNDUP(MIN(50,ROUNDUP(A79/3,0),Level!M79)*Plants!Q$4*0.005,0)</f>
        <v>1</v>
      </c>
      <c r="P79">
        <f>ROUNDUP(MAX(4,MIN(A79,VLOOKUP(A79,Level!$A$4:$M$203,13))*MIN(4,ROUNDUP(VLOOKUP(A79,Background!$C$3:$D$52,2)/5,0)))*VLOOKUP(A79,Plants!$C$4:$AJ$53,30)*0.025,0)</f>
        <v>99</v>
      </c>
      <c r="Q79">
        <f t="shared" si="23"/>
        <v>50.5</v>
      </c>
      <c r="R79">
        <f>ROUND(MIN(50,ROUNDUP(A79/3,0),Level!M79)*Plants!R$4,0)</f>
        <v>130</v>
      </c>
      <c r="S79" s="153">
        <f>ROUNDUP(MAX(4,MIN(A79,VLOOKUP(A79,Level!$A$4:$M$203,13))*MIN(4,ROUNDUP(VLOOKUP(A79,Background!$C$3:$D$52,2)/5,0)))*VLOOKUP(A79,Plants!$C$4:$AJ$53,31)*1.25,0)</f>
        <v>106400</v>
      </c>
      <c r="T79" s="153">
        <f t="shared" si="24"/>
        <v>53265</v>
      </c>
      <c r="U79">
        <f>SUM($K$4:K79)</f>
        <v>22049962</v>
      </c>
      <c r="V79">
        <f>VLOOKUP(A79,Garden!$B$4:$P$19,15)</f>
        <v>7070400</v>
      </c>
      <c r="W79">
        <f>VLOOKUP(A79,Plots!$B$4:$U$39,20)</f>
        <v>7531200</v>
      </c>
      <c r="X79">
        <f>VLOOKUP(A79,'Decoration Background'!$A$2:$H$200,8)</f>
        <v>12015708</v>
      </c>
      <c r="Y79">
        <f t="shared" si="17"/>
        <v>-4567346</v>
      </c>
      <c r="Z79" s="158">
        <f t="shared" si="18"/>
        <v>1.2071362299853396</v>
      </c>
      <c r="AA79">
        <f t="shared" si="19"/>
        <v>-4858674</v>
      </c>
      <c r="AB79" s="170">
        <f>MAX(0,(-Y79)/VLOOKUP($A79,Payment!$A$39:$G$239,7)*100)</f>
        <v>519.01659090909084</v>
      </c>
      <c r="AC79" s="138">
        <f t="shared" si="25"/>
        <v>564.96209302325587</v>
      </c>
      <c r="AD79">
        <f t="shared" si="20"/>
        <v>8778</v>
      </c>
      <c r="AE79">
        <f t="shared" si="26"/>
        <v>48.9</v>
      </c>
      <c r="AF79" s="79">
        <f t="shared" si="27"/>
        <v>52</v>
      </c>
    </row>
    <row r="80" spans="1:32">
      <c r="A80" s="36">
        <v>77</v>
      </c>
      <c r="B80" s="69">
        <f>Level!B81-Level!B80</f>
        <v>28000</v>
      </c>
      <c r="C80" s="73">
        <f>Level!M80*VLOOKUP(A80,Plants!$C$4:$AH$47,32)*24+(27/Level!T80)</f>
        <v>3506.703841676368</v>
      </c>
      <c r="D80" s="62">
        <f t="shared" si="28"/>
        <v>7.984706226749589</v>
      </c>
      <c r="E80" s="65">
        <f>SUM(D$4:D79)</f>
        <v>360.45100046336773</v>
      </c>
      <c r="F80" s="205">
        <f>Level!M80*VLOOKUP(A80,Plants!$C$4:$AI$47,33)*24*1.15+IF(VLOOKUP(A80,Goals!$AO$4:$AO$120,1)=A80,VLOOKUP(A80,Goals!$AO$4:$AQ$120,3)/D80,0)+VLOOKUP(A80,Level!$A$4:$C$203,3)/D80</f>
        <v>94085.476135040735</v>
      </c>
      <c r="G80" s="71">
        <f>Level!M80*VLOOKUP(A80,Plants!$C$4:$X$47,21)*24</f>
        <v>47040</v>
      </c>
      <c r="H80" s="63">
        <f t="shared" si="29"/>
        <v>0.59523809523809523</v>
      </c>
      <c r="I80" s="64">
        <f>SUM(H$4:H79)</f>
        <v>23.791647060018025</v>
      </c>
      <c r="J80" s="35">
        <f>Level!M80*VLOOKUP(A80,Plants!$C$4:$X$47,22)*24</f>
        <v>423360</v>
      </c>
      <c r="K80" s="239">
        <f t="shared" si="21"/>
        <v>751245</v>
      </c>
      <c r="L80" s="239">
        <f>SUM($K$4:K80)</f>
        <v>22801207</v>
      </c>
      <c r="M80" s="239">
        <f t="shared" si="22"/>
        <v>252000</v>
      </c>
      <c r="N80" s="239">
        <f>SUM($M$4:M80)</f>
        <v>7501428</v>
      </c>
      <c r="O80">
        <f>ROUNDUP(MIN(50,ROUNDUP(A80/3,0),Level!M80)*Plants!Q$4*0.005,0)</f>
        <v>1</v>
      </c>
      <c r="P80">
        <f>ROUNDUP(MAX(4,MIN(A80,VLOOKUP(A80,Level!$A$4:$M$203,13))*MIN(4,ROUNDUP(VLOOKUP(A80,Background!$C$3:$D$52,2)/5,0)))*VLOOKUP(A80,Plants!$C$4:$AJ$53,30)*0.025,0)</f>
        <v>101</v>
      </c>
      <c r="Q80">
        <f t="shared" si="23"/>
        <v>51.5</v>
      </c>
      <c r="R80">
        <f>ROUND(MIN(50,ROUNDUP(A80/3,0),Level!M80)*Plants!R$4,0)</f>
        <v>130</v>
      </c>
      <c r="S80" s="153">
        <f>ROUNDUP(MAX(4,MIN(A80,VLOOKUP(A80,Level!$A$4:$M$203,13))*MIN(4,ROUNDUP(VLOOKUP(A80,Background!$C$3:$D$52,2)/5,0)))*VLOOKUP(A80,Plants!$C$4:$AJ$53,31)*1.25,0)</f>
        <v>107800</v>
      </c>
      <c r="T80" s="153">
        <f t="shared" si="24"/>
        <v>53965</v>
      </c>
      <c r="U80">
        <f>SUM($K$4:K80)</f>
        <v>22801207</v>
      </c>
      <c r="V80">
        <f>VLOOKUP(A80,Garden!$B$4:$P$19,15)</f>
        <v>7070400</v>
      </c>
      <c r="W80">
        <f>VLOOKUP(A80,Plots!$B$4:$U$39,20)</f>
        <v>7531200</v>
      </c>
      <c r="X80">
        <f>VLOOKUP(A80,'Decoration Background'!$A$2:$H$200,8)</f>
        <v>12474627</v>
      </c>
      <c r="Y80">
        <f t="shared" si="17"/>
        <v>-4275020</v>
      </c>
      <c r="Z80" s="158">
        <f t="shared" si="18"/>
        <v>1.1874909516851455</v>
      </c>
      <c r="AA80">
        <f t="shared" si="19"/>
        <v>-4858674</v>
      </c>
      <c r="AB80" s="170">
        <f>MAX(0,(-Y80)/VLOOKUP($A80,Payment!$A$39:$G$239,7)*100)</f>
        <v>485.79772727272729</v>
      </c>
      <c r="AC80" s="138">
        <f t="shared" si="25"/>
        <v>564.96209302325587</v>
      </c>
      <c r="AD80">
        <f t="shared" si="20"/>
        <v>9009</v>
      </c>
      <c r="AE80">
        <f t="shared" si="26"/>
        <v>45.4</v>
      </c>
      <c r="AF80" s="79">
        <f t="shared" si="27"/>
        <v>52</v>
      </c>
    </row>
    <row r="81" spans="1:32">
      <c r="A81" s="36">
        <v>78</v>
      </c>
      <c r="B81" s="69">
        <f>Level!B82-Level!B81</f>
        <v>28500</v>
      </c>
      <c r="C81" s="73">
        <f>Level!M81*VLOOKUP(A81,Plants!$C$4:$AH$47,32)*24+(27/Level!T81)</f>
        <v>3649.6142025611175</v>
      </c>
      <c r="D81" s="62">
        <f t="shared" si="28"/>
        <v>7.8090445779173372</v>
      </c>
      <c r="E81" s="65">
        <f>SUM(D$4:D80)</f>
        <v>368.43570669011734</v>
      </c>
      <c r="F81" s="205">
        <f>Level!M81*VLOOKUP(A81,Plants!$C$4:$AI$47,33)*24*1.15+IF(VLOOKUP(A81,Goals!$AO$4:$AO$120,1)=A81,VLOOKUP(A81,Goals!$AO$4:$AQ$120,3)/D81,0)+VLOOKUP(A81,Level!$A$4:$C$203,3)/D81</f>
        <v>97925.69965075668</v>
      </c>
      <c r="G81" s="71">
        <f>Level!M81*VLOOKUP(A81,Plants!$C$4:$X$47,21)*24</f>
        <v>48960</v>
      </c>
      <c r="H81" s="63">
        <f t="shared" si="29"/>
        <v>0.58210784313725494</v>
      </c>
      <c r="I81" s="64">
        <f>SUM(H$4:H80)</f>
        <v>24.38688515525612</v>
      </c>
      <c r="J81" s="35">
        <f>Level!M81*VLOOKUP(A81,Plants!$C$4:$X$47,22)*24</f>
        <v>440640</v>
      </c>
      <c r="K81" s="239">
        <f t="shared" si="21"/>
        <v>764706</v>
      </c>
      <c r="L81" s="239">
        <f>SUM($K$4:K81)</f>
        <v>23565913</v>
      </c>
      <c r="M81" s="239">
        <f t="shared" si="22"/>
        <v>256500</v>
      </c>
      <c r="N81" s="239">
        <f>SUM($M$4:M81)</f>
        <v>7757928</v>
      </c>
      <c r="O81">
        <f>ROUNDUP(MIN(50,ROUNDUP(A81/3,0),Level!M81)*Plants!Q$4*0.005,0)</f>
        <v>1</v>
      </c>
      <c r="P81">
        <f>ROUNDUP(MAX(4,MIN(A81,VLOOKUP(A81,Level!$A$4:$M$203,13))*MIN(4,ROUNDUP(VLOOKUP(A81,Background!$C$3:$D$52,2)/5,0)))*VLOOKUP(A81,Plants!$C$4:$AJ$53,30)*0.025,0)</f>
        <v>102</v>
      </c>
      <c r="Q81">
        <f t="shared" si="23"/>
        <v>52</v>
      </c>
      <c r="R81">
        <f>ROUND(MIN(50,ROUNDUP(A81/3,0),Level!M81)*Plants!R$4,0)</f>
        <v>130</v>
      </c>
      <c r="S81" s="153">
        <f>ROUNDUP(MAX(4,MIN(A81,VLOOKUP(A81,Level!$A$4:$M$203,13))*MIN(4,ROUNDUP(VLOOKUP(A81,Background!$C$3:$D$52,2)/5,0)))*VLOOKUP(A81,Plants!$C$4:$AJ$53,31)*1.25,0)</f>
        <v>109200</v>
      </c>
      <c r="T81" s="153">
        <f t="shared" si="24"/>
        <v>54665</v>
      </c>
      <c r="U81">
        <f>SUM($K$4:K81)</f>
        <v>23565913</v>
      </c>
      <c r="V81">
        <f>VLOOKUP(A81,Garden!$B$4:$P$19,15)</f>
        <v>7070400</v>
      </c>
      <c r="W81">
        <f>VLOOKUP(A81,Plots!$B$4:$U$39,20)</f>
        <v>8471200</v>
      </c>
      <c r="X81">
        <f>VLOOKUP(A81,'Decoration Background'!$A$2:$H$200,8)</f>
        <v>12944496</v>
      </c>
      <c r="Y81">
        <f t="shared" si="17"/>
        <v>-4920183</v>
      </c>
      <c r="Z81" s="158">
        <f t="shared" si="18"/>
        <v>1.2087838905286632</v>
      </c>
      <c r="AA81">
        <f t="shared" si="19"/>
        <v>-4920183</v>
      </c>
      <c r="AB81" s="170">
        <f>MAX(0,(-Y81)/VLOOKUP($A81,Payment!$A$39:$G$239,7)*100)</f>
        <v>559.11170454545459</v>
      </c>
      <c r="AC81" s="138">
        <f t="shared" si="25"/>
        <v>564.96209302325587</v>
      </c>
      <c r="AD81">
        <f t="shared" si="20"/>
        <v>9243</v>
      </c>
      <c r="AE81">
        <f t="shared" si="26"/>
        <v>50.2</v>
      </c>
      <c r="AF81" s="79">
        <f t="shared" si="27"/>
        <v>52</v>
      </c>
    </row>
    <row r="82" spans="1:32">
      <c r="A82" s="36">
        <v>79</v>
      </c>
      <c r="B82" s="69">
        <f>Level!B83-Level!B82</f>
        <v>29000</v>
      </c>
      <c r="C82" s="73">
        <f>Level!M82*VLOOKUP(A82,Plants!$C$4:$AH$47,32)*24+(27/Level!T82)</f>
        <v>3681.5656267725467</v>
      </c>
      <c r="D82" s="62">
        <f t="shared" si="28"/>
        <v>7.8770835399783214</v>
      </c>
      <c r="E82" s="65">
        <f>SUM(D$4:D81)</f>
        <v>376.24475126803469</v>
      </c>
      <c r="F82" s="205">
        <f>Level!M82*VLOOKUP(A82,Plants!$C$4:$AI$47,33)*24*1.15+IF(VLOOKUP(A82,Goals!$AO$4:$AO$120,1)=A82,VLOOKUP(A82,Goals!$AO$4:$AQ$120,3)/D82,0)+VLOOKUP(A82,Level!$A$4:$C$203,3)/D82</f>
        <v>98599.865002836057</v>
      </c>
      <c r="G82" s="71">
        <f>Level!M82*VLOOKUP(A82,Plants!$C$4:$X$47,21)*24</f>
        <v>48960</v>
      </c>
      <c r="H82" s="63">
        <f t="shared" si="29"/>
        <v>0.5923202614379085</v>
      </c>
      <c r="I82" s="64">
        <f>SUM(H$4:H81)</f>
        <v>24.968992998393375</v>
      </c>
      <c r="J82" s="35">
        <f>Level!M82*VLOOKUP(A82,Plants!$C$4:$X$47,22)*24</f>
        <v>440640</v>
      </c>
      <c r="K82" s="239">
        <f t="shared" si="21"/>
        <v>776679</v>
      </c>
      <c r="L82" s="239">
        <f>SUM($K$4:K82)</f>
        <v>24342592</v>
      </c>
      <c r="M82" s="239">
        <f t="shared" si="22"/>
        <v>261000</v>
      </c>
      <c r="N82" s="239">
        <f>SUM($M$4:M82)</f>
        <v>8018928</v>
      </c>
      <c r="O82">
        <f>ROUNDUP(MIN(50,ROUNDUP(A82/3,0),Level!M82)*Plants!Q$4*0.005,0)</f>
        <v>1</v>
      </c>
      <c r="P82">
        <f>ROUNDUP(MAX(4,MIN(A82,VLOOKUP(A82,Level!$A$4:$M$203,13))*MIN(4,ROUNDUP(VLOOKUP(A82,Background!$C$3:$D$52,2)/5,0)))*VLOOKUP(A82,Plants!$C$4:$AJ$53,30)*0.025,0)</f>
        <v>103</v>
      </c>
      <c r="Q82">
        <f t="shared" si="23"/>
        <v>52.5</v>
      </c>
      <c r="R82">
        <f>ROUND(MIN(50,ROUNDUP(A82/3,0),Level!M82)*Plants!R$4,0)</f>
        <v>135</v>
      </c>
      <c r="S82" s="153">
        <f>ROUNDUP(MAX(4,MIN(A82,VLOOKUP(A82,Level!$A$4:$M$203,13))*MIN(4,ROUNDUP(VLOOKUP(A82,Background!$C$3:$D$52,2)/5,0)))*VLOOKUP(A82,Plants!$C$4:$AJ$53,31)*1.25,0)</f>
        <v>110600</v>
      </c>
      <c r="T82" s="153">
        <f t="shared" si="24"/>
        <v>55367.5</v>
      </c>
      <c r="U82">
        <f>SUM($K$4:K82)</f>
        <v>24342592</v>
      </c>
      <c r="V82">
        <f>VLOOKUP(A82,Garden!$B$4:$P$19,15)</f>
        <v>7070400</v>
      </c>
      <c r="W82">
        <f>VLOOKUP(A82,Plots!$B$4:$U$39,20)</f>
        <v>8471200</v>
      </c>
      <c r="X82">
        <f>VLOOKUP(A82,'Decoration Background'!$A$2:$H$200,8)</f>
        <v>13425315</v>
      </c>
      <c r="Y82">
        <f t="shared" si="17"/>
        <v>-4624323</v>
      </c>
      <c r="Z82" s="158">
        <f t="shared" si="18"/>
        <v>1.1899683895618018</v>
      </c>
      <c r="AA82">
        <f t="shared" si="19"/>
        <v>-4920183</v>
      </c>
      <c r="AB82" s="170">
        <f>MAX(0,(-Y82)/VLOOKUP($A82,Payment!$A$39:$G$239,7)*100)</f>
        <v>525.49124999999992</v>
      </c>
      <c r="AC82" s="138">
        <f t="shared" si="25"/>
        <v>564.96209302325587</v>
      </c>
      <c r="AD82">
        <f t="shared" si="20"/>
        <v>9480</v>
      </c>
      <c r="AE82">
        <f t="shared" si="26"/>
        <v>46.9</v>
      </c>
      <c r="AF82" s="79">
        <f t="shared" si="27"/>
        <v>52</v>
      </c>
    </row>
    <row r="83" spans="1:32">
      <c r="A83" s="36">
        <v>80</v>
      </c>
      <c r="B83" s="69">
        <f>Level!B84-Level!B83</f>
        <v>29500</v>
      </c>
      <c r="C83" s="73">
        <f>Level!M83*VLOOKUP(A83,Plants!$C$4:$AH$47,32)*24+(27/Level!T83)</f>
        <v>3681.5656267725467</v>
      </c>
      <c r="D83" s="62">
        <f t="shared" si="28"/>
        <v>8.0128953251503621</v>
      </c>
      <c r="E83" s="65">
        <f>SUM(D$4:D82)</f>
        <v>384.12183480801303</v>
      </c>
      <c r="F83" s="205">
        <f>Level!M83*VLOOKUP(A83,Plants!$C$4:$AI$47,33)*24*1.15+IF(VLOOKUP(A83,Goals!$AO$4:$AO$120,1)=A83,VLOOKUP(A83,Goals!$AO$4:$AQ$120,3)/D83,0)+VLOOKUP(A83,Level!$A$4:$C$203,3)/D83</f>
        <v>98599.865002836057</v>
      </c>
      <c r="G83" s="71">
        <f>Level!M83*VLOOKUP(A83,Plants!$C$4:$X$47,21)*24</f>
        <v>48960</v>
      </c>
      <c r="H83" s="63">
        <f t="shared" si="29"/>
        <v>0.60253267973856206</v>
      </c>
      <c r="I83" s="64">
        <f>SUM(H$4:H82)</f>
        <v>25.561313259831284</v>
      </c>
      <c r="J83" s="35">
        <f>Level!M83*VLOOKUP(A83,Plants!$C$4:$X$47,22)*24</f>
        <v>440640</v>
      </c>
      <c r="K83" s="239">
        <f t="shared" si="21"/>
        <v>790070</v>
      </c>
      <c r="L83" s="239">
        <f>SUM($K$4:K83)</f>
        <v>25132662</v>
      </c>
      <c r="M83" s="239">
        <f t="shared" si="22"/>
        <v>265500</v>
      </c>
      <c r="N83" s="239">
        <f>SUM($M$4:M83)</f>
        <v>8284428</v>
      </c>
      <c r="O83">
        <f>ROUNDUP(MIN(50,ROUNDUP(A83/3,0),Level!M83)*Plants!Q$4*0.005,0)</f>
        <v>1</v>
      </c>
      <c r="P83">
        <f>ROUNDUP(MAX(4,MIN(A83,VLOOKUP(A83,Level!$A$4:$M$203,13))*MIN(4,ROUNDUP(VLOOKUP(A83,Background!$C$3:$D$52,2)/5,0)))*VLOOKUP(A83,Plants!$C$4:$AJ$53,30)*0.025,0)</f>
        <v>104</v>
      </c>
      <c r="Q83">
        <f t="shared" si="23"/>
        <v>53</v>
      </c>
      <c r="R83">
        <f>ROUND(MIN(50,ROUNDUP(A83/3,0),Level!M83)*Plants!R$4,0)</f>
        <v>135</v>
      </c>
      <c r="S83" s="153">
        <f>ROUNDUP(MAX(4,MIN(A83,VLOOKUP(A83,Level!$A$4:$M$203,13))*MIN(4,ROUNDUP(VLOOKUP(A83,Background!$C$3:$D$52,2)/5,0)))*VLOOKUP(A83,Plants!$C$4:$AJ$53,31)*1.25,0)</f>
        <v>112000</v>
      </c>
      <c r="T83" s="153">
        <f t="shared" si="24"/>
        <v>56067.5</v>
      </c>
      <c r="U83">
        <f>SUM($K$4:K83)</f>
        <v>25132662</v>
      </c>
      <c r="V83">
        <f>VLOOKUP(A83,Garden!$B$4:$P$19,15)</f>
        <v>8970400</v>
      </c>
      <c r="W83">
        <f>VLOOKUP(A83,Plots!$B$4:$U$39,20)</f>
        <v>8471200</v>
      </c>
      <c r="X83">
        <f>VLOOKUP(A83,'Decoration Background'!$A$2:$H$200,8)</f>
        <v>13917084</v>
      </c>
      <c r="Y83">
        <f t="shared" si="17"/>
        <v>-6226022</v>
      </c>
      <c r="Z83" s="158">
        <f t="shared" si="18"/>
        <v>1.2477263252098008</v>
      </c>
      <c r="AA83">
        <f t="shared" si="19"/>
        <v>-6226022</v>
      </c>
      <c r="AB83" s="170">
        <f>MAX(0,(-Y83)/VLOOKUP($A83,Payment!$A$39:$G$239,7)*100)</f>
        <v>691.78022222222216</v>
      </c>
      <c r="AC83" s="138">
        <f t="shared" si="25"/>
        <v>691.78022222222216</v>
      </c>
      <c r="AD83">
        <f t="shared" si="20"/>
        <v>9720</v>
      </c>
      <c r="AE83">
        <f t="shared" si="26"/>
        <v>63.1</v>
      </c>
      <c r="AF83" s="79">
        <f t="shared" si="27"/>
        <v>63.1</v>
      </c>
    </row>
    <row r="84" spans="1:32">
      <c r="A84" s="36">
        <v>81</v>
      </c>
      <c r="B84" s="69">
        <f>Level!B85-Level!B84</f>
        <v>30000</v>
      </c>
      <c r="C84" s="73">
        <f>Level!M84*VLOOKUP(A84,Plants!$C$4:$AH$47,32)*24+(27/Level!T84)</f>
        <v>3711.9265486725667</v>
      </c>
      <c r="D84" s="62">
        <f t="shared" si="28"/>
        <v>8.0820564756941078</v>
      </c>
      <c r="E84" s="65">
        <f>SUM(D$4:D83)</f>
        <v>392.13473013316337</v>
      </c>
      <c r="F84" s="205">
        <f>Level!M84*VLOOKUP(A84,Plants!$C$4:$AI$47,33)*24*1.15+IF(VLOOKUP(A84,Goals!$AO$4:$AO$120,1)=A84,VLOOKUP(A84,Goals!$AO$4:$AQ$120,3)/D84,0)+VLOOKUP(A84,Level!$A$4:$C$203,3)/D84</f>
        <v>99298.861725663708</v>
      </c>
      <c r="G84" s="71">
        <f>Level!M84*VLOOKUP(A84,Plants!$C$4:$X$47,21)*24</f>
        <v>48960</v>
      </c>
      <c r="H84" s="63">
        <f t="shared" si="29"/>
        <v>0.61274509803921573</v>
      </c>
      <c r="I84" s="64">
        <f>SUM(H$4:H83)</f>
        <v>26.163845939569846</v>
      </c>
      <c r="J84" s="35">
        <f>Level!M84*VLOOKUP(A84,Plants!$C$4:$X$47,22)*24</f>
        <v>440640</v>
      </c>
      <c r="K84" s="239">
        <f t="shared" si="21"/>
        <v>802539</v>
      </c>
      <c r="L84" s="239">
        <f>SUM($K$4:K84)</f>
        <v>25935201</v>
      </c>
      <c r="M84" s="239">
        <f t="shared" si="22"/>
        <v>270000</v>
      </c>
      <c r="N84" s="239">
        <f>SUM($M$4:M84)</f>
        <v>8554428</v>
      </c>
      <c r="O84">
        <f>ROUNDUP(MIN(50,ROUNDUP(A84/3,0),Level!M84)*Plants!Q$4*0.005,0)</f>
        <v>1</v>
      </c>
      <c r="P84">
        <f>ROUNDUP(MAX(4,MIN(A84,VLOOKUP(A84,Level!$A$4:$M$203,13))*MIN(4,ROUNDUP(VLOOKUP(A84,Background!$C$3:$D$52,2)/5,0)))*VLOOKUP(A84,Plants!$C$4:$AJ$53,30)*0.025,0)</f>
        <v>106</v>
      </c>
      <c r="Q84">
        <f t="shared" si="23"/>
        <v>54</v>
      </c>
      <c r="R84">
        <f>ROUND(MIN(50,ROUNDUP(A84/3,0),Level!M84)*Plants!R$4,0)</f>
        <v>135</v>
      </c>
      <c r="S84" s="153">
        <f>ROUNDUP(MAX(4,MIN(A84,VLOOKUP(A84,Level!$A$4:$M$203,13))*MIN(4,ROUNDUP(VLOOKUP(A84,Background!$C$3:$D$52,2)/5,0)))*VLOOKUP(A84,Plants!$C$4:$AJ$53,31)*1.25,0)</f>
        <v>113400</v>
      </c>
      <c r="T84" s="153">
        <f t="shared" si="24"/>
        <v>56767.5</v>
      </c>
      <c r="U84">
        <f>SUM($K$4:K84)</f>
        <v>25935201</v>
      </c>
      <c r="V84">
        <f>VLOOKUP(A84,Garden!$B$4:$P$19,15)</f>
        <v>8970400</v>
      </c>
      <c r="W84">
        <f>VLOOKUP(A84,Plots!$B$4:$U$39,20)</f>
        <v>8471200</v>
      </c>
      <c r="X84">
        <f>VLOOKUP(A84,'Decoration Background'!$A$2:$H$200,8)</f>
        <v>14419803</v>
      </c>
      <c r="Y84">
        <f t="shared" si="17"/>
        <v>-5926202</v>
      </c>
      <c r="Z84" s="158">
        <f t="shared" si="18"/>
        <v>1.2285003304967639</v>
      </c>
      <c r="AA84">
        <f t="shared" si="19"/>
        <v>-6226022</v>
      </c>
      <c r="AB84" s="170">
        <f>MAX(0,(-Y84)/VLOOKUP($A84,Payment!$A$39:$G$239,7)*100)</f>
        <v>658.46688888888889</v>
      </c>
      <c r="AC84" s="138">
        <f t="shared" si="25"/>
        <v>691.78022222222216</v>
      </c>
      <c r="AD84">
        <f t="shared" si="20"/>
        <v>9963</v>
      </c>
      <c r="AE84">
        <f t="shared" si="26"/>
        <v>59.7</v>
      </c>
      <c r="AF84" s="79">
        <f t="shared" si="27"/>
        <v>63.1</v>
      </c>
    </row>
    <row r="85" spans="1:32">
      <c r="A85" s="36">
        <v>82</v>
      </c>
      <c r="B85" s="69">
        <f>Level!B86-Level!B85</f>
        <v>30500</v>
      </c>
      <c r="C85" s="73">
        <f>Level!M85*VLOOKUP(A85,Plants!$C$4:$AH$47,32)*24+(27/Level!T85)</f>
        <v>3857.2805309734517</v>
      </c>
      <c r="D85" s="62">
        <f t="shared" si="28"/>
        <v>7.9071251766857609</v>
      </c>
      <c r="E85" s="65">
        <f>SUM(D$4:D84)</f>
        <v>400.21678660885749</v>
      </c>
      <c r="F85" s="205">
        <f>Level!M85*VLOOKUP(A85,Plants!$C$4:$AI$47,33)*24*1.15+IF(VLOOKUP(A85,Goals!$AO$4:$AO$120,1)=A85,VLOOKUP(A85,Goals!$AO$4:$AQ$120,3)/D85,0)+VLOOKUP(A85,Level!$A$4:$C$203,3)/D85</f>
        <v>103192.93473451326</v>
      </c>
      <c r="G85" s="71">
        <f>Level!M85*VLOOKUP(A85,Plants!$C$4:$X$47,21)*24</f>
        <v>50880</v>
      </c>
      <c r="H85" s="63">
        <f t="shared" si="29"/>
        <v>0.59944968553459121</v>
      </c>
      <c r="I85" s="64">
        <f>SUM(H$4:H84)</f>
        <v>26.776591037609062</v>
      </c>
      <c r="J85" s="35">
        <f>Level!M85*VLOOKUP(A85,Plants!$C$4:$X$47,22)*24</f>
        <v>457920</v>
      </c>
      <c r="K85" s="239">
        <f t="shared" si="21"/>
        <v>815959</v>
      </c>
      <c r="L85" s="239">
        <f>SUM($K$4:K85)</f>
        <v>26751160</v>
      </c>
      <c r="M85" s="239">
        <f t="shared" si="22"/>
        <v>274500</v>
      </c>
      <c r="N85" s="239">
        <f>SUM($M$4:M85)</f>
        <v>8828928</v>
      </c>
      <c r="O85">
        <f>ROUNDUP(MIN(50,ROUNDUP(A85/3,0),Level!M85)*Plants!Q$4*0.005,0)</f>
        <v>1</v>
      </c>
      <c r="P85">
        <f>ROUNDUP(MAX(4,MIN(A85,VLOOKUP(A85,Level!$A$4:$M$203,13))*MIN(4,ROUNDUP(VLOOKUP(A85,Background!$C$3:$D$52,2)/5,0)))*VLOOKUP(A85,Plants!$C$4:$AJ$53,30)*0.025,0)</f>
        <v>107</v>
      </c>
      <c r="Q85">
        <f t="shared" si="23"/>
        <v>54.5</v>
      </c>
      <c r="R85">
        <f>ROUND(MIN(50,ROUNDUP(A85/3,0),Level!M85)*Plants!R$4,0)</f>
        <v>140</v>
      </c>
      <c r="S85" s="153">
        <f>ROUNDUP(MAX(4,MIN(A85,VLOOKUP(A85,Level!$A$4:$M$203,13))*MIN(4,ROUNDUP(VLOOKUP(A85,Background!$C$3:$D$52,2)/5,0)))*VLOOKUP(A85,Plants!$C$4:$AJ$53,31)*1.25,0)</f>
        <v>114800</v>
      </c>
      <c r="T85" s="153">
        <f t="shared" si="24"/>
        <v>57470</v>
      </c>
      <c r="U85">
        <f>SUM($K$4:K85)</f>
        <v>26751160</v>
      </c>
      <c r="V85">
        <f>VLOOKUP(A85,Garden!$B$4:$P$19,15)</f>
        <v>8970400</v>
      </c>
      <c r="W85">
        <f>VLOOKUP(A85,Plots!$B$4:$U$39,20)</f>
        <v>9471200</v>
      </c>
      <c r="X85">
        <f>VLOOKUP(A85,'Decoration Background'!$A$2:$H$200,8)</f>
        <v>14933472</v>
      </c>
      <c r="Y85">
        <f t="shared" si="17"/>
        <v>-6623912</v>
      </c>
      <c r="Z85" s="158">
        <f t="shared" si="18"/>
        <v>1.2476121409314587</v>
      </c>
      <c r="AA85">
        <f t="shared" si="19"/>
        <v>-6623912</v>
      </c>
      <c r="AB85" s="170">
        <f>MAX(0,(-Y85)/VLOOKUP($A85,Payment!$A$39:$G$239,7)*100)</f>
        <v>735.9902222222222</v>
      </c>
      <c r="AC85" s="138">
        <f t="shared" si="25"/>
        <v>735.9902222222222</v>
      </c>
      <c r="AD85">
        <f t="shared" si="20"/>
        <v>10209</v>
      </c>
      <c r="AE85">
        <f t="shared" si="26"/>
        <v>64.2</v>
      </c>
      <c r="AF85" s="79">
        <f t="shared" si="27"/>
        <v>64.2</v>
      </c>
    </row>
    <row r="86" spans="1:32">
      <c r="A86" s="36">
        <v>83</v>
      </c>
      <c r="B86" s="69">
        <f>Level!B87-Level!B86</f>
        <v>31000</v>
      </c>
      <c r="C86" s="73">
        <f>Level!M86*VLOOKUP(A86,Plants!$C$4:$AH$47,32)*24+(27/Level!T86)</f>
        <v>3887.2996222342149</v>
      </c>
      <c r="D86" s="62">
        <f t="shared" si="28"/>
        <v>7.9746875755830819</v>
      </c>
      <c r="E86" s="65">
        <f>SUM(D$4:D85)</f>
        <v>408.12391178554327</v>
      </c>
      <c r="F86" s="205">
        <f>Level!M86*VLOOKUP(A86,Plants!$C$4:$AI$47,33)*24*1.15+IF(VLOOKUP(A86,Goals!$AO$4:$AO$120,1)=A86,VLOOKUP(A86,Goals!$AO$4:$AQ$120,3)/D86,0)+VLOOKUP(A86,Level!$A$4:$C$203,3)/D86</f>
        <v>103943.26821370749</v>
      </c>
      <c r="G86" s="71">
        <f>Level!M86*VLOOKUP(A86,Plants!$C$4:$X$47,21)*24</f>
        <v>50880</v>
      </c>
      <c r="H86" s="63">
        <f t="shared" si="29"/>
        <v>0.60927672955974843</v>
      </c>
      <c r="I86" s="64">
        <f>SUM(H$4:H85)</f>
        <v>27.376040723143653</v>
      </c>
      <c r="J86" s="35">
        <f>Level!M86*VLOOKUP(A86,Plants!$C$4:$X$47,22)*24</f>
        <v>457920</v>
      </c>
      <c r="K86" s="239">
        <f t="shared" si="21"/>
        <v>828915</v>
      </c>
      <c r="L86" s="239">
        <f>SUM($K$4:K86)</f>
        <v>27580075</v>
      </c>
      <c r="M86" s="239">
        <f t="shared" si="22"/>
        <v>279000</v>
      </c>
      <c r="N86" s="239">
        <f>SUM($M$4:M86)</f>
        <v>9107928</v>
      </c>
      <c r="O86">
        <f>ROUNDUP(MIN(50,ROUNDUP(A86/3,0),Level!M86)*Plants!Q$4*0.005,0)</f>
        <v>1</v>
      </c>
      <c r="P86">
        <f>ROUNDUP(MAX(4,MIN(A86,VLOOKUP(A86,Level!$A$4:$M$203,13))*MIN(4,ROUNDUP(VLOOKUP(A86,Background!$C$3:$D$52,2)/5,0)))*VLOOKUP(A86,Plants!$C$4:$AJ$53,30)*0.025,0)</f>
        <v>108</v>
      </c>
      <c r="Q86">
        <f t="shared" si="23"/>
        <v>55</v>
      </c>
      <c r="R86">
        <f>ROUND(MIN(50,ROUNDUP(A86/3,0),Level!M86)*Plants!R$4,0)</f>
        <v>140</v>
      </c>
      <c r="S86" s="153">
        <f>ROUNDUP(MAX(4,MIN(A86,VLOOKUP(A86,Level!$A$4:$M$203,13))*MIN(4,ROUNDUP(VLOOKUP(A86,Background!$C$3:$D$52,2)/5,0)))*VLOOKUP(A86,Plants!$C$4:$AJ$53,31)*1.25,0)</f>
        <v>116200</v>
      </c>
      <c r="T86" s="153">
        <f t="shared" si="24"/>
        <v>58170</v>
      </c>
      <c r="U86">
        <f>SUM($K$4:K86)</f>
        <v>27580075</v>
      </c>
      <c r="V86">
        <f>VLOOKUP(A86,Garden!$B$4:$P$19,15)</f>
        <v>8970400</v>
      </c>
      <c r="W86">
        <f>VLOOKUP(A86,Plots!$B$4:$U$39,20)</f>
        <v>9471200</v>
      </c>
      <c r="X86">
        <f>VLOOKUP(A86,'Decoration Background'!$A$2:$H$200,8)</f>
        <v>15458091</v>
      </c>
      <c r="Y86">
        <f t="shared" si="17"/>
        <v>-6319616</v>
      </c>
      <c r="Z86" s="158">
        <f t="shared" si="18"/>
        <v>1.2291370128616401</v>
      </c>
      <c r="AA86">
        <f t="shared" si="19"/>
        <v>-6623912</v>
      </c>
      <c r="AB86" s="170">
        <f>MAX(0,(-Y86)/VLOOKUP($A86,Payment!$A$39:$G$239,7)*100)</f>
        <v>702.17955555555557</v>
      </c>
      <c r="AC86" s="138">
        <f t="shared" si="25"/>
        <v>735.9902222222222</v>
      </c>
      <c r="AD86">
        <f t="shared" si="20"/>
        <v>10458</v>
      </c>
      <c r="AE86">
        <f t="shared" si="26"/>
        <v>60.8</v>
      </c>
      <c r="AF86" s="79">
        <f t="shared" si="27"/>
        <v>64.2</v>
      </c>
    </row>
    <row r="87" spans="1:32">
      <c r="A87" s="36">
        <v>84</v>
      </c>
      <c r="B87" s="69">
        <f>Level!B88-Level!B87</f>
        <v>31500</v>
      </c>
      <c r="C87" s="73">
        <f>Level!M87*VLOOKUP(A87,Plants!$C$4:$AH$47,32)*24+(27/Level!T87)</f>
        <v>3887.2996222342149</v>
      </c>
      <c r="D87" s="62">
        <f t="shared" si="28"/>
        <v>8.1033115687376469</v>
      </c>
      <c r="E87" s="65">
        <f>SUM(D$4:D86)</f>
        <v>416.09859936112633</v>
      </c>
      <c r="F87" s="205">
        <f>Level!M87*VLOOKUP(A87,Plants!$C$4:$AI$47,33)*24*1.15+IF(VLOOKUP(A87,Goals!$AO$4:$AO$120,1)=A87,VLOOKUP(A87,Goals!$AO$4:$AQ$120,3)/D87,0)+VLOOKUP(A87,Level!$A$4:$C$203,3)/D87</f>
        <v>103943.26821370749</v>
      </c>
      <c r="G87" s="71">
        <f>Level!M87*VLOOKUP(A87,Plants!$C$4:$X$47,21)*24</f>
        <v>50880</v>
      </c>
      <c r="H87" s="63">
        <f t="shared" si="29"/>
        <v>0.61910377358490565</v>
      </c>
      <c r="I87" s="64">
        <f>SUM(H$4:H86)</f>
        <v>27.985317452703402</v>
      </c>
      <c r="J87" s="35">
        <f>Level!M87*VLOOKUP(A87,Plants!$C$4:$X$47,22)*24</f>
        <v>457920</v>
      </c>
      <c r="K87" s="239">
        <f t="shared" si="21"/>
        <v>842285</v>
      </c>
      <c r="L87" s="239">
        <f>SUM($K$4:K87)</f>
        <v>28422360</v>
      </c>
      <c r="M87" s="239">
        <f t="shared" si="22"/>
        <v>283500</v>
      </c>
      <c r="N87" s="239">
        <f>SUM($M$4:M87)</f>
        <v>9391428</v>
      </c>
      <c r="O87">
        <f>ROUNDUP(MIN(50,ROUNDUP(A87/3,0),Level!M87)*Plants!Q$4*0.005,0)</f>
        <v>1</v>
      </c>
      <c r="P87">
        <f>ROUNDUP(MAX(4,MIN(A87,VLOOKUP(A87,Level!$A$4:$M$203,13))*MIN(4,ROUNDUP(VLOOKUP(A87,Background!$C$3:$D$52,2)/5,0)))*VLOOKUP(A87,Plants!$C$4:$AJ$53,30)*0.025,0)</f>
        <v>110</v>
      </c>
      <c r="Q87">
        <f t="shared" si="23"/>
        <v>56</v>
      </c>
      <c r="R87">
        <f>ROUND(MIN(50,ROUNDUP(A87/3,0),Level!M87)*Plants!R$4,0)</f>
        <v>140</v>
      </c>
      <c r="S87" s="153">
        <f>ROUNDUP(MAX(4,MIN(A87,VLOOKUP(A87,Level!$A$4:$M$203,13))*MIN(4,ROUNDUP(VLOOKUP(A87,Background!$C$3:$D$52,2)/5,0)))*VLOOKUP(A87,Plants!$C$4:$AJ$53,31)*1.25,0)</f>
        <v>117600</v>
      </c>
      <c r="T87" s="153">
        <f t="shared" si="24"/>
        <v>58870</v>
      </c>
      <c r="U87">
        <f>SUM($K$4:K87)</f>
        <v>28422360</v>
      </c>
      <c r="V87">
        <f>VLOOKUP(A87,Garden!$B$4:$P$19,15)</f>
        <v>8970400</v>
      </c>
      <c r="W87">
        <f>VLOOKUP(A87,Plots!$B$4:$U$39,20)</f>
        <v>9471200</v>
      </c>
      <c r="X87">
        <f>VLOOKUP(A87,'Decoration Background'!$A$2:$H$200,8)</f>
        <v>15993660</v>
      </c>
      <c r="Y87">
        <f t="shared" si="17"/>
        <v>-6012900</v>
      </c>
      <c r="Z87" s="158">
        <f t="shared" si="18"/>
        <v>1.2115552684576509</v>
      </c>
      <c r="AA87">
        <f t="shared" si="19"/>
        <v>-6623912</v>
      </c>
      <c r="AB87" s="170">
        <f>MAX(0,(-Y87)/VLOOKUP($A87,Payment!$A$39:$G$239,7)*100)</f>
        <v>653.57608695652175</v>
      </c>
      <c r="AC87" s="138">
        <f t="shared" si="25"/>
        <v>735.9902222222222</v>
      </c>
      <c r="AD87">
        <f t="shared" si="20"/>
        <v>10710</v>
      </c>
      <c r="AE87">
        <f t="shared" si="26"/>
        <v>57.8</v>
      </c>
      <c r="AF87" s="79">
        <f t="shared" si="27"/>
        <v>64.2</v>
      </c>
    </row>
    <row r="88" spans="1:32">
      <c r="A88" s="36">
        <v>85</v>
      </c>
      <c r="B88" s="69">
        <f>Level!B89-Level!B88</f>
        <v>32000</v>
      </c>
      <c r="C88" s="73">
        <f>Level!M88*VLOOKUP(A88,Plants!$C$4:$AH$47,32)*24+(27/Level!T88)</f>
        <v>4063.4611169652267</v>
      </c>
      <c r="D88" s="62">
        <f t="shared" si="28"/>
        <v>7.8750599744631051</v>
      </c>
      <c r="E88" s="65">
        <f>SUM(D$4:D87)</f>
        <v>424.20191092986397</v>
      </c>
      <c r="F88" s="205">
        <f>Level!M88*VLOOKUP(A88,Plants!$C$4:$AI$47,33)*24*1.15+IF(VLOOKUP(A88,Goals!$AO$4:$AO$120,1)=A88,VLOOKUP(A88,Goals!$AO$4:$AQ$120,3)/D88,0)+VLOOKUP(A88,Level!$A$4:$C$203,3)/D88</f>
        <v>108607.38145416229</v>
      </c>
      <c r="G88" s="71">
        <f>Level!M88*VLOOKUP(A88,Plants!$C$4:$X$47,21)*24</f>
        <v>52800</v>
      </c>
      <c r="H88" s="63">
        <f t="shared" si="29"/>
        <v>0.60606060606060608</v>
      </c>
      <c r="I88" s="64">
        <f>SUM(H$4:H87)</f>
        <v>28.604421226288309</v>
      </c>
      <c r="J88" s="35">
        <f>Level!M88*VLOOKUP(A88,Plants!$C$4:$X$47,22)*24</f>
        <v>475200</v>
      </c>
      <c r="K88" s="239">
        <f t="shared" si="21"/>
        <v>855290</v>
      </c>
      <c r="L88" s="239">
        <f>SUM($K$4:K88)</f>
        <v>29277650</v>
      </c>
      <c r="M88" s="239">
        <f t="shared" si="22"/>
        <v>288000</v>
      </c>
      <c r="N88" s="239">
        <f>SUM($M$4:M88)</f>
        <v>9679428</v>
      </c>
      <c r="O88">
        <f>ROUNDUP(MIN(50,ROUNDUP(A88/3,0),Level!M88)*Plants!Q$4*0.005,0)</f>
        <v>1</v>
      </c>
      <c r="P88">
        <f>ROUNDUP(MAX(4,MIN(A88,VLOOKUP(A88,Level!$A$4:$M$203,13))*MIN(4,ROUNDUP(VLOOKUP(A88,Background!$C$3:$D$52,2)/5,0)))*VLOOKUP(A88,Plants!$C$4:$AJ$53,30)*0.025,0)</f>
        <v>111</v>
      </c>
      <c r="Q88">
        <f t="shared" si="23"/>
        <v>56.5</v>
      </c>
      <c r="R88">
        <f>ROUND(MIN(50,ROUNDUP(A88/3,0),Level!M88)*Plants!R$4,0)</f>
        <v>145</v>
      </c>
      <c r="S88" s="153">
        <f>ROUNDUP(MAX(4,MIN(A88,VLOOKUP(A88,Level!$A$4:$M$203,13))*MIN(4,ROUNDUP(VLOOKUP(A88,Background!$C$3:$D$52,2)/5,0)))*VLOOKUP(A88,Plants!$C$4:$AJ$53,31)*1.25,0)</f>
        <v>119000</v>
      </c>
      <c r="T88" s="153">
        <f t="shared" si="24"/>
        <v>59572.5</v>
      </c>
      <c r="U88">
        <f>SUM($K$4:K88)</f>
        <v>29277650</v>
      </c>
      <c r="V88">
        <f>VLOOKUP(A88,Garden!$B$4:$P$19,15)</f>
        <v>8970400</v>
      </c>
      <c r="W88">
        <f>VLOOKUP(A88,Plots!$B$4:$U$39,20)</f>
        <v>10571200</v>
      </c>
      <c r="X88">
        <f>VLOOKUP(A88,'Decoration Background'!$A$2:$H$200,8)</f>
        <v>16540179</v>
      </c>
      <c r="Y88">
        <f t="shared" si="17"/>
        <v>-6804129</v>
      </c>
      <c r="Z88" s="158">
        <f t="shared" si="18"/>
        <v>1.2324001072490449</v>
      </c>
      <c r="AA88">
        <f t="shared" si="19"/>
        <v>-6804129</v>
      </c>
      <c r="AB88" s="170">
        <f>MAX(0,(-Y88)/VLOOKUP($A88,Payment!$A$39:$G$239,7)*100)</f>
        <v>739.57923913043487</v>
      </c>
      <c r="AC88" s="138">
        <f t="shared" si="25"/>
        <v>739.57923913043487</v>
      </c>
      <c r="AD88">
        <f t="shared" si="20"/>
        <v>10965</v>
      </c>
      <c r="AE88">
        <f t="shared" si="26"/>
        <v>62.6</v>
      </c>
      <c r="AF88" s="79">
        <f t="shared" si="27"/>
        <v>64.2</v>
      </c>
    </row>
    <row r="89" spans="1:32">
      <c r="A89" s="36">
        <v>86</v>
      </c>
      <c r="B89" s="69">
        <f>Level!B90-Level!B89</f>
        <v>32500</v>
      </c>
      <c r="C89" s="73">
        <f>Level!M89*VLOOKUP(A89,Plants!$C$4:$AH$47,32)*24+(27/Level!T89)</f>
        <v>4063.4611169652267</v>
      </c>
      <c r="D89" s="62">
        <f t="shared" si="28"/>
        <v>7.9981077865640913</v>
      </c>
      <c r="E89" s="65">
        <f>SUM(D$4:D88)</f>
        <v>432.07697090432708</v>
      </c>
      <c r="F89" s="205">
        <f>Level!M89*VLOOKUP(A89,Plants!$C$4:$AI$47,33)*24*1.15+IF(VLOOKUP(A89,Goals!$AO$4:$AO$120,1)=A89,VLOOKUP(A89,Goals!$AO$4:$AQ$120,3)/D89,0)+VLOOKUP(A89,Level!$A$4:$C$203,3)/D89</f>
        <v>108607.38145416229</v>
      </c>
      <c r="G89" s="71">
        <f>Level!M89*VLOOKUP(A89,Plants!$C$4:$X$47,21)*24</f>
        <v>52800</v>
      </c>
      <c r="H89" s="63">
        <f t="shared" si="29"/>
        <v>0.61553030303030298</v>
      </c>
      <c r="I89" s="64">
        <f>SUM(H$4:H88)</f>
        <v>29.210481832348915</v>
      </c>
      <c r="J89" s="35">
        <f>Level!M89*VLOOKUP(A89,Plants!$C$4:$X$47,22)*24</f>
        <v>475200</v>
      </c>
      <c r="K89" s="239">
        <f t="shared" si="21"/>
        <v>868654</v>
      </c>
      <c r="L89" s="239">
        <f>SUM($K$4:K89)</f>
        <v>30146304</v>
      </c>
      <c r="M89" s="239">
        <f t="shared" si="22"/>
        <v>292500</v>
      </c>
      <c r="N89" s="239">
        <f>SUM($M$4:M89)</f>
        <v>9971928</v>
      </c>
      <c r="O89">
        <f>ROUNDUP(MIN(50,ROUNDUP(A89/3,0),Level!M89)*Plants!Q$4*0.005,0)</f>
        <v>1</v>
      </c>
      <c r="P89">
        <f>ROUNDUP(MAX(4,MIN(A89,VLOOKUP(A89,Level!$A$4:$M$203,13))*MIN(4,ROUNDUP(VLOOKUP(A89,Background!$C$3:$D$52,2)/5,0)))*VLOOKUP(A89,Plants!$C$4:$AJ$53,30)*0.025,0)</f>
        <v>112</v>
      </c>
      <c r="Q89">
        <f t="shared" si="23"/>
        <v>57</v>
      </c>
      <c r="R89">
        <f>ROUND(MIN(50,ROUNDUP(A89/3,0),Level!M89)*Plants!R$4,0)</f>
        <v>145</v>
      </c>
      <c r="S89" s="153">
        <f>ROUNDUP(MAX(4,MIN(A89,VLOOKUP(A89,Level!$A$4:$M$203,13))*MIN(4,ROUNDUP(VLOOKUP(A89,Background!$C$3:$D$52,2)/5,0)))*VLOOKUP(A89,Plants!$C$4:$AJ$53,31)*1.25,0)</f>
        <v>120400</v>
      </c>
      <c r="T89" s="153">
        <f t="shared" si="24"/>
        <v>60272.5</v>
      </c>
      <c r="U89">
        <f>SUM($K$4:K89)</f>
        <v>30146304</v>
      </c>
      <c r="V89">
        <f>VLOOKUP(A89,Garden!$B$4:$P$19,15)</f>
        <v>8970400</v>
      </c>
      <c r="W89">
        <f>VLOOKUP(A89,Plots!$B$4:$U$39,20)</f>
        <v>10571200</v>
      </c>
      <c r="X89">
        <f>VLOOKUP(A89,'Decoration Background'!$A$2:$H$200,8)</f>
        <v>17097648</v>
      </c>
      <c r="Y89">
        <f t="shared" si="17"/>
        <v>-6492944</v>
      </c>
      <c r="Z89" s="158">
        <f t="shared" si="18"/>
        <v>1.2153810961370257</v>
      </c>
      <c r="AA89">
        <f t="shared" si="19"/>
        <v>-6804129</v>
      </c>
      <c r="AB89" s="170">
        <f>MAX(0,(-Y89)/VLOOKUP($A89,Payment!$A$39:$G$239,7)*100)</f>
        <v>705.75478260869568</v>
      </c>
      <c r="AC89" s="138">
        <f t="shared" si="25"/>
        <v>739.57923913043487</v>
      </c>
      <c r="AD89">
        <f t="shared" si="20"/>
        <v>11223</v>
      </c>
      <c r="AE89">
        <f t="shared" si="26"/>
        <v>59.8</v>
      </c>
      <c r="AF89" s="79">
        <f t="shared" si="27"/>
        <v>64.2</v>
      </c>
    </row>
    <row r="90" spans="1:32">
      <c r="A90" s="36">
        <v>87</v>
      </c>
      <c r="B90" s="69">
        <f>Level!B91-Level!B90</f>
        <v>33000</v>
      </c>
      <c r="C90" s="73">
        <f>Level!M90*VLOOKUP(A90,Plants!$C$4:$AH$47,32)*24+(27/Level!T90)</f>
        <v>4063.4611169652267</v>
      </c>
      <c r="D90" s="62">
        <f t="shared" si="28"/>
        <v>8.1211555986650783</v>
      </c>
      <c r="E90" s="65">
        <f>SUM(D$4:D89)</f>
        <v>440.07507869089119</v>
      </c>
      <c r="F90" s="205">
        <f>Level!M90*VLOOKUP(A90,Plants!$C$4:$AI$47,33)*24*1.15+IF(VLOOKUP(A90,Goals!$AO$4:$AO$120,1)=A90,VLOOKUP(A90,Goals!$AO$4:$AQ$120,3)/D90,0)+VLOOKUP(A90,Level!$A$4:$C$203,3)/D90</f>
        <v>108607.38145416229</v>
      </c>
      <c r="G90" s="71">
        <f>Level!M90*VLOOKUP(A90,Plants!$C$4:$X$47,21)*24</f>
        <v>52800</v>
      </c>
      <c r="H90" s="63">
        <f t="shared" si="29"/>
        <v>0.625</v>
      </c>
      <c r="I90" s="64">
        <f>SUM(H$4:H89)</f>
        <v>29.826012135379219</v>
      </c>
      <c r="J90" s="35">
        <f>Level!M90*VLOOKUP(A90,Plants!$C$4:$X$47,22)*24</f>
        <v>475200</v>
      </c>
      <c r="K90" s="239">
        <f t="shared" si="21"/>
        <v>882017</v>
      </c>
      <c r="L90" s="239">
        <f>SUM($K$4:K90)</f>
        <v>31028321</v>
      </c>
      <c r="M90" s="239">
        <f t="shared" si="22"/>
        <v>297000</v>
      </c>
      <c r="N90" s="239">
        <f>SUM($M$4:M90)</f>
        <v>10268928</v>
      </c>
      <c r="O90">
        <f>ROUNDUP(MIN(50,ROUNDUP(A90/3,0),Level!M90)*Plants!Q$4*0.005,0)</f>
        <v>1</v>
      </c>
      <c r="P90">
        <f>ROUNDUP(MAX(4,MIN(A90,VLOOKUP(A90,Level!$A$4:$M$203,13))*MIN(4,ROUNDUP(VLOOKUP(A90,Background!$C$3:$D$52,2)/5,0)))*VLOOKUP(A90,Plants!$C$4:$AJ$53,30)*0.025,0)</f>
        <v>114</v>
      </c>
      <c r="Q90">
        <f t="shared" si="23"/>
        <v>58</v>
      </c>
      <c r="R90">
        <f>ROUND(MIN(50,ROUNDUP(A90/3,0),Level!M90)*Plants!R$4,0)</f>
        <v>145</v>
      </c>
      <c r="S90" s="153">
        <f>ROUNDUP(MAX(4,MIN(A90,VLOOKUP(A90,Level!$A$4:$M$203,13))*MIN(4,ROUNDUP(VLOOKUP(A90,Background!$C$3:$D$52,2)/5,0)))*VLOOKUP(A90,Plants!$C$4:$AJ$53,31)*1.25,0)</f>
        <v>121800</v>
      </c>
      <c r="T90" s="153">
        <f t="shared" si="24"/>
        <v>60972.5</v>
      </c>
      <c r="U90">
        <f>SUM($K$4:K90)</f>
        <v>31028321</v>
      </c>
      <c r="V90">
        <f>VLOOKUP(A90,Garden!$B$4:$P$19,15)</f>
        <v>11070400</v>
      </c>
      <c r="W90">
        <f>VLOOKUP(A90,Plots!$B$4:$U$39,20)</f>
        <v>10571200</v>
      </c>
      <c r="X90">
        <f>VLOOKUP(A90,'Decoration Background'!$A$2:$H$200,8)</f>
        <v>17666067</v>
      </c>
      <c r="Y90">
        <f t="shared" si="17"/>
        <v>-8279346</v>
      </c>
      <c r="Z90" s="158">
        <f t="shared" si="18"/>
        <v>1.2668319049554759</v>
      </c>
      <c r="AA90">
        <f t="shared" si="19"/>
        <v>-8279346</v>
      </c>
      <c r="AB90" s="170">
        <f>MAX(0,(-Y90)/VLOOKUP($A90,Payment!$A$39:$G$239,7)*100)</f>
        <v>899.92891304347825</v>
      </c>
      <c r="AC90" s="138">
        <f t="shared" si="25"/>
        <v>899.92891304347825</v>
      </c>
      <c r="AD90">
        <f t="shared" si="20"/>
        <v>11484</v>
      </c>
      <c r="AE90">
        <f t="shared" si="26"/>
        <v>76.2</v>
      </c>
      <c r="AF90" s="79">
        <f t="shared" si="27"/>
        <v>76.2</v>
      </c>
    </row>
    <row r="91" spans="1:32">
      <c r="A91" s="36">
        <v>88</v>
      </c>
      <c r="B91" s="69">
        <f>Level!B92-Level!B91</f>
        <v>33500</v>
      </c>
      <c r="C91" s="73">
        <f>Level!M91*VLOOKUP(A91,Plants!$C$4:$AH$47,32)*24+(27/Level!T91)</f>
        <v>4063.4611169652267</v>
      </c>
      <c r="D91" s="62">
        <f t="shared" si="28"/>
        <v>8.2442034107660636</v>
      </c>
      <c r="E91" s="65">
        <f>SUM(D$4:D90)</f>
        <v>448.19623428955629</v>
      </c>
      <c r="F91" s="205">
        <f>Level!M91*VLOOKUP(A91,Plants!$C$4:$AI$47,33)*24*1.15+IF(VLOOKUP(A91,Goals!$AO$4:$AO$120,1)=A91,VLOOKUP(A91,Goals!$AO$4:$AQ$120,3)/D91,0)+VLOOKUP(A91,Level!$A$4:$C$203,3)/D91</f>
        <v>108607.38145416229</v>
      </c>
      <c r="G91" s="71">
        <f>Level!M91*VLOOKUP(A91,Plants!$C$4:$X$47,21)*24</f>
        <v>52800</v>
      </c>
      <c r="H91" s="63">
        <f t="shared" si="29"/>
        <v>0.63446969696969702</v>
      </c>
      <c r="I91" s="64">
        <f>SUM(H$4:H90)</f>
        <v>30.451012135379219</v>
      </c>
      <c r="J91" s="35">
        <f>Level!M91*VLOOKUP(A91,Plants!$C$4:$X$47,22)*24</f>
        <v>475200</v>
      </c>
      <c r="K91" s="239">
        <f t="shared" si="21"/>
        <v>895381</v>
      </c>
      <c r="L91" s="239">
        <f>SUM($K$4:K91)</f>
        <v>31923702</v>
      </c>
      <c r="M91" s="239">
        <f t="shared" si="22"/>
        <v>301500</v>
      </c>
      <c r="N91" s="239">
        <f>SUM($M$4:M91)</f>
        <v>10570428</v>
      </c>
      <c r="O91">
        <f>ROUNDUP(MIN(50,ROUNDUP(A91/3,0),Level!M91)*Plants!Q$4*0.005,0)</f>
        <v>1</v>
      </c>
      <c r="P91">
        <f>ROUNDUP(MAX(4,MIN(A91,VLOOKUP(A91,Level!$A$4:$M$203,13))*MIN(4,ROUNDUP(VLOOKUP(A91,Background!$C$3:$D$52,2)/5,0)))*VLOOKUP(A91,Plants!$C$4:$AJ$53,30)*0.025,0)</f>
        <v>115</v>
      </c>
      <c r="Q91">
        <f t="shared" si="23"/>
        <v>58.5</v>
      </c>
      <c r="R91">
        <f>ROUND(MIN(50,ROUNDUP(A91/3,0),Level!M91)*Plants!R$4,0)</f>
        <v>150</v>
      </c>
      <c r="S91" s="153">
        <f>ROUNDUP(MAX(4,MIN(A91,VLOOKUP(A91,Level!$A$4:$M$203,13))*MIN(4,ROUNDUP(VLOOKUP(A91,Background!$C$3:$D$52,2)/5,0)))*VLOOKUP(A91,Plants!$C$4:$AJ$53,31)*1.25,0)</f>
        <v>123200</v>
      </c>
      <c r="T91" s="153">
        <f t="shared" si="24"/>
        <v>61675</v>
      </c>
      <c r="U91">
        <f>SUM($K$4:K91)</f>
        <v>31923702</v>
      </c>
      <c r="V91">
        <f>VLOOKUP(A91,Garden!$B$4:$P$19,15)</f>
        <v>11070400</v>
      </c>
      <c r="W91">
        <f>VLOOKUP(A91,Plots!$B$4:$U$39,20)</f>
        <v>10571200</v>
      </c>
      <c r="X91">
        <f>VLOOKUP(A91,'Decoration Background'!$A$2:$H$200,8)</f>
        <v>18245436</v>
      </c>
      <c r="Y91">
        <f t="shared" si="17"/>
        <v>-7963334</v>
      </c>
      <c r="Z91" s="158">
        <f t="shared" si="18"/>
        <v>1.2494489517537783</v>
      </c>
      <c r="AA91">
        <f t="shared" si="19"/>
        <v>-8279346</v>
      </c>
      <c r="AB91" s="170">
        <f>MAX(0,(-Y91)/VLOOKUP($A91,Payment!$A$39:$G$239,7)*100)</f>
        <v>847.16319148936168</v>
      </c>
      <c r="AC91" s="138">
        <f t="shared" si="25"/>
        <v>899.92891304347825</v>
      </c>
      <c r="AD91">
        <f t="shared" si="20"/>
        <v>11748</v>
      </c>
      <c r="AE91">
        <f t="shared" si="26"/>
        <v>73.3</v>
      </c>
      <c r="AF91" s="79">
        <f t="shared" si="27"/>
        <v>76.2</v>
      </c>
    </row>
    <row r="92" spans="1:32">
      <c r="A92" s="36">
        <v>89</v>
      </c>
      <c r="B92" s="69">
        <f>Level!B93-Level!B92</f>
        <v>34000</v>
      </c>
      <c r="C92" s="73">
        <f>Level!M92*VLOOKUP(A92,Plants!$C$4:$AH$47,32)*24+(27/Level!T92)</f>
        <v>4211.0269757639617</v>
      </c>
      <c r="D92" s="62">
        <f t="shared" si="28"/>
        <v>8.0740399422000237</v>
      </c>
      <c r="E92" s="65">
        <f>SUM(D$4:D91)</f>
        <v>456.44043770032238</v>
      </c>
      <c r="F92" s="205">
        <f>Level!M92*VLOOKUP(A92,Plants!$C$4:$AI$47,33)*24*1.15+IF(VLOOKUP(A92,Goals!$AO$4:$AO$120,1)=A92,VLOOKUP(A92,Goals!$AO$4:$AQ$120,3)/D92,0)+VLOOKUP(A92,Level!$A$4:$C$203,3)/D92</f>
        <v>112556.74077976818</v>
      </c>
      <c r="G92" s="71">
        <f>Level!M92*VLOOKUP(A92,Plants!$C$4:$X$47,21)*24</f>
        <v>54720</v>
      </c>
      <c r="H92" s="63">
        <f t="shared" si="29"/>
        <v>0.62134502923976609</v>
      </c>
      <c r="I92" s="64">
        <f>SUM(H$4:H91)</f>
        <v>31.085481832348915</v>
      </c>
      <c r="J92" s="35">
        <f>Level!M92*VLOOKUP(A92,Plants!$C$4:$X$47,22)*24</f>
        <v>492480</v>
      </c>
      <c r="K92" s="239">
        <f t="shared" si="21"/>
        <v>908788</v>
      </c>
      <c r="L92" s="239">
        <f>SUM($K$4:K92)</f>
        <v>32832490</v>
      </c>
      <c r="M92" s="239">
        <f t="shared" si="22"/>
        <v>306000</v>
      </c>
      <c r="N92" s="239">
        <f>SUM($M$4:M92)</f>
        <v>10876428</v>
      </c>
      <c r="O92">
        <f>ROUNDUP(MIN(50,ROUNDUP(A92/3,0),Level!M92)*Plants!Q$4*0.005,0)</f>
        <v>1</v>
      </c>
      <c r="P92">
        <f>ROUNDUP(MAX(4,MIN(A92,VLOOKUP(A92,Level!$A$4:$M$203,13))*MIN(4,ROUNDUP(VLOOKUP(A92,Background!$C$3:$D$52,2)/5,0)))*VLOOKUP(A92,Plants!$C$4:$AJ$53,30)*0.025,0)</f>
        <v>116</v>
      </c>
      <c r="Q92">
        <f t="shared" si="23"/>
        <v>59</v>
      </c>
      <c r="R92">
        <f>ROUND(MIN(50,ROUNDUP(A92/3,0),Level!M92)*Plants!R$4,0)</f>
        <v>150</v>
      </c>
      <c r="S92" s="153">
        <f>ROUNDUP(MAX(4,MIN(A92,VLOOKUP(A92,Level!$A$4:$M$203,13))*MIN(4,ROUNDUP(VLOOKUP(A92,Background!$C$3:$D$52,2)/5,0)))*VLOOKUP(A92,Plants!$C$4:$AJ$53,31)*1.25,0)</f>
        <v>124600</v>
      </c>
      <c r="T92" s="153">
        <f t="shared" si="24"/>
        <v>62375</v>
      </c>
      <c r="U92">
        <f>SUM($K$4:K92)</f>
        <v>32832490</v>
      </c>
      <c r="V92">
        <f>VLOOKUP(A92,Garden!$B$4:$P$19,15)</f>
        <v>11070400</v>
      </c>
      <c r="W92">
        <f>VLOOKUP(A92,Plots!$B$4:$U$39,20)</f>
        <v>11771200</v>
      </c>
      <c r="X92">
        <f>VLOOKUP(A92,'Decoration Background'!$A$2:$H$200,8)</f>
        <v>18835755</v>
      </c>
      <c r="Y92">
        <f t="shared" si="17"/>
        <v>-8844865</v>
      </c>
      <c r="Z92" s="158">
        <f t="shared" si="18"/>
        <v>1.2693936707206794</v>
      </c>
      <c r="AA92">
        <f t="shared" si="19"/>
        <v>-8844865</v>
      </c>
      <c r="AB92" s="170">
        <f>MAX(0,(-Y92)/VLOOKUP($A92,Payment!$A$39:$G$239,7)*100)</f>
        <v>940.94308510638291</v>
      </c>
      <c r="AC92" s="138">
        <f t="shared" si="25"/>
        <v>940.94308510638291</v>
      </c>
      <c r="AD92">
        <f t="shared" si="20"/>
        <v>12015</v>
      </c>
      <c r="AE92">
        <f t="shared" si="26"/>
        <v>78.599999999999994</v>
      </c>
      <c r="AF92" s="79">
        <f t="shared" si="27"/>
        <v>78.599999999999994</v>
      </c>
    </row>
    <row r="93" spans="1:32">
      <c r="A93" s="36">
        <v>90</v>
      </c>
      <c r="B93" s="69">
        <f>Level!B94-Level!B93</f>
        <v>34500</v>
      </c>
      <c r="C93" s="73">
        <f>Level!M93*VLOOKUP(A93,Plants!$C$4:$AH$47,32)*24+(27/Level!T93)</f>
        <v>4211.0269757639617</v>
      </c>
      <c r="D93" s="62">
        <f t="shared" si="28"/>
        <v>8.1927758237029664</v>
      </c>
      <c r="E93" s="65">
        <f>SUM(D$4:D92)</f>
        <v>464.51447764252242</v>
      </c>
      <c r="F93" s="205">
        <f>Level!M93*VLOOKUP(A93,Plants!$C$4:$AI$47,33)*24*1.15+IF(VLOOKUP(A93,Goals!$AO$4:$AO$120,1)=A93,VLOOKUP(A93,Goals!$AO$4:$AQ$120,3)/D93,0)+VLOOKUP(A93,Level!$A$4:$C$203,3)/D93</f>
        <v>112556.74077976818</v>
      </c>
      <c r="G93" s="71">
        <f>Level!M93*VLOOKUP(A93,Plants!$C$4:$X$47,21)*24</f>
        <v>54720</v>
      </c>
      <c r="H93" s="63">
        <f t="shared" si="29"/>
        <v>0.63048245614035092</v>
      </c>
      <c r="I93" s="64">
        <f>SUM(H$4:H92)</f>
        <v>31.706826861588681</v>
      </c>
      <c r="J93" s="35">
        <f>Level!M93*VLOOKUP(A93,Plants!$C$4:$X$47,22)*24</f>
        <v>492480</v>
      </c>
      <c r="K93" s="239">
        <f t="shared" si="21"/>
        <v>922152</v>
      </c>
      <c r="L93" s="239">
        <f>SUM($K$4:K93)</f>
        <v>33754642</v>
      </c>
      <c r="M93" s="239">
        <f t="shared" si="22"/>
        <v>310500</v>
      </c>
      <c r="N93" s="239">
        <f>SUM($M$4:M93)</f>
        <v>11186928</v>
      </c>
      <c r="O93">
        <f>ROUNDUP(MIN(50,ROUNDUP(A93/3,0),Level!M93)*Plants!Q$4*0.005,0)</f>
        <v>1</v>
      </c>
      <c r="P93">
        <f>ROUNDUP(MAX(4,MIN(A93,VLOOKUP(A93,Level!$A$4:$M$203,13))*MIN(4,ROUNDUP(VLOOKUP(A93,Background!$C$3:$D$52,2)/5,0)))*VLOOKUP(A93,Plants!$C$4:$AJ$53,30)*0.025,0)</f>
        <v>117</v>
      </c>
      <c r="Q93">
        <f t="shared" si="23"/>
        <v>59.5</v>
      </c>
      <c r="R93">
        <f>ROUND(MIN(50,ROUNDUP(A93/3,0),Level!M93)*Plants!R$4,0)</f>
        <v>150</v>
      </c>
      <c r="S93" s="153">
        <f>ROUNDUP(MAX(4,MIN(A93,VLOOKUP(A93,Level!$A$4:$M$203,13))*MIN(4,ROUNDUP(VLOOKUP(A93,Background!$C$3:$D$52,2)/5,0)))*VLOOKUP(A93,Plants!$C$4:$AJ$53,31)*1.25,0)</f>
        <v>126000</v>
      </c>
      <c r="T93" s="153">
        <f t="shared" si="24"/>
        <v>63075</v>
      </c>
      <c r="U93">
        <f>SUM($K$4:K93)</f>
        <v>33754642</v>
      </c>
      <c r="V93">
        <f>VLOOKUP(A93,Garden!$B$4:$P$19,15)</f>
        <v>11070400</v>
      </c>
      <c r="W93">
        <f>VLOOKUP(A93,Plots!$B$4:$U$39,20)</f>
        <v>11771200</v>
      </c>
      <c r="X93">
        <f>VLOOKUP(A93,'Decoration Background'!$A$2:$H$200,8)</f>
        <v>19437024</v>
      </c>
      <c r="Y93">
        <f t="shared" si="17"/>
        <v>-8523982</v>
      </c>
      <c r="Z93" s="158">
        <f t="shared" si="18"/>
        <v>1.2525276967831565</v>
      </c>
      <c r="AA93">
        <f t="shared" si="19"/>
        <v>-8844865</v>
      </c>
      <c r="AB93" s="170">
        <f>MAX(0,(-Y93)/VLOOKUP($A93,Payment!$A$39:$G$239,7)*100)</f>
        <v>906.80659574468086</v>
      </c>
      <c r="AC93" s="138">
        <f t="shared" si="25"/>
        <v>940.94308510638291</v>
      </c>
      <c r="AD93">
        <f t="shared" si="20"/>
        <v>12285</v>
      </c>
      <c r="AE93">
        <f t="shared" si="26"/>
        <v>75.7</v>
      </c>
      <c r="AF93" s="79">
        <f t="shared" si="27"/>
        <v>78.599999999999994</v>
      </c>
    </row>
    <row r="94" spans="1:32">
      <c r="A94" s="36">
        <v>91</v>
      </c>
      <c r="B94" s="69">
        <f>Level!B95-Level!B94</f>
        <v>35000</v>
      </c>
      <c r="C94" s="73">
        <f>Level!M94*VLOOKUP(A94,Plants!$C$4:$AH$47,32)*24+(27/Level!T94)</f>
        <v>4211.0269757639617</v>
      </c>
      <c r="D94" s="62">
        <f t="shared" si="28"/>
        <v>8.3115117052059073</v>
      </c>
      <c r="E94" s="65">
        <f>SUM(D$4:D93)</f>
        <v>472.70725346622538</v>
      </c>
      <c r="F94" s="205">
        <f>Level!M94*VLOOKUP(A94,Plants!$C$4:$AI$47,33)*24*1.15+IF(VLOOKUP(A94,Goals!$AO$4:$AO$120,1)=A94,VLOOKUP(A94,Goals!$AO$4:$AQ$120,3)/D94,0)+VLOOKUP(A94,Level!$A$4:$C$203,3)/D94</f>
        <v>112556.74077976818</v>
      </c>
      <c r="G94" s="71">
        <f>Level!M94*VLOOKUP(A94,Plants!$C$4:$X$47,21)*24</f>
        <v>54720</v>
      </c>
      <c r="H94" s="63">
        <f t="shared" si="29"/>
        <v>0.63961988304093564</v>
      </c>
      <c r="I94" s="64">
        <f>SUM(H$4:H93)</f>
        <v>32.33730931772903</v>
      </c>
      <c r="J94" s="35">
        <f>Level!M94*VLOOKUP(A94,Plants!$C$4:$X$47,22)*24</f>
        <v>492480</v>
      </c>
      <c r="K94" s="239">
        <f t="shared" si="21"/>
        <v>935517</v>
      </c>
      <c r="L94" s="239">
        <f>SUM($K$4:K94)</f>
        <v>34690159</v>
      </c>
      <c r="M94" s="239">
        <f t="shared" si="22"/>
        <v>315000</v>
      </c>
      <c r="N94" s="239">
        <f>SUM($M$4:M94)</f>
        <v>11501928</v>
      </c>
      <c r="O94">
        <f>ROUNDUP(MIN(50,ROUNDUP(A94/3,0),Level!M94)*Plants!Q$4*0.005,0)</f>
        <v>1</v>
      </c>
      <c r="P94">
        <f>ROUNDUP(MAX(4,MIN(A94,VLOOKUP(A94,Level!$A$4:$M$203,13))*MIN(4,ROUNDUP(VLOOKUP(A94,Background!$C$3:$D$52,2)/5,0)))*VLOOKUP(A94,Plants!$C$4:$AJ$53,30)*0.025,0)</f>
        <v>119</v>
      </c>
      <c r="Q94">
        <f t="shared" si="23"/>
        <v>60.5</v>
      </c>
      <c r="R94">
        <f>ROUND(MIN(50,ROUNDUP(A94/3,0),Level!M94)*Plants!R$4,0)</f>
        <v>155</v>
      </c>
      <c r="S94" s="153">
        <f>ROUNDUP(MAX(4,MIN(A94,VLOOKUP(A94,Level!$A$4:$M$203,13))*MIN(4,ROUNDUP(VLOOKUP(A94,Background!$C$3:$D$52,2)/5,0)))*VLOOKUP(A94,Plants!$C$4:$AJ$53,31)*1.25,0)</f>
        <v>129675</v>
      </c>
      <c r="T94" s="153">
        <f t="shared" si="24"/>
        <v>64915</v>
      </c>
      <c r="U94">
        <f>SUM($K$4:K94)</f>
        <v>34690159</v>
      </c>
      <c r="V94">
        <f>VLOOKUP(A94,Garden!$B$4:$P$19,15)</f>
        <v>11070400</v>
      </c>
      <c r="W94">
        <f>VLOOKUP(A94,Plots!$B$4:$U$39,20)</f>
        <v>11771200</v>
      </c>
      <c r="X94">
        <f>VLOOKUP(A94,'Decoration Background'!$A$2:$H$200,8)</f>
        <v>20049243</v>
      </c>
      <c r="Y94">
        <f t="shared" si="17"/>
        <v>-8200684</v>
      </c>
      <c r="Z94" s="158">
        <f t="shared" si="18"/>
        <v>1.2363979940247607</v>
      </c>
      <c r="AA94">
        <f t="shared" si="19"/>
        <v>-8844865</v>
      </c>
      <c r="AB94" s="170">
        <f>MAX(0,(-Y94)/VLOOKUP($A94,Payment!$A$39:$G$239,7)*100)</f>
        <v>872.41319148936168</v>
      </c>
      <c r="AC94" s="138">
        <f t="shared" si="25"/>
        <v>940.94308510638291</v>
      </c>
      <c r="AD94">
        <f t="shared" si="20"/>
        <v>12558</v>
      </c>
      <c r="AE94">
        <f t="shared" si="26"/>
        <v>72.900000000000006</v>
      </c>
      <c r="AF94" s="79">
        <f t="shared" si="27"/>
        <v>78.599999999999994</v>
      </c>
    </row>
    <row r="95" spans="1:32">
      <c r="A95" s="36">
        <v>92</v>
      </c>
      <c r="B95" s="69">
        <f>Level!B96-Level!B95</f>
        <v>35500</v>
      </c>
      <c r="C95" s="73">
        <f>Level!M95*VLOOKUP(A95,Plants!$C$4:$AH$47,32)*24+(27/Level!T95)</f>
        <v>4358.5928345626971</v>
      </c>
      <c r="D95" s="62">
        <f t="shared" si="28"/>
        <v>8.1448305330318291</v>
      </c>
      <c r="E95" s="65">
        <f>SUM(D$4:D94)</f>
        <v>481.01876517143131</v>
      </c>
      <c r="F95" s="205">
        <f>Level!M95*VLOOKUP(A95,Plants!$C$4:$AI$47,33)*24*1.15+IF(VLOOKUP(A95,Goals!$AO$4:$AO$120,1)=A95,VLOOKUP(A95,Goals!$AO$4:$AQ$120,3)/D95,0)+VLOOKUP(A95,Level!$A$4:$C$203,3)/D95</f>
        <v>116506.10010537408</v>
      </c>
      <c r="G95" s="71">
        <f>Level!M95*VLOOKUP(A95,Plants!$C$4:$X$47,21)*24</f>
        <v>56640</v>
      </c>
      <c r="H95" s="63">
        <f t="shared" si="29"/>
        <v>0.62676553672316382</v>
      </c>
      <c r="I95" s="64">
        <f>SUM(H$4:H94)</f>
        <v>32.976929200769966</v>
      </c>
      <c r="J95" s="35">
        <f>Level!M95*VLOOKUP(A95,Plants!$C$4:$X$47,22)*24</f>
        <v>509760</v>
      </c>
      <c r="K95" s="239">
        <f t="shared" si="21"/>
        <v>948922</v>
      </c>
      <c r="L95" s="239">
        <f>SUM($K$4:K95)</f>
        <v>35639081</v>
      </c>
      <c r="M95" s="239">
        <f t="shared" si="22"/>
        <v>319500</v>
      </c>
      <c r="N95" s="239">
        <f>SUM($M$4:M95)</f>
        <v>11821428</v>
      </c>
      <c r="O95">
        <f>ROUNDUP(MIN(50,ROUNDUP(A95/3,0),Level!M95)*Plants!Q$4*0.005,0)</f>
        <v>1</v>
      </c>
      <c r="P95">
        <f>ROUNDUP(MAX(4,MIN(A95,VLOOKUP(A95,Level!$A$4:$M$203,13))*MIN(4,ROUNDUP(VLOOKUP(A95,Background!$C$3:$D$52,2)/5,0)))*VLOOKUP(A95,Plants!$C$4:$AJ$53,30)*0.025,0)</f>
        <v>120</v>
      </c>
      <c r="Q95">
        <f t="shared" si="23"/>
        <v>61</v>
      </c>
      <c r="R95">
        <f>ROUND(MIN(50,ROUNDUP(A95/3,0),Level!M95)*Plants!R$4,0)</f>
        <v>155</v>
      </c>
      <c r="S95" s="153">
        <f>ROUNDUP(MAX(4,MIN(A95,VLOOKUP(A95,Level!$A$4:$M$203,13))*MIN(4,ROUNDUP(VLOOKUP(A95,Background!$C$3:$D$52,2)/5,0)))*VLOOKUP(A95,Plants!$C$4:$AJ$53,31)*1.25,0)</f>
        <v>131100</v>
      </c>
      <c r="T95" s="153">
        <f t="shared" si="24"/>
        <v>65627.5</v>
      </c>
      <c r="U95">
        <f>SUM($K$4:K95)</f>
        <v>35639081</v>
      </c>
      <c r="V95">
        <f>VLOOKUP(A95,Garden!$B$4:$P$19,15)</f>
        <v>11070400</v>
      </c>
      <c r="W95">
        <f>VLOOKUP(A95,Plots!$B$4:$U$39,20)</f>
        <v>13071200</v>
      </c>
      <c r="X95">
        <f>VLOOKUP(A95,'Decoration Background'!$A$2:$H$200,8)</f>
        <v>20672412</v>
      </c>
      <c r="Y95">
        <f t="shared" si="17"/>
        <v>-9174931</v>
      </c>
      <c r="Z95" s="158">
        <f t="shared" si="18"/>
        <v>1.2574401679998426</v>
      </c>
      <c r="AA95">
        <f t="shared" si="19"/>
        <v>-9174931</v>
      </c>
      <c r="AB95" s="170">
        <f>MAX(0,(-Y95)/VLOOKUP($A95,Payment!$A$39:$G$239,7)*100)</f>
        <v>955.72197916666664</v>
      </c>
      <c r="AC95" s="138">
        <f t="shared" si="25"/>
        <v>955.72197916666664</v>
      </c>
      <c r="AD95">
        <f t="shared" si="20"/>
        <v>12834</v>
      </c>
      <c r="AE95">
        <f t="shared" si="26"/>
        <v>78.8</v>
      </c>
      <c r="AF95" s="79">
        <f t="shared" si="27"/>
        <v>78.8</v>
      </c>
    </row>
    <row r="96" spans="1:32">
      <c r="A96" s="36">
        <v>93</v>
      </c>
      <c r="B96" s="69">
        <f>Level!B97-Level!B96</f>
        <v>36000</v>
      </c>
      <c r="C96" s="73">
        <f>Level!M96*VLOOKUP(A96,Plants!$C$4:$AH$47,32)*24+(27/Level!T96)</f>
        <v>4358.5928345626971</v>
      </c>
      <c r="D96" s="62">
        <f t="shared" si="28"/>
        <v>8.2595464560322771</v>
      </c>
      <c r="E96" s="65">
        <f>SUM(D$4:D95)</f>
        <v>489.16359570446315</v>
      </c>
      <c r="F96" s="205">
        <f>Level!M96*VLOOKUP(A96,Plants!$C$4:$AI$47,33)*24*1.15+IF(VLOOKUP(A96,Goals!$AO$4:$AO$120,1)=A96,VLOOKUP(A96,Goals!$AO$4:$AQ$120,3)/D96,0)+VLOOKUP(A96,Level!$A$4:$C$203,3)/D96</f>
        <v>116506.10010537408</v>
      </c>
      <c r="G96" s="71">
        <f>Level!M96*VLOOKUP(A96,Plants!$C$4:$X$47,21)*24</f>
        <v>56640</v>
      </c>
      <c r="H96" s="63">
        <f t="shared" si="29"/>
        <v>0.63559322033898302</v>
      </c>
      <c r="I96" s="64">
        <f>SUM(H$4:H95)</f>
        <v>33.603694737493129</v>
      </c>
      <c r="J96" s="35">
        <f>Level!M96*VLOOKUP(A96,Plants!$C$4:$X$47,22)*24</f>
        <v>509760</v>
      </c>
      <c r="K96" s="239">
        <f t="shared" si="21"/>
        <v>962288</v>
      </c>
      <c r="L96" s="239">
        <f>SUM($K$4:K96)</f>
        <v>36601369</v>
      </c>
      <c r="M96" s="239">
        <f t="shared" si="22"/>
        <v>324000</v>
      </c>
      <c r="N96" s="239">
        <f>SUM($M$4:M96)</f>
        <v>12145428</v>
      </c>
      <c r="O96">
        <f>ROUNDUP(MIN(50,ROUNDUP(A96/3,0),Level!M96)*Plants!Q$4*0.005,0)</f>
        <v>1</v>
      </c>
      <c r="P96">
        <f>ROUNDUP(MAX(4,MIN(A96,VLOOKUP(A96,Level!$A$4:$M$203,13))*MIN(4,ROUNDUP(VLOOKUP(A96,Background!$C$3:$D$52,2)/5,0)))*VLOOKUP(A96,Plants!$C$4:$AJ$53,30)*0.025,0)</f>
        <v>121</v>
      </c>
      <c r="Q96">
        <f t="shared" si="23"/>
        <v>61.5</v>
      </c>
      <c r="R96">
        <f>ROUND(MIN(50,ROUNDUP(A96/3,0),Level!M96)*Plants!R$4,0)</f>
        <v>155</v>
      </c>
      <c r="S96" s="153">
        <f>ROUNDUP(MAX(4,MIN(A96,VLOOKUP(A96,Level!$A$4:$M$203,13))*MIN(4,ROUNDUP(VLOOKUP(A96,Background!$C$3:$D$52,2)/5,0)))*VLOOKUP(A96,Plants!$C$4:$AJ$53,31)*1.25,0)</f>
        <v>134850</v>
      </c>
      <c r="T96" s="153">
        <f t="shared" si="24"/>
        <v>67502.5</v>
      </c>
      <c r="U96">
        <f>SUM($K$4:K96)</f>
        <v>36601369</v>
      </c>
      <c r="V96">
        <f>VLOOKUP(A96,Garden!$B$4:$P$19,15)</f>
        <v>11070400</v>
      </c>
      <c r="W96">
        <f>VLOOKUP(A96,Plots!$B$4:$U$39,20)</f>
        <v>13071200</v>
      </c>
      <c r="X96">
        <f>VLOOKUP(A96,'Decoration Background'!$A$2:$H$200,8)</f>
        <v>21306531</v>
      </c>
      <c r="Y96">
        <f t="shared" si="17"/>
        <v>-8846762</v>
      </c>
      <c r="Z96" s="158">
        <f t="shared" si="18"/>
        <v>1.241705767890813</v>
      </c>
      <c r="AA96">
        <f t="shared" si="19"/>
        <v>-9174931</v>
      </c>
      <c r="AB96" s="170">
        <f>MAX(0,(-Y96)/VLOOKUP($A96,Payment!$A$39:$G$239,7)*100)</f>
        <v>921.53770833333328</v>
      </c>
      <c r="AC96" s="138">
        <f t="shared" si="25"/>
        <v>955.72197916666664</v>
      </c>
      <c r="AD96">
        <f t="shared" si="20"/>
        <v>13113</v>
      </c>
      <c r="AE96">
        <f t="shared" si="26"/>
        <v>75.900000000000006</v>
      </c>
      <c r="AF96" s="79">
        <f t="shared" si="27"/>
        <v>78.8</v>
      </c>
    </row>
    <row r="97" spans="1:32">
      <c r="A97" s="36">
        <v>94</v>
      </c>
      <c r="B97" s="69">
        <f>Level!B98-Level!B97</f>
        <v>36500</v>
      </c>
      <c r="C97" s="73">
        <f>Level!M97*VLOOKUP(A97,Plants!$C$4:$AH$47,32)*24+(27/Level!T97)</f>
        <v>4358.5928345626971</v>
      </c>
      <c r="D97" s="62">
        <f t="shared" si="28"/>
        <v>8.3742623790327251</v>
      </c>
      <c r="E97" s="65">
        <f>SUM(D$4:D96)</f>
        <v>497.42314216049544</v>
      </c>
      <c r="F97" s="205">
        <f>Level!M97*VLOOKUP(A97,Plants!$C$4:$AI$47,33)*24*1.15+IF(VLOOKUP(A97,Goals!$AO$4:$AO$120,1)=A97,VLOOKUP(A97,Goals!$AO$4:$AQ$120,3)/D97,0)+VLOOKUP(A97,Level!$A$4:$C$203,3)/D97</f>
        <v>116506.10010537408</v>
      </c>
      <c r="G97" s="71">
        <f>Level!M97*VLOOKUP(A97,Plants!$C$4:$X$47,21)*24</f>
        <v>56640</v>
      </c>
      <c r="H97" s="63">
        <f t="shared" si="29"/>
        <v>0.64442090395480223</v>
      </c>
      <c r="I97" s="64">
        <f>SUM(H$4:H96)</f>
        <v>34.239287957832111</v>
      </c>
      <c r="J97" s="35">
        <f>Level!M97*VLOOKUP(A97,Plants!$C$4:$X$47,22)*24</f>
        <v>509760</v>
      </c>
      <c r="K97" s="239">
        <f t="shared" si="21"/>
        <v>975653</v>
      </c>
      <c r="L97" s="239">
        <f>SUM($K$4:K97)</f>
        <v>37577022</v>
      </c>
      <c r="M97" s="239">
        <f t="shared" si="22"/>
        <v>328500</v>
      </c>
      <c r="N97" s="239">
        <f>SUM($M$4:M97)</f>
        <v>12473928</v>
      </c>
      <c r="O97">
        <f>ROUNDUP(MIN(50,ROUNDUP(A97/3,0),Level!M97)*Plants!Q$4*0.005,0)</f>
        <v>1</v>
      </c>
      <c r="P97">
        <f>ROUNDUP(MAX(4,MIN(A97,VLOOKUP(A97,Level!$A$4:$M$203,13))*MIN(4,ROUNDUP(VLOOKUP(A97,Background!$C$3:$D$52,2)/5,0)))*VLOOKUP(A97,Plants!$C$4:$AJ$53,30)*0.025,0)</f>
        <v>123</v>
      </c>
      <c r="Q97">
        <f t="shared" si="23"/>
        <v>62.5</v>
      </c>
      <c r="R97">
        <f>ROUND(MIN(50,ROUNDUP(A97/3,0),Level!M97)*Plants!R$4,0)</f>
        <v>160</v>
      </c>
      <c r="S97" s="153">
        <f>ROUNDUP(MAX(4,MIN(A97,VLOOKUP(A97,Level!$A$4:$M$203,13))*MIN(4,ROUNDUP(VLOOKUP(A97,Background!$C$3:$D$52,2)/5,0)))*VLOOKUP(A97,Plants!$C$4:$AJ$53,31)*1.25,0)</f>
        <v>136300</v>
      </c>
      <c r="T97" s="153">
        <f t="shared" si="24"/>
        <v>68230</v>
      </c>
      <c r="U97">
        <f>SUM($K$4:K97)</f>
        <v>37577022</v>
      </c>
      <c r="V97">
        <f>VLOOKUP(A97,Garden!$B$4:$P$19,15)</f>
        <v>13370400</v>
      </c>
      <c r="W97">
        <f>VLOOKUP(A97,Plots!$B$4:$U$39,20)</f>
        <v>13071200</v>
      </c>
      <c r="X97">
        <f>VLOOKUP(A97,'Decoration Background'!$A$2:$H$200,8)</f>
        <v>21951600</v>
      </c>
      <c r="Y97">
        <f t="shared" si="17"/>
        <v>-10816178</v>
      </c>
      <c r="Z97" s="158">
        <f t="shared" si="18"/>
        <v>1.2878402125639441</v>
      </c>
      <c r="AA97">
        <f t="shared" si="19"/>
        <v>-10816178</v>
      </c>
      <c r="AB97" s="170">
        <f>MAX(0,(-Y97)/VLOOKUP($A97,Payment!$A$39:$G$239,7)*100)</f>
        <v>1126.6852083333333</v>
      </c>
      <c r="AC97" s="138">
        <f t="shared" si="25"/>
        <v>1126.6852083333333</v>
      </c>
      <c r="AD97">
        <f t="shared" si="20"/>
        <v>13395</v>
      </c>
      <c r="AE97">
        <f t="shared" si="26"/>
        <v>92.8</v>
      </c>
      <c r="AF97" s="79">
        <f t="shared" si="27"/>
        <v>92.8</v>
      </c>
    </row>
    <row r="98" spans="1:32">
      <c r="A98" s="36">
        <v>95</v>
      </c>
      <c r="B98" s="69">
        <f>Level!B99-Level!B98</f>
        <v>37000</v>
      </c>
      <c r="C98" s="73">
        <f>Level!M98*VLOOKUP(A98,Plants!$C$4:$AH$47,32)*24+(27/Level!T98)</f>
        <v>4358.5928345626971</v>
      </c>
      <c r="D98" s="62">
        <f t="shared" si="28"/>
        <v>8.4889783020331731</v>
      </c>
      <c r="E98" s="65">
        <f>SUM(D$4:D97)</f>
        <v>505.79740453952815</v>
      </c>
      <c r="F98" s="205">
        <f>Level!M98*VLOOKUP(A98,Plants!$C$4:$AI$47,33)*24*1.15+IF(VLOOKUP(A98,Goals!$AO$4:$AO$120,1)=A98,VLOOKUP(A98,Goals!$AO$4:$AQ$120,3)/D98,0)+VLOOKUP(A98,Level!$A$4:$C$203,3)/D98</f>
        <v>116506.10010537408</v>
      </c>
      <c r="G98" s="71">
        <f>Level!M98*VLOOKUP(A98,Plants!$C$4:$X$47,21)*24</f>
        <v>56640</v>
      </c>
      <c r="H98" s="63">
        <f t="shared" si="29"/>
        <v>0.65324858757062143</v>
      </c>
      <c r="I98" s="64">
        <f>SUM(H$4:H97)</f>
        <v>34.883708861786914</v>
      </c>
      <c r="J98" s="35">
        <f>Level!M98*VLOOKUP(A98,Plants!$C$4:$X$47,22)*24</f>
        <v>509760</v>
      </c>
      <c r="K98" s="239">
        <f t="shared" si="21"/>
        <v>989018</v>
      </c>
      <c r="L98" s="239">
        <f>SUM($K$4:K98)</f>
        <v>38566040</v>
      </c>
      <c r="M98" s="239">
        <f t="shared" si="22"/>
        <v>333000</v>
      </c>
      <c r="N98" s="239">
        <f>SUM($M$4:M98)</f>
        <v>12806928</v>
      </c>
      <c r="O98">
        <f>ROUNDUP(MIN(50,ROUNDUP(A98/3,0),Level!M98)*Plants!Q$4*0.005,0)</f>
        <v>1</v>
      </c>
      <c r="P98">
        <f>ROUNDUP(MAX(4,MIN(A98,VLOOKUP(A98,Level!$A$4:$M$203,13))*MIN(4,ROUNDUP(VLOOKUP(A98,Background!$C$3:$D$52,2)/5,0)))*VLOOKUP(A98,Plants!$C$4:$AJ$53,30)*0.025,0)</f>
        <v>124</v>
      </c>
      <c r="Q98">
        <f t="shared" si="23"/>
        <v>63</v>
      </c>
      <c r="R98">
        <f>ROUND(MIN(50,ROUNDUP(A98/3,0),Level!M98)*Plants!R$4,0)</f>
        <v>160</v>
      </c>
      <c r="S98" s="153">
        <f>ROUNDUP(MAX(4,MIN(A98,VLOOKUP(A98,Level!$A$4:$M$203,13))*MIN(4,ROUNDUP(VLOOKUP(A98,Background!$C$3:$D$52,2)/5,0)))*VLOOKUP(A98,Plants!$C$4:$AJ$53,31)*1.25,0)</f>
        <v>137750</v>
      </c>
      <c r="T98" s="153">
        <f t="shared" si="24"/>
        <v>68955</v>
      </c>
      <c r="U98">
        <f>SUM($K$4:K98)</f>
        <v>38566040</v>
      </c>
      <c r="V98">
        <f>VLOOKUP(A98,Garden!$B$4:$P$19,15)</f>
        <v>13370400</v>
      </c>
      <c r="W98">
        <f>VLOOKUP(A98,Plots!$B$4:$U$39,20)</f>
        <v>13071200</v>
      </c>
      <c r="X98">
        <f>VLOOKUP(A98,'Decoration Background'!$A$2:$H$200,8)</f>
        <v>22607619</v>
      </c>
      <c r="Y98">
        <f t="shared" si="17"/>
        <v>-10483179</v>
      </c>
      <c r="Z98" s="158">
        <f t="shared" si="18"/>
        <v>1.2718240970553367</v>
      </c>
      <c r="AA98">
        <f t="shared" si="19"/>
        <v>-10816178</v>
      </c>
      <c r="AB98" s="170">
        <f>MAX(0,(-Y98)/VLOOKUP($A98,Payment!$A$39:$G$239,7)*100)</f>
        <v>1091.9978125</v>
      </c>
      <c r="AC98" s="138">
        <f t="shared" si="25"/>
        <v>1126.6852083333333</v>
      </c>
      <c r="AD98">
        <f t="shared" si="20"/>
        <v>13680</v>
      </c>
      <c r="AE98">
        <f t="shared" si="26"/>
        <v>90</v>
      </c>
      <c r="AF98" s="79">
        <f t="shared" si="27"/>
        <v>92.8</v>
      </c>
    </row>
    <row r="99" spans="1:32">
      <c r="A99" s="36">
        <v>96</v>
      </c>
      <c r="B99" s="69">
        <f>Level!B100-Level!B99</f>
        <v>37500</v>
      </c>
      <c r="C99" s="73">
        <f>Level!M99*VLOOKUP(A99,Plants!$C$4:$AH$47,32)*24+(27/Level!T99)</f>
        <v>4506.1586933614326</v>
      </c>
      <c r="D99" s="62">
        <f t="shared" si="28"/>
        <v>8.3219439331432739</v>
      </c>
      <c r="E99" s="65">
        <f>SUM(D$4:D98)</f>
        <v>514.28638284156136</v>
      </c>
      <c r="F99" s="205">
        <f>Level!M99*VLOOKUP(A99,Plants!$C$4:$AI$47,33)*24*1.15+IF(VLOOKUP(A99,Goals!$AO$4:$AO$120,1)=A99,VLOOKUP(A99,Goals!$AO$4:$AQ$120,3)/D99,0)+VLOOKUP(A99,Level!$A$4:$C$203,3)/D99</f>
        <v>120455.45943097999</v>
      </c>
      <c r="G99" s="71">
        <f>Level!M99*VLOOKUP(A99,Plants!$C$4:$X$47,21)*24</f>
        <v>58560</v>
      </c>
      <c r="H99" s="63">
        <f t="shared" si="29"/>
        <v>0.64036885245901642</v>
      </c>
      <c r="I99" s="64">
        <f>SUM(H$4:H98)</f>
        <v>35.536957449357537</v>
      </c>
      <c r="J99" s="35">
        <f>Level!M99*VLOOKUP(A99,Plants!$C$4:$X$47,22)*24</f>
        <v>527040</v>
      </c>
      <c r="K99" s="239">
        <f t="shared" si="21"/>
        <v>1002424</v>
      </c>
      <c r="L99" s="239">
        <f>SUM($K$4:K99)</f>
        <v>39568464</v>
      </c>
      <c r="M99" s="239">
        <f t="shared" si="22"/>
        <v>337500</v>
      </c>
      <c r="N99" s="239">
        <f>SUM($M$4:M99)</f>
        <v>13144428</v>
      </c>
      <c r="O99">
        <f>ROUNDUP(MIN(50,ROUNDUP(A99/3,0),Level!M99)*Plants!Q$4*0.005,0)</f>
        <v>1</v>
      </c>
      <c r="P99">
        <f>ROUNDUP(MAX(4,MIN(A99,VLOOKUP(A99,Level!$A$4:$M$203,13))*MIN(4,ROUNDUP(VLOOKUP(A99,Background!$C$3:$D$52,2)/5,0)))*VLOOKUP(A99,Plants!$C$4:$AJ$53,30)*0.025,0)</f>
        <v>125</v>
      </c>
      <c r="Q99">
        <f t="shared" si="23"/>
        <v>63.5</v>
      </c>
      <c r="R99">
        <f>ROUND(MIN(50,ROUNDUP(A99/3,0),Level!M99)*Plants!R$4,0)</f>
        <v>160</v>
      </c>
      <c r="S99" s="153">
        <f>ROUNDUP(MAX(4,MIN(A99,VLOOKUP(A99,Level!$A$4:$M$203,13))*MIN(4,ROUNDUP(VLOOKUP(A99,Background!$C$3:$D$52,2)/5,0)))*VLOOKUP(A99,Plants!$C$4:$AJ$53,31)*1.25,0)</f>
        <v>139200</v>
      </c>
      <c r="T99" s="153">
        <f t="shared" si="24"/>
        <v>69680</v>
      </c>
      <c r="U99">
        <f>SUM($K$4:K99)</f>
        <v>39568464</v>
      </c>
      <c r="V99">
        <f>VLOOKUP(A99,Garden!$B$4:$P$19,15)</f>
        <v>13370400</v>
      </c>
      <c r="W99">
        <f>VLOOKUP(A99,Plots!$B$4:$U$39,20)</f>
        <v>14471200</v>
      </c>
      <c r="X99">
        <f>VLOOKUP(A99,'Decoration Background'!$A$2:$H$200,8)</f>
        <v>23274588</v>
      </c>
      <c r="Y99">
        <f t="shared" si="17"/>
        <v>-11547724</v>
      </c>
      <c r="Z99" s="158">
        <f t="shared" si="18"/>
        <v>1.2918416039601639</v>
      </c>
      <c r="AA99">
        <f t="shared" si="19"/>
        <v>-11547724</v>
      </c>
      <c r="AB99" s="170">
        <f>MAX(0,(-Y99)/VLOOKUP($A99,Payment!$A$39:$G$239,7)*100)</f>
        <v>1178.3391836734695</v>
      </c>
      <c r="AC99" s="138">
        <f t="shared" si="25"/>
        <v>1178.3391836734695</v>
      </c>
      <c r="AD99">
        <f t="shared" si="20"/>
        <v>13968</v>
      </c>
      <c r="AE99">
        <f t="shared" si="26"/>
        <v>95.9</v>
      </c>
      <c r="AF99" s="79">
        <f t="shared" si="27"/>
        <v>95.9</v>
      </c>
    </row>
    <row r="100" spans="1:32">
      <c r="A100" s="36">
        <v>97</v>
      </c>
      <c r="B100" s="69">
        <f>Level!B101-Level!B100</f>
        <v>38000</v>
      </c>
      <c r="C100" s="73">
        <f>Level!M100*VLOOKUP(A100,Plants!$C$4:$AH$47,32)*24+(27/Level!T100)</f>
        <v>4506.1586933614326</v>
      </c>
      <c r="D100" s="62">
        <f t="shared" si="28"/>
        <v>8.4329031855851859</v>
      </c>
      <c r="E100" s="65">
        <f>SUM(D$4:D99)</f>
        <v>522.60832677470466</v>
      </c>
      <c r="F100" s="205">
        <f>Level!M100*VLOOKUP(A100,Plants!$C$4:$AI$47,33)*24*1.15+IF(VLOOKUP(A100,Goals!$AO$4:$AO$120,1)=A100,VLOOKUP(A100,Goals!$AO$4:$AQ$120,3)/D100,0)+VLOOKUP(A100,Level!$A$4:$C$203,3)/D100</f>
        <v>120455.45943097999</v>
      </c>
      <c r="G100" s="71">
        <f>Level!M100*VLOOKUP(A100,Plants!$C$4:$X$47,21)*24</f>
        <v>58560</v>
      </c>
      <c r="H100" s="63">
        <f t="shared" si="29"/>
        <v>0.64890710382513661</v>
      </c>
      <c r="I100" s="64">
        <f>SUM(H$4:H99)</f>
        <v>36.177326301816557</v>
      </c>
      <c r="J100" s="35">
        <f>Level!M100*VLOOKUP(A100,Plants!$C$4:$X$47,22)*24</f>
        <v>527040</v>
      </c>
      <c r="K100" s="239">
        <f t="shared" si="21"/>
        <v>1015789</v>
      </c>
      <c r="L100" s="239">
        <f>SUM($K$4:K100)</f>
        <v>40584253</v>
      </c>
      <c r="M100" s="239">
        <f t="shared" si="22"/>
        <v>342000</v>
      </c>
      <c r="N100" s="239">
        <f>SUM($M$4:M100)</f>
        <v>13486428</v>
      </c>
      <c r="O100">
        <f>ROUNDUP(MIN(50,ROUNDUP(A100/3,0),Level!M100)*Plants!Q$4*0.005,0)</f>
        <v>1</v>
      </c>
      <c r="P100">
        <f>ROUNDUP(MAX(4,MIN(A100,VLOOKUP(A100,Level!$A$4:$M$203,13))*MIN(4,ROUNDUP(VLOOKUP(A100,Background!$C$3:$D$52,2)/5,0)))*VLOOKUP(A100,Plants!$C$4:$AJ$53,30)*0.025,0)</f>
        <v>127</v>
      </c>
      <c r="Q100">
        <f t="shared" si="23"/>
        <v>64.5</v>
      </c>
      <c r="R100">
        <f>ROUND(MIN(50,ROUNDUP(A100/3,0),Level!M100)*Plants!R$4,0)</f>
        <v>165</v>
      </c>
      <c r="S100" s="153">
        <f>ROUNDUP(MAX(4,MIN(A100,VLOOKUP(A100,Level!$A$4:$M$203,13))*MIN(4,ROUNDUP(VLOOKUP(A100,Background!$C$3:$D$52,2)/5,0)))*VLOOKUP(A100,Plants!$C$4:$AJ$53,31)*1.25,0)</f>
        <v>143075</v>
      </c>
      <c r="T100" s="153">
        <f t="shared" si="24"/>
        <v>71620</v>
      </c>
      <c r="U100">
        <f>SUM($K$4:K100)</f>
        <v>40584253</v>
      </c>
      <c r="V100">
        <f>VLOOKUP(A100,Garden!$B$4:$P$19,15)</f>
        <v>13370400</v>
      </c>
      <c r="W100">
        <f>VLOOKUP(A100,Plots!$B$4:$U$39,20)</f>
        <v>14471200</v>
      </c>
      <c r="X100">
        <f>VLOOKUP(A100,'Decoration Background'!$A$2:$H$200,8)</f>
        <v>23952507</v>
      </c>
      <c r="Y100">
        <f t="shared" ref="Y100:Y131" si="30">U100-SUM(V100:X100)</f>
        <v>-11209854</v>
      </c>
      <c r="Z100" s="158">
        <f t="shared" ref="Z100:Z131" si="31">SUM(V100:X100)/U100</f>
        <v>1.2762119090870048</v>
      </c>
      <c r="AA100">
        <f t="shared" ref="AA100:AA131" si="32">MIN(0,IF(Y100&lt;AA99,Y100,AA99))</f>
        <v>-11547724</v>
      </c>
      <c r="AB100" s="170">
        <f>MAX(0,(-Y100)/VLOOKUP($A100,Payment!$A$39:$G$239,7)*100)</f>
        <v>1143.8626530612246</v>
      </c>
      <c r="AC100" s="138">
        <f t="shared" si="25"/>
        <v>1178.3391836734695</v>
      </c>
      <c r="AD100">
        <f t="shared" ref="AD100:AD131" si="33">A100*(A100+1)*3/2</f>
        <v>14259</v>
      </c>
      <c r="AE100">
        <f t="shared" si="26"/>
        <v>93.1</v>
      </c>
      <c r="AF100" s="79">
        <f t="shared" si="27"/>
        <v>95.9</v>
      </c>
    </row>
    <row r="101" spans="1:32">
      <c r="A101" s="36">
        <v>98</v>
      </c>
      <c r="B101" s="69">
        <f>Level!B102-Level!B101</f>
        <v>38500</v>
      </c>
      <c r="C101" s="73">
        <f>Level!M101*VLOOKUP(A101,Plants!$C$4:$AH$47,32)*24+(27/Level!T101)</f>
        <v>4506.1586933614326</v>
      </c>
      <c r="D101" s="62">
        <f t="shared" si="28"/>
        <v>8.5438624380270962</v>
      </c>
      <c r="E101" s="65">
        <f>SUM(D$4:D100)</f>
        <v>531.0412299602898</v>
      </c>
      <c r="F101" s="205">
        <f>Level!M101*VLOOKUP(A101,Plants!$C$4:$AI$47,33)*24*1.15+IF(VLOOKUP(A101,Goals!$AO$4:$AO$120,1)=A101,VLOOKUP(A101,Goals!$AO$4:$AQ$120,3)/D101,0)+VLOOKUP(A101,Level!$A$4:$C$203,3)/D101</f>
        <v>120455.45943097999</v>
      </c>
      <c r="G101" s="71">
        <f>Level!M101*VLOOKUP(A101,Plants!$C$4:$X$47,21)*24</f>
        <v>58560</v>
      </c>
      <c r="H101" s="63">
        <f t="shared" si="29"/>
        <v>0.6574453551912568</v>
      </c>
      <c r="I101" s="64">
        <f>SUM(H$4:H100)</f>
        <v>36.826233405641695</v>
      </c>
      <c r="J101" s="35">
        <f>Level!M101*VLOOKUP(A101,Plants!$C$4:$X$47,22)*24</f>
        <v>527040</v>
      </c>
      <c r="K101" s="239">
        <f t="shared" si="21"/>
        <v>1029155</v>
      </c>
      <c r="L101" s="239">
        <f>SUM($K$4:K101)</f>
        <v>41613408</v>
      </c>
      <c r="M101" s="239">
        <f t="shared" si="22"/>
        <v>346500</v>
      </c>
      <c r="N101" s="239">
        <f>SUM($M$4:M101)</f>
        <v>13832928</v>
      </c>
      <c r="O101">
        <f>ROUNDUP(MIN(50,ROUNDUP(A101/3,0),Level!M101)*Plants!Q$4*0.005,0)</f>
        <v>1</v>
      </c>
      <c r="P101">
        <f>ROUNDUP(MAX(4,MIN(A101,VLOOKUP(A101,Level!$A$4:$M$203,13))*MIN(4,ROUNDUP(VLOOKUP(A101,Background!$C$3:$D$52,2)/5,0)))*VLOOKUP(A101,Plants!$C$4:$AJ$53,30)*0.025,0)</f>
        <v>128</v>
      </c>
      <c r="Q101">
        <f t="shared" si="23"/>
        <v>65</v>
      </c>
      <c r="R101">
        <f>ROUND(MIN(50,ROUNDUP(A101/3,0),Level!M101)*Plants!R$4,0)</f>
        <v>165</v>
      </c>
      <c r="S101" s="153">
        <f>ROUNDUP(MAX(4,MIN(A101,VLOOKUP(A101,Level!$A$4:$M$203,13))*MIN(4,ROUNDUP(VLOOKUP(A101,Background!$C$3:$D$52,2)/5,0)))*VLOOKUP(A101,Plants!$C$4:$AJ$53,31)*1.25,0)</f>
        <v>144550</v>
      </c>
      <c r="T101" s="153">
        <f t="shared" si="24"/>
        <v>72357.5</v>
      </c>
      <c r="U101">
        <f>SUM($K$4:K101)</f>
        <v>41613408</v>
      </c>
      <c r="V101">
        <f>VLOOKUP(A101,Garden!$B$4:$P$19,15)</f>
        <v>13370400</v>
      </c>
      <c r="W101">
        <f>VLOOKUP(A101,Plots!$B$4:$U$39,20)</f>
        <v>14471200</v>
      </c>
      <c r="X101">
        <f>VLOOKUP(A101,'Decoration Background'!$A$2:$H$200,8)</f>
        <v>24641376</v>
      </c>
      <c r="Y101">
        <f t="shared" si="30"/>
        <v>-10869568</v>
      </c>
      <c r="Z101" s="158">
        <f t="shared" si="31"/>
        <v>1.2612035044089636</v>
      </c>
      <c r="AA101">
        <f t="shared" si="32"/>
        <v>-11547724</v>
      </c>
      <c r="AB101" s="170">
        <f>MAX(0,(-Y101)/VLOOKUP($A101,Payment!$A$39:$G$239,7)*100)</f>
        <v>1109.1395918367348</v>
      </c>
      <c r="AC101" s="138">
        <f t="shared" si="25"/>
        <v>1178.3391836734695</v>
      </c>
      <c r="AD101">
        <f t="shared" si="33"/>
        <v>14553</v>
      </c>
      <c r="AE101">
        <f t="shared" si="26"/>
        <v>90.2</v>
      </c>
      <c r="AF101" s="79">
        <f t="shared" si="27"/>
        <v>95.9</v>
      </c>
    </row>
    <row r="102" spans="1:32">
      <c r="A102" s="36">
        <v>99</v>
      </c>
      <c r="B102" s="69">
        <f>Level!B103-Level!B102</f>
        <v>39000</v>
      </c>
      <c r="C102" s="73">
        <f>Level!M102*VLOOKUP(A102,Plants!$C$4:$AH$47,32)*24+(27/Level!T102)</f>
        <v>4653.7245521601681</v>
      </c>
      <c r="D102" s="62">
        <f t="shared" si="28"/>
        <v>8.3803842627292937</v>
      </c>
      <c r="E102" s="65">
        <f>SUM(D$4:D101)</f>
        <v>539.58509239831687</v>
      </c>
      <c r="F102" s="205">
        <f>Level!M102*VLOOKUP(A102,Plants!$C$4:$AI$47,33)*24*1.15+IF(VLOOKUP(A102,Goals!$AO$4:$AO$120,1)=A102,VLOOKUP(A102,Goals!$AO$4:$AQ$120,3)/D102,0)+VLOOKUP(A102,Level!$A$4:$C$203,3)/D102</f>
        <v>124404.81875658587</v>
      </c>
      <c r="G102" s="71">
        <f>Level!M102*VLOOKUP(A102,Plants!$C$4:$X$47,21)*24</f>
        <v>60480</v>
      </c>
      <c r="H102" s="63">
        <f t="shared" si="29"/>
        <v>0.64484126984126988</v>
      </c>
      <c r="I102" s="64">
        <f>SUM(H$4:H101)</f>
        <v>37.483678760832952</v>
      </c>
      <c r="J102" s="35">
        <f>Level!M102*VLOOKUP(A102,Plants!$C$4:$X$47,22)*24</f>
        <v>544320</v>
      </c>
      <c r="K102" s="239">
        <f t="shared" si="21"/>
        <v>1042560</v>
      </c>
      <c r="L102" s="239">
        <f>SUM($K$4:K102)</f>
        <v>42655968</v>
      </c>
      <c r="M102" s="239">
        <f t="shared" si="22"/>
        <v>351000</v>
      </c>
      <c r="N102" s="239">
        <f>SUM($M$4:M102)</f>
        <v>14183928</v>
      </c>
      <c r="O102">
        <f>ROUNDUP(MIN(50,ROUNDUP(A102/3,0),Level!M102)*Plants!Q$4*0.005,0)</f>
        <v>1</v>
      </c>
      <c r="P102">
        <f>ROUNDUP(MAX(4,MIN(A102,VLOOKUP(A102,Level!$A$4:$M$203,13))*MIN(4,ROUNDUP(VLOOKUP(A102,Background!$C$3:$D$52,2)/5,0)))*VLOOKUP(A102,Plants!$C$4:$AJ$53,30)*0.025,0)</f>
        <v>129</v>
      </c>
      <c r="Q102">
        <f t="shared" si="23"/>
        <v>65.5</v>
      </c>
      <c r="R102">
        <f>ROUND(MIN(50,ROUNDUP(A102/3,0),Level!M102)*Plants!R$4,0)</f>
        <v>165</v>
      </c>
      <c r="S102" s="153">
        <f>ROUNDUP(MAX(4,MIN(A102,VLOOKUP(A102,Level!$A$4:$M$203,13))*MIN(4,ROUNDUP(VLOOKUP(A102,Background!$C$3:$D$52,2)/5,0)))*VLOOKUP(A102,Plants!$C$4:$AJ$53,31)*1.25,0)</f>
        <v>146025</v>
      </c>
      <c r="T102" s="153">
        <f t="shared" si="24"/>
        <v>73095</v>
      </c>
      <c r="U102">
        <f>SUM($K$4:K102)</f>
        <v>42655968</v>
      </c>
      <c r="V102">
        <f>VLOOKUP(A102,Garden!$B$4:$P$19,15)</f>
        <v>13370400</v>
      </c>
      <c r="W102">
        <f>VLOOKUP(A102,Plots!$B$4:$U$39,20)</f>
        <v>15971200</v>
      </c>
      <c r="X102">
        <f>VLOOKUP(A102,'Decoration Background'!$A$2:$H$200,8)</f>
        <v>25341195</v>
      </c>
      <c r="Y102">
        <f t="shared" si="30"/>
        <v>-12026827</v>
      </c>
      <c r="Z102" s="158">
        <f t="shared" si="31"/>
        <v>1.2819494566387521</v>
      </c>
      <c r="AA102">
        <f t="shared" si="32"/>
        <v>-12026827</v>
      </c>
      <c r="AB102" s="170">
        <f>MAX(0,(-Y102)/VLOOKUP($A102,Payment!$A$39:$G$239,7)*100)</f>
        <v>1227.2272448979593</v>
      </c>
      <c r="AC102" s="138">
        <f t="shared" si="25"/>
        <v>1227.2272448979593</v>
      </c>
      <c r="AD102">
        <f t="shared" si="33"/>
        <v>14850</v>
      </c>
      <c r="AE102">
        <f t="shared" si="26"/>
        <v>96.7</v>
      </c>
      <c r="AF102" s="79">
        <f t="shared" si="27"/>
        <v>96.7</v>
      </c>
    </row>
    <row r="103" spans="1:32">
      <c r="A103" s="36">
        <v>100</v>
      </c>
      <c r="B103" s="69">
        <f>Level!B104-Level!B103</f>
        <v>39500</v>
      </c>
      <c r="C103" s="73">
        <f>Level!M103*VLOOKUP(A103,Plants!$C$4:$AH$47,32)*24+(27/Level!T103)</f>
        <v>4653.7245521601681</v>
      </c>
      <c r="D103" s="62">
        <f t="shared" si="28"/>
        <v>8.4878250866104388</v>
      </c>
      <c r="E103" s="65">
        <f>SUM(D$4:D102)</f>
        <v>547.96547666104618</v>
      </c>
      <c r="F103" s="205">
        <f>Level!M103*VLOOKUP(A103,Plants!$C$4:$AI$47,33)*24*1.15+IF(VLOOKUP(A103,Goals!$AO$4:$AO$120,1)=A103,VLOOKUP(A103,Goals!$AO$4:$AQ$120,3)/D103,0)+VLOOKUP(A103,Level!$A$4:$C$203,3)/D103</f>
        <v>124404.81875658587</v>
      </c>
      <c r="G103" s="71">
        <f>Level!M103*VLOOKUP(A103,Plants!$C$4:$X$47,21)*24</f>
        <v>60480</v>
      </c>
      <c r="H103" s="63">
        <f t="shared" si="29"/>
        <v>0.65310846560846558</v>
      </c>
      <c r="I103" s="64">
        <f>SUM(H$4:H102)</f>
        <v>38.128520030674224</v>
      </c>
      <c r="J103" s="35">
        <f>Level!M103*VLOOKUP(A103,Plants!$C$4:$X$47,22)*24</f>
        <v>544320</v>
      </c>
      <c r="K103" s="239">
        <f t="shared" si="21"/>
        <v>1055926</v>
      </c>
      <c r="L103" s="239">
        <f>SUM($K$4:K103)</f>
        <v>43711894</v>
      </c>
      <c r="M103" s="239">
        <f t="shared" si="22"/>
        <v>355500</v>
      </c>
      <c r="N103" s="239">
        <f>SUM($M$4:M103)</f>
        <v>14539428</v>
      </c>
      <c r="O103">
        <f>ROUNDUP(MIN(50,ROUNDUP(A103/3,0),Level!M103)*Plants!Q$4*0.005,0)</f>
        <v>1</v>
      </c>
      <c r="P103">
        <f>ROUNDUP(MAX(4,MIN(A103,VLOOKUP(A103,Level!$A$4:$M$203,13))*MIN(4,ROUNDUP(VLOOKUP(A103,Background!$C$3:$D$52,2)/5,0)))*VLOOKUP(A103,Plants!$C$4:$AJ$53,30)*0.025,0)</f>
        <v>130</v>
      </c>
      <c r="Q103">
        <f t="shared" si="23"/>
        <v>66</v>
      </c>
      <c r="R103">
        <f>ROUND(MIN(50,ROUNDUP(A103/3,0),Level!M103)*Plants!R$4,0)</f>
        <v>170</v>
      </c>
      <c r="S103" s="153">
        <f>ROUNDUP(MAX(4,MIN(A103,VLOOKUP(A103,Level!$A$4:$M$203,13))*MIN(4,ROUNDUP(VLOOKUP(A103,Background!$C$3:$D$52,2)/5,0)))*VLOOKUP(A103,Plants!$C$4:$AJ$53,31)*1.25,0)</f>
        <v>147500</v>
      </c>
      <c r="T103" s="153">
        <f t="shared" si="24"/>
        <v>73835</v>
      </c>
      <c r="U103">
        <f>SUM($K$4:K103)</f>
        <v>43711894</v>
      </c>
      <c r="V103">
        <f>VLOOKUP(A103,Garden!$B$4:$P$19,15)</f>
        <v>13370400</v>
      </c>
      <c r="W103">
        <f>VLOOKUP(A103,Plots!$B$4:$U$39,20)</f>
        <v>15971200</v>
      </c>
      <c r="X103">
        <f>VLOOKUP(A103,'Decoration Background'!$A$2:$H$200,8)</f>
        <v>26051964</v>
      </c>
      <c r="Y103">
        <f t="shared" si="30"/>
        <v>-11681670</v>
      </c>
      <c r="Z103" s="158">
        <f t="shared" si="31"/>
        <v>1.267242366574187</v>
      </c>
      <c r="AA103">
        <f t="shared" si="32"/>
        <v>-12026827</v>
      </c>
      <c r="AB103" s="170">
        <f>MAX(0,(-Y103)/VLOOKUP($A103,Payment!$A$39:$G$239,7)*100)</f>
        <v>1168.1670000000001</v>
      </c>
      <c r="AC103" s="138">
        <f t="shared" si="25"/>
        <v>1227.2272448979593</v>
      </c>
      <c r="AD103">
        <f t="shared" si="33"/>
        <v>15150</v>
      </c>
      <c r="AE103">
        <f t="shared" si="26"/>
        <v>93.9</v>
      </c>
      <c r="AF103" s="79">
        <f t="shared" si="27"/>
        <v>96.7</v>
      </c>
    </row>
    <row r="104" spans="1:32">
      <c r="A104" s="36">
        <v>101</v>
      </c>
      <c r="B104" s="69">
        <f>Level!B105-Level!B104</f>
        <v>40000</v>
      </c>
      <c r="C104" s="73">
        <f>Level!M104*VLOOKUP(A104,Plants!$C$4:$AH$47,32)*24+(27/Level!T104)</f>
        <v>4653.7245521601681</v>
      </c>
      <c r="D104" s="62">
        <f t="shared" si="28"/>
        <v>8.5952659104915821</v>
      </c>
      <c r="E104" s="65">
        <f>SUM(D$4:D103)</f>
        <v>556.45330174765661</v>
      </c>
      <c r="F104" s="205">
        <f>Level!M104*VLOOKUP(A104,Plants!$C$4:$AI$47,33)*24*1.15+IF(VLOOKUP(A104,Goals!$AO$4:$AO$120,1)=A104,VLOOKUP(A104,Goals!$AO$4:$AQ$120,3)/D104,0)+VLOOKUP(A104,Level!$A$4:$C$203,3)/D104</f>
        <v>124404.81875658587</v>
      </c>
      <c r="G104" s="71">
        <f>Level!M104*VLOOKUP(A104,Plants!$C$4:$X$47,21)*24</f>
        <v>60480</v>
      </c>
      <c r="H104" s="63">
        <f t="shared" si="29"/>
        <v>0.66137566137566139</v>
      </c>
      <c r="I104" s="64">
        <f>SUM(H$4:H103)</f>
        <v>38.781628496282693</v>
      </c>
      <c r="J104" s="35">
        <f>Level!M104*VLOOKUP(A104,Plants!$C$4:$X$47,22)*24</f>
        <v>544320</v>
      </c>
      <c r="K104" s="239">
        <f t="shared" si="21"/>
        <v>1069292</v>
      </c>
      <c r="L104" s="239">
        <f>SUM($K$4:K104)</f>
        <v>44781186</v>
      </c>
      <c r="M104" s="239">
        <f t="shared" si="22"/>
        <v>360000</v>
      </c>
      <c r="N104" s="239">
        <f>SUM($M$4:M104)</f>
        <v>14899428</v>
      </c>
      <c r="O104">
        <f>ROUNDUP(MIN(50,ROUNDUP(A104/3,0),Level!M104)*Plants!Q$4*0.005,0)</f>
        <v>1</v>
      </c>
      <c r="P104">
        <f>ROUNDUP(MAX(4,MIN(A104,VLOOKUP(A104,Level!$A$4:$M$203,13))*MIN(4,ROUNDUP(VLOOKUP(A104,Background!$C$3:$D$52,2)/5,0)))*VLOOKUP(A104,Plants!$C$4:$AJ$53,30)*0.025,0)</f>
        <v>132</v>
      </c>
      <c r="Q104">
        <f t="shared" si="23"/>
        <v>67</v>
      </c>
      <c r="R104">
        <f>ROUND(MIN(50,ROUNDUP(A104/3,0),Level!M104)*Plants!R$4,0)</f>
        <v>170</v>
      </c>
      <c r="S104" s="153">
        <f>ROUNDUP(MAX(4,MIN(A104,VLOOKUP(A104,Level!$A$4:$M$203,13))*MIN(4,ROUNDUP(VLOOKUP(A104,Background!$C$3:$D$52,2)/5,0)))*VLOOKUP(A104,Plants!$C$4:$AJ$53,31)*1.25,0)</f>
        <v>148975</v>
      </c>
      <c r="T104" s="153">
        <f t="shared" si="24"/>
        <v>74572.5</v>
      </c>
      <c r="U104">
        <f>SUM($K$4:K104)</f>
        <v>44781186</v>
      </c>
      <c r="V104">
        <f>VLOOKUP(A104,Garden!$B$4:$P$19,15)</f>
        <v>15970400</v>
      </c>
      <c r="W104">
        <f>VLOOKUP(A104,Plots!$B$4:$U$39,20)</f>
        <v>15971200</v>
      </c>
      <c r="X104">
        <f>VLOOKUP(A104,'Decoration Background'!$A$2:$H$200,8)</f>
        <v>26773683</v>
      </c>
      <c r="Y104">
        <f t="shared" si="30"/>
        <v>-13934097</v>
      </c>
      <c r="Z104" s="158">
        <f t="shared" si="31"/>
        <v>1.311159624043901</v>
      </c>
      <c r="AA104">
        <f t="shared" si="32"/>
        <v>-13934097</v>
      </c>
      <c r="AB104" s="170">
        <f>MAX(0,(-Y104)/VLOOKUP($A104,Payment!$A$39:$G$239,7)*100)</f>
        <v>1393.4096999999999</v>
      </c>
      <c r="AC104" s="138">
        <f t="shared" si="25"/>
        <v>1393.4096999999999</v>
      </c>
      <c r="AD104">
        <f t="shared" si="33"/>
        <v>15453</v>
      </c>
      <c r="AE104">
        <f t="shared" si="26"/>
        <v>112</v>
      </c>
      <c r="AF104" s="79">
        <f t="shared" si="27"/>
        <v>112</v>
      </c>
    </row>
    <row r="105" spans="1:32">
      <c r="A105" s="36">
        <v>102</v>
      </c>
      <c r="B105" s="69">
        <f>Level!B106-Level!B105</f>
        <v>40500</v>
      </c>
      <c r="C105" s="73">
        <f>Level!M105*VLOOKUP(A105,Plants!$C$4:$AH$47,32)*24+(27/Level!T105)</f>
        <v>4653.7245521601681</v>
      </c>
      <c r="D105" s="62">
        <f t="shared" si="28"/>
        <v>8.7027067343727271</v>
      </c>
      <c r="E105" s="65">
        <f>SUM(D$4:D104)</f>
        <v>565.04856765814816</v>
      </c>
      <c r="F105" s="205">
        <f>Level!M105*VLOOKUP(A105,Plants!$C$4:$AI$47,33)*24*1.15+IF(VLOOKUP(A105,Goals!$AO$4:$AO$120,1)=A105,VLOOKUP(A105,Goals!$AO$4:$AQ$120,3)/D105,0)+VLOOKUP(A105,Level!$A$4:$C$203,3)/D105</f>
        <v>124404.81875658587</v>
      </c>
      <c r="G105" s="71">
        <f>Level!M105*VLOOKUP(A105,Plants!$C$4:$X$47,21)*24</f>
        <v>60480</v>
      </c>
      <c r="H105" s="63">
        <f t="shared" si="29"/>
        <v>0.6696428571428571</v>
      </c>
      <c r="I105" s="64">
        <f>SUM(H$4:H104)</f>
        <v>39.443004157658351</v>
      </c>
      <c r="J105" s="35">
        <f>Level!M105*VLOOKUP(A105,Plants!$C$4:$X$47,22)*24</f>
        <v>544320</v>
      </c>
      <c r="K105" s="239">
        <f t="shared" si="21"/>
        <v>1082659</v>
      </c>
      <c r="L105" s="239">
        <f>SUM($K$4:K105)</f>
        <v>45863845</v>
      </c>
      <c r="M105" s="239">
        <f t="shared" si="22"/>
        <v>364500</v>
      </c>
      <c r="N105" s="239">
        <f>SUM($M$4:M105)</f>
        <v>15263928</v>
      </c>
      <c r="O105">
        <f>ROUNDUP(MIN(50,ROUNDUP(A105/3,0),Level!M105)*Plants!Q$4*0.005,0)</f>
        <v>1</v>
      </c>
      <c r="P105">
        <f>ROUNDUP(MAX(4,MIN(A105,VLOOKUP(A105,Level!$A$4:$M$203,13))*MIN(4,ROUNDUP(VLOOKUP(A105,Background!$C$3:$D$52,2)/5,0)))*VLOOKUP(A105,Plants!$C$4:$AJ$53,30)*0.025,0)</f>
        <v>133</v>
      </c>
      <c r="Q105">
        <f t="shared" si="23"/>
        <v>67.5</v>
      </c>
      <c r="R105">
        <f>ROUND(MIN(50,ROUNDUP(A105/3,0),Level!M105)*Plants!R$4,0)</f>
        <v>170</v>
      </c>
      <c r="S105" s="153">
        <f>ROUNDUP(MAX(4,MIN(A105,VLOOKUP(A105,Level!$A$4:$M$203,13))*MIN(4,ROUNDUP(VLOOKUP(A105,Background!$C$3:$D$52,2)/5,0)))*VLOOKUP(A105,Plants!$C$4:$AJ$53,31)*1.25,0)</f>
        <v>150450</v>
      </c>
      <c r="T105" s="153">
        <f t="shared" si="24"/>
        <v>75310</v>
      </c>
      <c r="U105">
        <f>SUM($K$4:K105)</f>
        <v>45863845</v>
      </c>
      <c r="V105">
        <f>VLOOKUP(A105,Garden!$B$4:$P$19,15)</f>
        <v>15970400</v>
      </c>
      <c r="W105">
        <f>VLOOKUP(A105,Plots!$B$4:$U$39,20)</f>
        <v>15971200</v>
      </c>
      <c r="X105">
        <f>VLOOKUP(A105,'Decoration Background'!$A$2:$H$200,8)</f>
        <v>27506352</v>
      </c>
      <c r="Y105">
        <f t="shared" si="30"/>
        <v>-13584107</v>
      </c>
      <c r="Z105" s="158">
        <f t="shared" si="31"/>
        <v>1.296183344418681</v>
      </c>
      <c r="AA105">
        <f t="shared" si="32"/>
        <v>-13934097</v>
      </c>
      <c r="AB105" s="170">
        <f>MAX(0,(-Y105)/VLOOKUP($A105,Payment!$A$39:$G$239,7)*100)</f>
        <v>1358.4106999999999</v>
      </c>
      <c r="AC105" s="138">
        <f t="shared" si="25"/>
        <v>1393.4096999999999</v>
      </c>
      <c r="AD105">
        <f t="shared" si="33"/>
        <v>15759</v>
      </c>
      <c r="AE105">
        <f t="shared" si="26"/>
        <v>109.2</v>
      </c>
      <c r="AF105" s="79">
        <f t="shared" si="27"/>
        <v>112</v>
      </c>
    </row>
    <row r="106" spans="1:32">
      <c r="A106" s="36">
        <v>103</v>
      </c>
      <c r="B106" s="69">
        <f>Level!B107-Level!B106</f>
        <v>41000</v>
      </c>
      <c r="C106" s="73">
        <f>Level!M106*VLOOKUP(A106,Plants!$C$4:$AH$47,32)*24+(27/Level!T106)</f>
        <v>4801.2904109589035</v>
      </c>
      <c r="D106" s="62">
        <f t="shared" si="28"/>
        <v>8.5393709796053692</v>
      </c>
      <c r="E106" s="65">
        <f>SUM(D$4:D105)</f>
        <v>573.75127439252094</v>
      </c>
      <c r="F106" s="205">
        <f>Level!M106*VLOOKUP(A106,Plants!$C$4:$AI$47,33)*24*1.15+IF(VLOOKUP(A106,Goals!$AO$4:$AO$120,1)=A106,VLOOKUP(A106,Goals!$AO$4:$AQ$120,3)/D106,0)+VLOOKUP(A106,Level!$A$4:$C$203,3)/D106</f>
        <v>128354.17808219179</v>
      </c>
      <c r="G106" s="71">
        <f>Level!M106*VLOOKUP(A106,Plants!$C$4:$X$47,21)*24</f>
        <v>62400</v>
      </c>
      <c r="H106" s="63">
        <f t="shared" si="29"/>
        <v>0.65705128205128205</v>
      </c>
      <c r="I106" s="64">
        <f>SUM(H$4:H105)</f>
        <v>40.112647014801205</v>
      </c>
      <c r="J106" s="35">
        <f>Level!M106*VLOOKUP(A106,Plants!$C$4:$X$47,22)*24</f>
        <v>561600</v>
      </c>
      <c r="K106" s="239">
        <f t="shared" si="21"/>
        <v>1096064</v>
      </c>
      <c r="L106" s="239">
        <f>SUM($K$4:K106)</f>
        <v>46959909</v>
      </c>
      <c r="M106" s="239">
        <f t="shared" si="22"/>
        <v>369000</v>
      </c>
      <c r="N106" s="239">
        <f>SUM($M$4:M106)</f>
        <v>15632928</v>
      </c>
      <c r="O106">
        <f>ROUNDUP(MIN(50,ROUNDUP(A106/3,0),Level!M106)*Plants!Q$4*0.005,0)</f>
        <v>1</v>
      </c>
      <c r="P106">
        <f>ROUNDUP(MAX(4,MIN(A106,VLOOKUP(A106,Level!$A$4:$M$203,13))*MIN(4,ROUNDUP(VLOOKUP(A106,Background!$C$3:$D$52,2)/5,0)))*VLOOKUP(A106,Plants!$C$4:$AJ$53,30)*0.025,0)</f>
        <v>134</v>
      </c>
      <c r="Q106">
        <f t="shared" si="23"/>
        <v>68</v>
      </c>
      <c r="R106">
        <f>ROUND(MIN(50,ROUNDUP(A106/3,0),Level!M106)*Plants!R$4,0)</f>
        <v>175</v>
      </c>
      <c r="S106" s="153">
        <f>ROUNDUP(MAX(4,MIN(A106,VLOOKUP(A106,Level!$A$4:$M$203,13))*MIN(4,ROUNDUP(VLOOKUP(A106,Background!$C$3:$D$52,2)/5,0)))*VLOOKUP(A106,Plants!$C$4:$AJ$53,31)*1.25,0)</f>
        <v>151925</v>
      </c>
      <c r="T106" s="153">
        <f t="shared" si="24"/>
        <v>76050</v>
      </c>
      <c r="U106">
        <f>SUM($K$4:K106)</f>
        <v>46959909</v>
      </c>
      <c r="V106">
        <f>VLOOKUP(A106,Garden!$B$4:$P$19,15)</f>
        <v>15970400</v>
      </c>
      <c r="W106">
        <f>VLOOKUP(A106,Plots!$B$4:$U$39,20)</f>
        <v>17571200</v>
      </c>
      <c r="X106">
        <f>VLOOKUP(A106,'Decoration Background'!$A$2:$H$200,8)</f>
        <v>28249971</v>
      </c>
      <c r="Y106">
        <f t="shared" si="30"/>
        <v>-14831662</v>
      </c>
      <c r="Z106" s="158">
        <f t="shared" si="31"/>
        <v>1.3158366852882957</v>
      </c>
      <c r="AA106">
        <f t="shared" si="32"/>
        <v>-14831662</v>
      </c>
      <c r="AB106" s="170">
        <f>MAX(0,(-Y106)/VLOOKUP($A106,Payment!$A$39:$G$239,7)*100)</f>
        <v>1483.1661999999999</v>
      </c>
      <c r="AC106" s="138">
        <f t="shared" si="25"/>
        <v>1483.1661999999999</v>
      </c>
      <c r="AD106">
        <f t="shared" si="33"/>
        <v>16068</v>
      </c>
      <c r="AE106">
        <f t="shared" si="26"/>
        <v>115.6</v>
      </c>
      <c r="AF106" s="79">
        <f t="shared" si="27"/>
        <v>115.6</v>
      </c>
    </row>
    <row r="107" spans="1:32">
      <c r="A107" s="36">
        <v>104</v>
      </c>
      <c r="B107" s="69">
        <f>Level!B108-Level!B107</f>
        <v>41500</v>
      </c>
      <c r="C107" s="73">
        <f>Level!M107*VLOOKUP(A107,Plants!$C$4:$AH$47,32)*24+(27/Level!T107)</f>
        <v>4801.2904109589035</v>
      </c>
      <c r="D107" s="62">
        <f t="shared" si="28"/>
        <v>8.6435096500883617</v>
      </c>
      <c r="E107" s="65">
        <f>SUM(D$4:D106)</f>
        <v>582.29064537212628</v>
      </c>
      <c r="F107" s="205">
        <f>Level!M107*VLOOKUP(A107,Plants!$C$4:$AI$47,33)*24*1.15+IF(VLOOKUP(A107,Goals!$AO$4:$AO$120,1)=A107,VLOOKUP(A107,Goals!$AO$4:$AQ$120,3)/D107,0)+VLOOKUP(A107,Level!$A$4:$C$203,3)/D107</f>
        <v>128354.17808219179</v>
      </c>
      <c r="G107" s="71">
        <f>Level!M107*VLOOKUP(A107,Plants!$C$4:$X$47,21)*24</f>
        <v>62400</v>
      </c>
      <c r="H107" s="63">
        <f t="shared" si="29"/>
        <v>0.66506410256410253</v>
      </c>
      <c r="I107" s="64">
        <f>SUM(H$4:H106)</f>
        <v>40.769698296852489</v>
      </c>
      <c r="J107" s="35">
        <f>Level!M107*VLOOKUP(A107,Plants!$C$4:$X$47,22)*24</f>
        <v>561600</v>
      </c>
      <c r="K107" s="239">
        <f t="shared" si="21"/>
        <v>1109431</v>
      </c>
      <c r="L107" s="239">
        <f>SUM($K$4:K107)</f>
        <v>48069340</v>
      </c>
      <c r="M107" s="239">
        <f t="shared" si="22"/>
        <v>373500</v>
      </c>
      <c r="N107" s="239">
        <f>SUM($M$4:M107)</f>
        <v>16006428</v>
      </c>
      <c r="O107">
        <f>ROUNDUP(MIN(50,ROUNDUP(A107/3,0),Level!M107)*Plants!Q$4*0.005,0)</f>
        <v>1</v>
      </c>
      <c r="P107">
        <f>ROUNDUP(MAX(4,MIN(A107,VLOOKUP(A107,Level!$A$4:$M$203,13))*MIN(4,ROUNDUP(VLOOKUP(A107,Background!$C$3:$D$52,2)/5,0)))*VLOOKUP(A107,Plants!$C$4:$AJ$53,30)*0.025,0)</f>
        <v>136</v>
      </c>
      <c r="Q107">
        <f t="shared" si="23"/>
        <v>69</v>
      </c>
      <c r="R107">
        <f>ROUND(MIN(50,ROUNDUP(A107/3,0),Level!M107)*Plants!R$4,0)</f>
        <v>175</v>
      </c>
      <c r="S107" s="153">
        <f>ROUNDUP(MAX(4,MIN(A107,VLOOKUP(A107,Level!$A$4:$M$203,13))*MIN(4,ROUNDUP(VLOOKUP(A107,Background!$C$3:$D$52,2)/5,0)))*VLOOKUP(A107,Plants!$C$4:$AJ$53,31)*1.25,0)</f>
        <v>153400</v>
      </c>
      <c r="T107" s="153">
        <f t="shared" si="24"/>
        <v>76787.5</v>
      </c>
      <c r="U107">
        <f>SUM($K$4:K107)</f>
        <v>48069340</v>
      </c>
      <c r="V107">
        <f>VLOOKUP(A107,Garden!$B$4:$P$19,15)</f>
        <v>15970400</v>
      </c>
      <c r="W107">
        <f>VLOOKUP(A107,Plots!$B$4:$U$39,20)</f>
        <v>17571200</v>
      </c>
      <c r="X107">
        <f>VLOOKUP(A107,'Decoration Background'!$A$2:$H$200,8)</f>
        <v>29000940</v>
      </c>
      <c r="Y107">
        <f t="shared" si="30"/>
        <v>-14473200</v>
      </c>
      <c r="Z107" s="158">
        <f t="shared" si="31"/>
        <v>1.3010900503314586</v>
      </c>
      <c r="AA107">
        <f t="shared" si="32"/>
        <v>-14831662</v>
      </c>
      <c r="AB107" s="170">
        <f>MAX(0,(-Y107)/VLOOKUP($A107,Payment!$A$39:$G$239,7)*100)</f>
        <v>1418.9411764705883</v>
      </c>
      <c r="AC107" s="138">
        <f t="shared" si="25"/>
        <v>1483.1661999999999</v>
      </c>
      <c r="AD107">
        <f t="shared" si="33"/>
        <v>16380</v>
      </c>
      <c r="AE107">
        <f t="shared" si="26"/>
        <v>112.8</v>
      </c>
      <c r="AF107" s="79">
        <f t="shared" si="27"/>
        <v>115.6</v>
      </c>
    </row>
    <row r="108" spans="1:32">
      <c r="A108" s="36">
        <v>105</v>
      </c>
      <c r="B108" s="69">
        <f>Level!B109-Level!B108</f>
        <v>42000</v>
      </c>
      <c r="C108" s="73">
        <f>Level!M108*VLOOKUP(A108,Plants!$C$4:$AH$47,32)*24+(27/Level!T108)</f>
        <v>4801.2904109589035</v>
      </c>
      <c r="D108" s="62">
        <f t="shared" si="28"/>
        <v>8.7476483205713542</v>
      </c>
      <c r="E108" s="65">
        <f>SUM(D$4:D107)</f>
        <v>590.93415502221467</v>
      </c>
      <c r="F108" s="205">
        <f>Level!M108*VLOOKUP(A108,Plants!$C$4:$AI$47,33)*24*1.15+IF(VLOOKUP(A108,Goals!$AO$4:$AO$120,1)=A108,VLOOKUP(A108,Goals!$AO$4:$AQ$120,3)/D108,0)+VLOOKUP(A108,Level!$A$4:$C$203,3)/D108</f>
        <v>128354.17808219179</v>
      </c>
      <c r="G108" s="71">
        <f>Level!M108*VLOOKUP(A108,Plants!$C$4:$X$47,21)*24</f>
        <v>62400</v>
      </c>
      <c r="H108" s="63">
        <f t="shared" si="29"/>
        <v>0.67307692307692313</v>
      </c>
      <c r="I108" s="64">
        <f>SUM(H$4:H107)</f>
        <v>41.434762399416591</v>
      </c>
      <c r="J108" s="35">
        <f>Level!M108*VLOOKUP(A108,Plants!$C$4:$X$47,22)*24</f>
        <v>561600</v>
      </c>
      <c r="K108" s="239">
        <f t="shared" si="21"/>
        <v>1122797</v>
      </c>
      <c r="L108" s="239">
        <f>SUM($K$4:K108)</f>
        <v>49192137</v>
      </c>
      <c r="M108" s="239">
        <f t="shared" si="22"/>
        <v>378000</v>
      </c>
      <c r="N108" s="239">
        <f>SUM($M$4:M108)</f>
        <v>16384428</v>
      </c>
      <c r="O108">
        <f>ROUNDUP(MIN(50,ROUNDUP(A108/3,0),Level!M108)*Plants!Q$4*0.005,0)</f>
        <v>1</v>
      </c>
      <c r="P108">
        <f>ROUNDUP(MAX(4,MIN(A108,VLOOKUP(A108,Level!$A$4:$M$203,13))*MIN(4,ROUNDUP(VLOOKUP(A108,Background!$C$3:$D$52,2)/5,0)))*VLOOKUP(A108,Plants!$C$4:$AJ$53,30)*0.025,0)</f>
        <v>137</v>
      </c>
      <c r="Q108">
        <f t="shared" si="23"/>
        <v>69.5</v>
      </c>
      <c r="R108">
        <f>ROUND(MIN(50,ROUNDUP(A108/3,0),Level!M108)*Plants!R$4,0)</f>
        <v>175</v>
      </c>
      <c r="S108" s="153">
        <f>ROUNDUP(MAX(4,MIN(A108,VLOOKUP(A108,Level!$A$4:$M$203,13))*MIN(4,ROUNDUP(VLOOKUP(A108,Background!$C$3:$D$52,2)/5,0)))*VLOOKUP(A108,Plants!$C$4:$AJ$53,31)*1.25,0)</f>
        <v>154875</v>
      </c>
      <c r="T108" s="153">
        <f t="shared" si="24"/>
        <v>77525</v>
      </c>
      <c r="U108">
        <f>SUM($K$4:K108)</f>
        <v>49192137</v>
      </c>
      <c r="V108">
        <f>VLOOKUP(A108,Garden!$B$4:$P$19,15)</f>
        <v>15970400</v>
      </c>
      <c r="W108">
        <f>VLOOKUP(A108,Plots!$B$4:$U$39,20)</f>
        <v>17571200</v>
      </c>
      <c r="X108">
        <f>VLOOKUP(A108,'Decoration Background'!$A$2:$H$200,8)</f>
        <v>29759259</v>
      </c>
      <c r="Y108">
        <f t="shared" si="30"/>
        <v>-14108722</v>
      </c>
      <c r="Z108" s="158">
        <f t="shared" si="31"/>
        <v>1.286808479168124</v>
      </c>
      <c r="AA108">
        <f t="shared" si="32"/>
        <v>-14831662</v>
      </c>
      <c r="AB108" s="170">
        <f>MAX(0,(-Y108)/VLOOKUP($A108,Payment!$A$39:$G$239,7)*100)</f>
        <v>1383.2080392156863</v>
      </c>
      <c r="AC108" s="138">
        <f t="shared" si="25"/>
        <v>1483.1661999999999</v>
      </c>
      <c r="AD108">
        <f t="shared" si="33"/>
        <v>16695</v>
      </c>
      <c r="AE108">
        <f t="shared" si="26"/>
        <v>109.9</v>
      </c>
      <c r="AF108" s="79">
        <f t="shared" si="27"/>
        <v>115.6</v>
      </c>
    </row>
    <row r="109" spans="1:32">
      <c r="A109" s="36">
        <v>106</v>
      </c>
      <c r="B109" s="69">
        <f>Level!B110-Level!B109</f>
        <v>42500</v>
      </c>
      <c r="C109" s="73">
        <f>Level!M109*VLOOKUP(A109,Plants!$C$4:$AH$47,32)*24+(27/Level!T109)</f>
        <v>4948.856269757639</v>
      </c>
      <c r="D109" s="62">
        <f t="shared" si="28"/>
        <v>8.5878428637575599</v>
      </c>
      <c r="E109" s="65">
        <f>SUM(D$4:D108)</f>
        <v>599.681803342786</v>
      </c>
      <c r="F109" s="205">
        <f>Level!M109*VLOOKUP(A109,Plants!$C$4:$AI$47,33)*24*1.15+IF(VLOOKUP(A109,Goals!$AO$4:$AO$120,1)=A109,VLOOKUP(A109,Goals!$AO$4:$AQ$120,3)/D109,0)+VLOOKUP(A109,Level!$A$4:$C$203,3)/D109</f>
        <v>132303.53740779767</v>
      </c>
      <c r="G109" s="71">
        <f>Level!M109*VLOOKUP(A109,Plants!$C$4:$X$47,21)*24</f>
        <v>64320</v>
      </c>
      <c r="H109" s="63">
        <f t="shared" si="29"/>
        <v>0.66075870646766166</v>
      </c>
      <c r="I109" s="64">
        <f>SUM(H$4:H108)</f>
        <v>42.107839322493511</v>
      </c>
      <c r="J109" s="35">
        <f>Level!M109*VLOOKUP(A109,Plants!$C$4:$X$47,22)*24</f>
        <v>578880</v>
      </c>
      <c r="K109" s="239">
        <f t="shared" si="21"/>
        <v>1136202</v>
      </c>
      <c r="L109" s="239">
        <f>SUM($K$4:K109)</f>
        <v>50328339</v>
      </c>
      <c r="M109" s="239">
        <f t="shared" si="22"/>
        <v>382500</v>
      </c>
      <c r="N109" s="239">
        <f>SUM($M$4:M109)</f>
        <v>16766928</v>
      </c>
      <c r="O109">
        <f>ROUNDUP(MIN(50,ROUNDUP(A109/3,0),Level!M109)*Plants!Q$4*0.005,0)</f>
        <v>1</v>
      </c>
      <c r="P109">
        <f>ROUNDUP(MAX(4,MIN(A109,VLOOKUP(A109,Level!$A$4:$M$203,13))*MIN(4,ROUNDUP(VLOOKUP(A109,Background!$C$3:$D$52,2)/5,0)))*VLOOKUP(A109,Plants!$C$4:$AJ$53,30)*0.025,0)</f>
        <v>138</v>
      </c>
      <c r="Q109">
        <f t="shared" si="23"/>
        <v>70</v>
      </c>
      <c r="R109">
        <f>ROUND(MIN(50,ROUNDUP(A109/3,0),Level!M109)*Plants!R$4,0)</f>
        <v>180</v>
      </c>
      <c r="S109" s="153">
        <f>ROUNDUP(MAX(4,MIN(A109,VLOOKUP(A109,Level!$A$4:$M$203,13))*MIN(4,ROUNDUP(VLOOKUP(A109,Background!$C$3:$D$52,2)/5,0)))*VLOOKUP(A109,Plants!$C$4:$AJ$53,31)*1.25,0)</f>
        <v>156350</v>
      </c>
      <c r="T109" s="153">
        <f t="shared" si="24"/>
        <v>78265</v>
      </c>
      <c r="U109">
        <f>SUM($K$4:K109)</f>
        <v>50328339</v>
      </c>
      <c r="V109">
        <f>VLOOKUP(A109,Garden!$B$4:$P$19,15)</f>
        <v>15970400</v>
      </c>
      <c r="W109">
        <f>VLOOKUP(A109,Plots!$B$4:$U$39,20)</f>
        <v>19271200</v>
      </c>
      <c r="X109">
        <f>VLOOKUP(A109,'Decoration Background'!$A$2:$H$200,8)</f>
        <v>30524928</v>
      </c>
      <c r="Y109">
        <f t="shared" si="30"/>
        <v>-15438189</v>
      </c>
      <c r="Z109" s="158">
        <f t="shared" si="31"/>
        <v>1.3067494240173514</v>
      </c>
      <c r="AA109">
        <f t="shared" si="32"/>
        <v>-15438189</v>
      </c>
      <c r="AB109" s="170">
        <f>MAX(0,(-Y109)/VLOOKUP($A109,Payment!$A$39:$G$239,7)*100)</f>
        <v>1513.5479411764707</v>
      </c>
      <c r="AC109" s="138">
        <f t="shared" si="25"/>
        <v>1513.5479411764707</v>
      </c>
      <c r="AD109">
        <f t="shared" si="33"/>
        <v>17013</v>
      </c>
      <c r="AE109">
        <f t="shared" si="26"/>
        <v>116.7</v>
      </c>
      <c r="AF109" s="79">
        <f t="shared" si="27"/>
        <v>116.7</v>
      </c>
    </row>
    <row r="110" spans="1:32">
      <c r="A110" s="36">
        <v>107</v>
      </c>
      <c r="B110" s="69">
        <f>Level!B111-Level!B110</f>
        <v>43000</v>
      </c>
      <c r="C110" s="73">
        <f>Level!M110*VLOOKUP(A110,Plants!$C$4:$AH$47,32)*24+(27/Level!T110)</f>
        <v>4948.856269757639</v>
      </c>
      <c r="D110" s="62">
        <f t="shared" si="28"/>
        <v>8.6888763092135317</v>
      </c>
      <c r="E110" s="65">
        <f>SUM(D$4:D109)</f>
        <v>608.2696462065436</v>
      </c>
      <c r="F110" s="205">
        <f>Level!M110*VLOOKUP(A110,Plants!$C$4:$AI$47,33)*24*1.15+IF(VLOOKUP(A110,Goals!$AO$4:$AO$120,1)=A110,VLOOKUP(A110,Goals!$AO$4:$AQ$120,3)/D110,0)+VLOOKUP(A110,Level!$A$4:$C$203,3)/D110</f>
        <v>132303.53740779767</v>
      </c>
      <c r="G110" s="71">
        <f>Level!M110*VLOOKUP(A110,Plants!$C$4:$X$47,21)*24</f>
        <v>64320</v>
      </c>
      <c r="H110" s="63">
        <f t="shared" si="29"/>
        <v>0.66853233830845771</v>
      </c>
      <c r="I110" s="64">
        <f>SUM(H$4:H109)</f>
        <v>42.768598028961172</v>
      </c>
      <c r="J110" s="35">
        <f>Level!M110*VLOOKUP(A110,Plants!$C$4:$X$47,22)*24</f>
        <v>578880</v>
      </c>
      <c r="K110" s="239">
        <f t="shared" si="21"/>
        <v>1149569</v>
      </c>
      <c r="L110" s="239">
        <f>SUM($K$4:K110)</f>
        <v>51477908</v>
      </c>
      <c r="M110" s="239">
        <f t="shared" si="22"/>
        <v>387000</v>
      </c>
      <c r="N110" s="239">
        <f>SUM($M$4:M110)</f>
        <v>17153928</v>
      </c>
      <c r="O110">
        <f>ROUNDUP(MIN(50,ROUNDUP(A110/3,0),Level!M110)*Plants!Q$4*0.005,0)</f>
        <v>1</v>
      </c>
      <c r="P110">
        <f>ROUNDUP(MAX(4,MIN(A110,VLOOKUP(A110,Level!$A$4:$M$203,13))*MIN(4,ROUNDUP(VLOOKUP(A110,Background!$C$3:$D$52,2)/5,0)))*VLOOKUP(A110,Plants!$C$4:$AJ$53,30)*0.025,0)</f>
        <v>140</v>
      </c>
      <c r="Q110">
        <f t="shared" si="23"/>
        <v>71</v>
      </c>
      <c r="R110">
        <f>ROUND(MIN(50,ROUNDUP(A110/3,0),Level!M110)*Plants!R$4,0)</f>
        <v>180</v>
      </c>
      <c r="S110" s="153">
        <f>ROUNDUP(MAX(4,MIN(A110,VLOOKUP(A110,Level!$A$4:$M$203,13))*MIN(4,ROUNDUP(VLOOKUP(A110,Background!$C$3:$D$52,2)/5,0)))*VLOOKUP(A110,Plants!$C$4:$AJ$53,31)*1.25,0)</f>
        <v>157825</v>
      </c>
      <c r="T110" s="153">
        <f t="shared" si="24"/>
        <v>79002.5</v>
      </c>
      <c r="U110">
        <f>SUM($K$4:K110)</f>
        <v>51477908</v>
      </c>
      <c r="V110">
        <f>VLOOKUP(A110,Garden!$B$4:$P$19,15)</f>
        <v>15970400</v>
      </c>
      <c r="W110">
        <f>VLOOKUP(A110,Plots!$B$4:$U$39,20)</f>
        <v>19271200</v>
      </c>
      <c r="X110">
        <f>VLOOKUP(A110,'Decoration Background'!$A$2:$H$200,8)</f>
        <v>31297947</v>
      </c>
      <c r="Y110">
        <f t="shared" si="30"/>
        <v>-15061639</v>
      </c>
      <c r="Z110" s="158">
        <f t="shared" si="31"/>
        <v>1.2925845199459154</v>
      </c>
      <c r="AA110">
        <f t="shared" si="32"/>
        <v>-15438189</v>
      </c>
      <c r="AB110" s="170">
        <f>MAX(0,(-Y110)/VLOOKUP($A110,Payment!$A$39:$G$239,7)*100)</f>
        <v>1476.6312745098039</v>
      </c>
      <c r="AC110" s="138">
        <f t="shared" si="25"/>
        <v>1513.5479411764707</v>
      </c>
      <c r="AD110">
        <f t="shared" si="33"/>
        <v>17334</v>
      </c>
      <c r="AE110">
        <f t="shared" si="26"/>
        <v>113.8</v>
      </c>
      <c r="AF110" s="79">
        <f t="shared" si="27"/>
        <v>116.7</v>
      </c>
    </row>
    <row r="111" spans="1:32">
      <c r="A111" s="36">
        <v>108</v>
      </c>
      <c r="B111" s="69">
        <f>Level!B112-Level!B111</f>
        <v>43500</v>
      </c>
      <c r="C111" s="73">
        <f>Level!M111*VLOOKUP(A111,Plants!$C$4:$AH$47,32)*24+(27/Level!T111)</f>
        <v>4948.856269757639</v>
      </c>
      <c r="D111" s="62">
        <f t="shared" si="28"/>
        <v>8.7899097546695035</v>
      </c>
      <c r="E111" s="65">
        <f>SUM(D$4:D110)</f>
        <v>616.95852251575718</v>
      </c>
      <c r="F111" s="205">
        <f>Level!M111*VLOOKUP(A111,Plants!$C$4:$AI$47,33)*24*1.15+IF(VLOOKUP(A111,Goals!$AO$4:$AO$120,1)=A111,VLOOKUP(A111,Goals!$AO$4:$AQ$120,3)/D111,0)+VLOOKUP(A111,Level!$A$4:$C$203,3)/D111</f>
        <v>132303.53740779767</v>
      </c>
      <c r="G111" s="71">
        <f>Level!M111*VLOOKUP(A111,Plants!$C$4:$X$47,21)*24</f>
        <v>64320</v>
      </c>
      <c r="H111" s="63">
        <f t="shared" si="29"/>
        <v>0.67630597014925375</v>
      </c>
      <c r="I111" s="64">
        <f>SUM(H$4:H110)</f>
        <v>43.437130367269631</v>
      </c>
      <c r="J111" s="35">
        <f>Level!M111*VLOOKUP(A111,Plants!$C$4:$X$47,22)*24</f>
        <v>578880</v>
      </c>
      <c r="K111" s="239">
        <f t="shared" si="21"/>
        <v>1162936</v>
      </c>
      <c r="L111" s="239">
        <f>SUM($K$4:K111)</f>
        <v>52640844</v>
      </c>
      <c r="M111" s="239">
        <f t="shared" si="22"/>
        <v>391500</v>
      </c>
      <c r="N111" s="239">
        <f>SUM($M$4:M111)</f>
        <v>17545428</v>
      </c>
      <c r="O111">
        <f>ROUNDUP(MIN(50,ROUNDUP(A111/3,0),Level!M111)*Plants!Q$4*0.005,0)</f>
        <v>1</v>
      </c>
      <c r="P111">
        <f>ROUNDUP(MAX(4,MIN(A111,VLOOKUP(A111,Level!$A$4:$M$203,13))*MIN(4,ROUNDUP(VLOOKUP(A111,Background!$C$3:$D$52,2)/5,0)))*VLOOKUP(A111,Plants!$C$4:$AJ$53,30)*0.025,0)</f>
        <v>141</v>
      </c>
      <c r="Q111">
        <f t="shared" si="23"/>
        <v>71.5</v>
      </c>
      <c r="R111">
        <f>ROUND(MIN(50,ROUNDUP(A111/3,0),Level!M111)*Plants!R$4,0)</f>
        <v>180</v>
      </c>
      <c r="S111" s="153">
        <f>ROUNDUP(MAX(4,MIN(A111,VLOOKUP(A111,Level!$A$4:$M$203,13))*MIN(4,ROUNDUP(VLOOKUP(A111,Background!$C$3:$D$52,2)/5,0)))*VLOOKUP(A111,Plants!$C$4:$AJ$53,31)*1.25,0)</f>
        <v>159300</v>
      </c>
      <c r="T111" s="153">
        <f t="shared" si="24"/>
        <v>79740</v>
      </c>
      <c r="U111">
        <f>SUM($K$4:K111)</f>
        <v>52640844</v>
      </c>
      <c r="V111">
        <f>VLOOKUP(A111,Garden!$B$4:$P$19,15)</f>
        <v>15970400</v>
      </c>
      <c r="W111">
        <f>VLOOKUP(A111,Plots!$B$4:$U$39,20)</f>
        <v>19271200</v>
      </c>
      <c r="X111">
        <f>VLOOKUP(A111,'Decoration Background'!$A$2:$H$200,8)</f>
        <v>32078316</v>
      </c>
      <c r="Y111">
        <f t="shared" si="30"/>
        <v>-14679072</v>
      </c>
      <c r="Z111" s="158">
        <f t="shared" si="31"/>
        <v>1.27885327978404</v>
      </c>
      <c r="AA111">
        <f t="shared" si="32"/>
        <v>-15438189</v>
      </c>
      <c r="AB111" s="170">
        <f>MAX(0,(-Y111)/VLOOKUP($A111,Payment!$A$39:$G$239,7)*100)</f>
        <v>1411.4492307692308</v>
      </c>
      <c r="AC111" s="138">
        <f t="shared" si="25"/>
        <v>1513.5479411764707</v>
      </c>
      <c r="AD111">
        <f t="shared" si="33"/>
        <v>17658</v>
      </c>
      <c r="AE111">
        <f t="shared" si="26"/>
        <v>110.9</v>
      </c>
      <c r="AF111" s="79">
        <f t="shared" si="27"/>
        <v>116.7</v>
      </c>
    </row>
    <row r="112" spans="1:32">
      <c r="A112" s="36">
        <v>109</v>
      </c>
      <c r="B112" s="69">
        <f>Level!B113-Level!B112</f>
        <v>44000</v>
      </c>
      <c r="C112" s="73">
        <f>Level!M112*VLOOKUP(A112,Plants!$C$4:$AH$47,32)*24+(27/Level!T112)</f>
        <v>4948.856269757639</v>
      </c>
      <c r="D112" s="62">
        <f t="shared" si="28"/>
        <v>8.8909432001254736</v>
      </c>
      <c r="E112" s="65">
        <f>SUM(D$4:D111)</f>
        <v>625.74843227042663</v>
      </c>
      <c r="F112" s="205">
        <f>Level!M112*VLOOKUP(A112,Plants!$C$4:$AI$47,33)*24*1.15+IF(VLOOKUP(A112,Goals!$AO$4:$AO$120,1)=A112,VLOOKUP(A112,Goals!$AO$4:$AQ$120,3)/D112,0)+VLOOKUP(A112,Level!$A$4:$C$203,3)/D112</f>
        <v>132303.53740779767</v>
      </c>
      <c r="G112" s="71">
        <f>Level!M112*VLOOKUP(A112,Plants!$C$4:$X$47,21)*24</f>
        <v>64320</v>
      </c>
      <c r="H112" s="63">
        <f t="shared" si="29"/>
        <v>0.6840796019900498</v>
      </c>
      <c r="I112" s="64">
        <f>SUM(H$4:H111)</f>
        <v>44.113436337418882</v>
      </c>
      <c r="J112" s="35">
        <f>Level!M112*VLOOKUP(A112,Plants!$C$4:$X$47,22)*24</f>
        <v>578880</v>
      </c>
      <c r="K112" s="239">
        <f t="shared" si="21"/>
        <v>1176303</v>
      </c>
      <c r="L112" s="239">
        <f>SUM($K$4:K112)</f>
        <v>53817147</v>
      </c>
      <c r="M112" s="239">
        <f t="shared" si="22"/>
        <v>396000</v>
      </c>
      <c r="N112" s="239">
        <f>SUM($M$4:M112)</f>
        <v>17941428</v>
      </c>
      <c r="O112">
        <f>ROUNDUP(MIN(50,ROUNDUP(A112/3,0),Level!M112)*Plants!Q$4*0.005,0)</f>
        <v>1</v>
      </c>
      <c r="P112">
        <f>ROUNDUP(MAX(4,MIN(A112,VLOOKUP(A112,Level!$A$4:$M$203,13))*MIN(4,ROUNDUP(VLOOKUP(A112,Background!$C$3:$D$52,2)/5,0)))*VLOOKUP(A112,Plants!$C$4:$AJ$53,30)*0.025,0)</f>
        <v>142</v>
      </c>
      <c r="Q112">
        <f t="shared" si="23"/>
        <v>72</v>
      </c>
      <c r="R112">
        <f>ROUND(MIN(50,ROUNDUP(A112/3,0),Level!M112)*Plants!R$4,0)</f>
        <v>185</v>
      </c>
      <c r="S112" s="153">
        <f>ROUNDUP(MAX(4,MIN(A112,VLOOKUP(A112,Level!$A$4:$M$203,13))*MIN(4,ROUNDUP(VLOOKUP(A112,Background!$C$3:$D$52,2)/5,0)))*VLOOKUP(A112,Plants!$C$4:$AJ$53,31)*1.25,0)</f>
        <v>160775</v>
      </c>
      <c r="T112" s="153">
        <f t="shared" si="24"/>
        <v>80480</v>
      </c>
      <c r="U112">
        <f>SUM($K$4:K112)</f>
        <v>53817147</v>
      </c>
      <c r="V112">
        <f>VLOOKUP(A112,Garden!$B$4:$P$19,15)</f>
        <v>15970400</v>
      </c>
      <c r="W112">
        <f>VLOOKUP(A112,Plots!$B$4:$U$39,20)</f>
        <v>19271200</v>
      </c>
      <c r="X112">
        <f>VLOOKUP(A112,'Decoration Background'!$A$2:$H$200,8)</f>
        <v>32866035</v>
      </c>
      <c r="Y112">
        <f t="shared" si="30"/>
        <v>-14290488</v>
      </c>
      <c r="Z112" s="158">
        <f t="shared" si="31"/>
        <v>1.2655378219882225</v>
      </c>
      <c r="AA112">
        <f t="shared" si="32"/>
        <v>-15438189</v>
      </c>
      <c r="AB112" s="170">
        <f>MAX(0,(-Y112)/VLOOKUP($A112,Payment!$A$39:$G$239,7)*100)</f>
        <v>1374.0853846153848</v>
      </c>
      <c r="AC112" s="138">
        <f t="shared" si="25"/>
        <v>1513.5479411764707</v>
      </c>
      <c r="AD112">
        <f t="shared" si="33"/>
        <v>17985</v>
      </c>
      <c r="AE112">
        <f t="shared" si="26"/>
        <v>108</v>
      </c>
      <c r="AF112" s="79">
        <f t="shared" si="27"/>
        <v>116.7</v>
      </c>
    </row>
    <row r="113" spans="1:32">
      <c r="A113" s="36">
        <v>110</v>
      </c>
      <c r="B113" s="69">
        <f>Level!B114-Level!B113</f>
        <v>44500</v>
      </c>
      <c r="C113" s="73">
        <f>Level!M113*VLOOKUP(A113,Plants!$C$4:$AH$47,32)*24+(27/Level!T113)</f>
        <v>5096.4221285563744</v>
      </c>
      <c r="D113" s="62">
        <f t="shared" si="28"/>
        <v>8.7316158036942646</v>
      </c>
      <c r="E113" s="65">
        <f>SUM(D$4:D112)</f>
        <v>634.63937547055207</v>
      </c>
      <c r="F113" s="205">
        <f>Level!M113*VLOOKUP(A113,Plants!$C$4:$AI$47,33)*24*1.15+IF(VLOOKUP(A113,Goals!$AO$4:$AO$120,1)=A113,VLOOKUP(A113,Goals!$AO$4:$AQ$120,3)/D113,0)+VLOOKUP(A113,Level!$A$4:$C$203,3)/D113</f>
        <v>136252.89673340358</v>
      </c>
      <c r="G113" s="71">
        <f>Level!M113*VLOOKUP(A113,Plants!$C$4:$X$47,21)*24</f>
        <v>66240</v>
      </c>
      <c r="H113" s="63">
        <f t="shared" si="29"/>
        <v>0.6717995169082126</v>
      </c>
      <c r="I113" s="64">
        <f>SUM(H$4:H112)</f>
        <v>44.797515939408932</v>
      </c>
      <c r="J113" s="35">
        <f>Level!M113*VLOOKUP(A113,Plants!$C$4:$X$47,22)*24</f>
        <v>596160</v>
      </c>
      <c r="K113" s="239">
        <f t="shared" si="21"/>
        <v>1189708</v>
      </c>
      <c r="L113" s="239">
        <f>SUM($K$4:K113)</f>
        <v>55006855</v>
      </c>
      <c r="M113" s="239">
        <f t="shared" si="22"/>
        <v>400500</v>
      </c>
      <c r="N113" s="239">
        <f>SUM($M$4:M113)</f>
        <v>18341928</v>
      </c>
      <c r="O113">
        <f>ROUNDUP(MIN(50,ROUNDUP(A113/3,0),Level!M113)*Plants!Q$4*0.005,0)</f>
        <v>1</v>
      </c>
      <c r="P113">
        <f>ROUNDUP(MAX(4,MIN(A113,VLOOKUP(A113,Level!$A$4:$M$203,13))*MIN(4,ROUNDUP(VLOOKUP(A113,Background!$C$3:$D$52,2)/5,0)))*VLOOKUP(A113,Plants!$C$4:$AJ$53,30)*0.025,0)</f>
        <v>143</v>
      </c>
      <c r="Q113">
        <f t="shared" si="23"/>
        <v>72.5</v>
      </c>
      <c r="R113">
        <f>ROUND(MIN(50,ROUNDUP(A113/3,0),Level!M113)*Plants!R$4,0)</f>
        <v>185</v>
      </c>
      <c r="S113" s="153">
        <f>ROUNDUP(MAX(4,MIN(A113,VLOOKUP(A113,Level!$A$4:$M$203,13))*MIN(4,ROUNDUP(VLOOKUP(A113,Background!$C$3:$D$52,2)/5,0)))*VLOOKUP(A113,Plants!$C$4:$AJ$53,31)*1.25,0)</f>
        <v>162250</v>
      </c>
      <c r="T113" s="153">
        <f t="shared" si="24"/>
        <v>81217.5</v>
      </c>
      <c r="U113">
        <f>SUM($K$4:K113)</f>
        <v>55006855</v>
      </c>
      <c r="V113">
        <f>VLOOKUP(A113,Garden!$B$4:$P$19,15)</f>
        <v>15970400</v>
      </c>
      <c r="W113">
        <f>VLOOKUP(A113,Plots!$B$4:$U$39,20)</f>
        <v>21071200</v>
      </c>
      <c r="X113">
        <f>VLOOKUP(A113,'Decoration Background'!$A$2:$H$200,8)</f>
        <v>33661104</v>
      </c>
      <c r="Y113">
        <f t="shared" si="30"/>
        <v>-15695849</v>
      </c>
      <c r="Z113" s="158">
        <f t="shared" si="31"/>
        <v>1.2853435085499798</v>
      </c>
      <c r="AA113">
        <f t="shared" si="32"/>
        <v>-15695849</v>
      </c>
      <c r="AB113" s="170">
        <f>MAX(0,(-Y113)/VLOOKUP($A113,Payment!$A$39:$G$239,7)*100)</f>
        <v>1509.2162499999999</v>
      </c>
      <c r="AC113" s="138">
        <f t="shared" si="25"/>
        <v>1513.5479411764707</v>
      </c>
      <c r="AD113">
        <f t="shared" si="33"/>
        <v>18315</v>
      </c>
      <c r="AE113">
        <f t="shared" si="26"/>
        <v>115.2</v>
      </c>
      <c r="AF113" s="79">
        <f t="shared" si="27"/>
        <v>116.7</v>
      </c>
    </row>
    <row r="114" spans="1:32">
      <c r="A114" s="36">
        <v>111</v>
      </c>
      <c r="B114" s="69">
        <f>Level!B115-Level!B114</f>
        <v>45000</v>
      </c>
      <c r="C114" s="73">
        <f>Level!M114*VLOOKUP(A114,Plants!$C$4:$AH$47,32)*24+(27/Level!T114)</f>
        <v>5096.4221285563744</v>
      </c>
      <c r="D114" s="62">
        <f t="shared" si="28"/>
        <v>8.8297238464324028</v>
      </c>
      <c r="E114" s="65">
        <f>SUM(D$4:D113)</f>
        <v>643.37099127424631</v>
      </c>
      <c r="F114" s="205">
        <f>Level!M114*VLOOKUP(A114,Plants!$C$4:$AI$47,33)*24*1.15+IF(VLOOKUP(A114,Goals!$AO$4:$AO$120,1)=A114,VLOOKUP(A114,Goals!$AO$4:$AQ$120,3)/D114,0)+VLOOKUP(A114,Level!$A$4:$C$203,3)/D114</f>
        <v>136252.89673340358</v>
      </c>
      <c r="G114" s="71">
        <f>Level!M114*VLOOKUP(A114,Plants!$C$4:$X$47,21)*24</f>
        <v>66240</v>
      </c>
      <c r="H114" s="63">
        <f t="shared" si="29"/>
        <v>0.67934782608695654</v>
      </c>
      <c r="I114" s="64">
        <f>SUM(H$4:H113)</f>
        <v>45.469315456317148</v>
      </c>
      <c r="J114" s="35">
        <f>Level!M114*VLOOKUP(A114,Plants!$C$4:$X$47,22)*24</f>
        <v>596160</v>
      </c>
      <c r="K114" s="239">
        <f t="shared" si="21"/>
        <v>1203075</v>
      </c>
      <c r="L114" s="239">
        <f>SUM($K$4:K114)</f>
        <v>56209930</v>
      </c>
      <c r="M114" s="239">
        <f t="shared" si="22"/>
        <v>405000</v>
      </c>
      <c r="N114" s="239">
        <f>SUM($M$4:M114)</f>
        <v>18746928</v>
      </c>
      <c r="O114">
        <f>ROUNDUP(MIN(50,ROUNDUP(A114/3,0),Level!M114)*Plants!Q$4*0.005,0)</f>
        <v>1</v>
      </c>
      <c r="P114">
        <f>ROUNDUP(MAX(4,MIN(A114,VLOOKUP(A114,Level!$A$4:$M$203,13))*MIN(4,ROUNDUP(VLOOKUP(A114,Background!$C$3:$D$52,2)/5,0)))*VLOOKUP(A114,Plants!$C$4:$AJ$53,30)*0.025,0)</f>
        <v>145</v>
      </c>
      <c r="Q114">
        <f t="shared" si="23"/>
        <v>73.5</v>
      </c>
      <c r="R114">
        <f>ROUND(MIN(50,ROUNDUP(A114/3,0),Level!M114)*Plants!R$4,0)</f>
        <v>185</v>
      </c>
      <c r="S114" s="153">
        <f>ROUNDUP(MAX(4,MIN(A114,VLOOKUP(A114,Level!$A$4:$M$203,13))*MIN(4,ROUNDUP(VLOOKUP(A114,Background!$C$3:$D$52,2)/5,0)))*VLOOKUP(A114,Plants!$C$4:$AJ$53,31)*1.25,0)</f>
        <v>163725</v>
      </c>
      <c r="T114" s="153">
        <f t="shared" si="24"/>
        <v>81955</v>
      </c>
      <c r="U114">
        <f>SUM($K$4:K114)</f>
        <v>56209930</v>
      </c>
      <c r="V114">
        <f>VLOOKUP(A114,Garden!$B$4:$P$19,15)</f>
        <v>15970400</v>
      </c>
      <c r="W114">
        <f>VLOOKUP(A114,Plots!$B$4:$U$39,20)</f>
        <v>21071200</v>
      </c>
      <c r="X114">
        <f>VLOOKUP(A114,'Decoration Background'!$A$2:$H$200,8)</f>
        <v>34463523</v>
      </c>
      <c r="Y114">
        <f t="shared" si="30"/>
        <v>-15295193</v>
      </c>
      <c r="Z114" s="158">
        <f t="shared" si="31"/>
        <v>1.2721083801385271</v>
      </c>
      <c r="AA114">
        <f t="shared" si="32"/>
        <v>-15695849</v>
      </c>
      <c r="AB114" s="170">
        <f>MAX(0,(-Y114)/VLOOKUP($A114,Payment!$A$39:$G$239,7)*100)</f>
        <v>1470.6916346153846</v>
      </c>
      <c r="AC114" s="138">
        <f t="shared" si="25"/>
        <v>1513.5479411764707</v>
      </c>
      <c r="AD114">
        <f t="shared" si="33"/>
        <v>18648</v>
      </c>
      <c r="AE114">
        <f t="shared" si="26"/>
        <v>112.3</v>
      </c>
      <c r="AF114" s="79">
        <f t="shared" si="27"/>
        <v>116.7</v>
      </c>
    </row>
    <row r="115" spans="1:32">
      <c r="A115" s="36">
        <v>112</v>
      </c>
      <c r="B115" s="69">
        <f>Level!B116-Level!B115</f>
        <v>45500</v>
      </c>
      <c r="C115" s="73">
        <f>Level!M115*VLOOKUP(A115,Plants!$C$4:$AH$47,32)*24+(27/Level!T115)</f>
        <v>5096.4221285563744</v>
      </c>
      <c r="D115" s="62">
        <f t="shared" si="28"/>
        <v>8.9278318891705393</v>
      </c>
      <c r="E115" s="65">
        <f>SUM(D$4:D114)</f>
        <v>652.20071512067875</v>
      </c>
      <c r="F115" s="205">
        <f>Level!M115*VLOOKUP(A115,Plants!$C$4:$AI$47,33)*24*1.15+IF(VLOOKUP(A115,Goals!$AO$4:$AO$120,1)=A115,VLOOKUP(A115,Goals!$AO$4:$AQ$120,3)/D115,0)+VLOOKUP(A115,Level!$A$4:$C$203,3)/D115</f>
        <v>136252.89673340358</v>
      </c>
      <c r="G115" s="71">
        <f>Level!M115*VLOOKUP(A115,Plants!$C$4:$X$47,21)*24</f>
        <v>66240</v>
      </c>
      <c r="H115" s="63">
        <f t="shared" si="29"/>
        <v>0.68689613526570048</v>
      </c>
      <c r="I115" s="64">
        <f>SUM(H$4:H114)</f>
        <v>46.148663282404101</v>
      </c>
      <c r="J115" s="35">
        <f>Level!M115*VLOOKUP(A115,Plants!$C$4:$X$47,22)*24</f>
        <v>596160</v>
      </c>
      <c r="K115" s="239">
        <f t="shared" si="21"/>
        <v>1216443</v>
      </c>
      <c r="L115" s="239">
        <f>SUM($K$4:K115)</f>
        <v>57426373</v>
      </c>
      <c r="M115" s="239">
        <f t="shared" si="22"/>
        <v>409500</v>
      </c>
      <c r="N115" s="239">
        <f>SUM($M$4:M115)</f>
        <v>19156428</v>
      </c>
      <c r="O115">
        <f>ROUNDUP(MIN(50,ROUNDUP(A115/3,0),Level!M115)*Plants!Q$4*0.005,0)</f>
        <v>1</v>
      </c>
      <c r="P115">
        <f>ROUNDUP(MAX(4,MIN(A115,VLOOKUP(A115,Level!$A$4:$M$203,13))*MIN(4,ROUNDUP(VLOOKUP(A115,Background!$C$3:$D$52,2)/5,0)))*VLOOKUP(A115,Plants!$C$4:$AJ$53,30)*0.025,0)</f>
        <v>146</v>
      </c>
      <c r="Q115">
        <f t="shared" si="23"/>
        <v>74</v>
      </c>
      <c r="R115">
        <f>ROUND(MIN(50,ROUNDUP(A115/3,0),Level!M115)*Plants!R$4,0)</f>
        <v>190</v>
      </c>
      <c r="S115" s="153">
        <f>ROUNDUP(MAX(4,MIN(A115,VLOOKUP(A115,Level!$A$4:$M$203,13))*MIN(4,ROUNDUP(VLOOKUP(A115,Background!$C$3:$D$52,2)/5,0)))*VLOOKUP(A115,Plants!$C$4:$AJ$53,31)*1.25,0)</f>
        <v>165200</v>
      </c>
      <c r="T115" s="153">
        <f t="shared" si="24"/>
        <v>82695</v>
      </c>
      <c r="U115">
        <f>SUM($K$4:K115)</f>
        <v>57426373</v>
      </c>
      <c r="V115">
        <f>VLOOKUP(A115,Garden!$B$4:$P$19,15)</f>
        <v>15970400</v>
      </c>
      <c r="W115">
        <f>VLOOKUP(A115,Plots!$B$4:$U$39,20)</f>
        <v>21071200</v>
      </c>
      <c r="X115">
        <f>VLOOKUP(A115,'Decoration Background'!$A$2:$H$200,8)</f>
        <v>35273292</v>
      </c>
      <c r="Y115">
        <f t="shared" si="30"/>
        <v>-14888519</v>
      </c>
      <c r="Z115" s="158">
        <f t="shared" si="31"/>
        <v>1.2592627432695427</v>
      </c>
      <c r="AA115">
        <f t="shared" si="32"/>
        <v>-15695849</v>
      </c>
      <c r="AB115" s="170">
        <f>MAX(0,(-Y115)/VLOOKUP($A115,Payment!$A$39:$G$239,7)*100)</f>
        <v>1404.5772641509434</v>
      </c>
      <c r="AC115" s="138">
        <f t="shared" si="25"/>
        <v>1513.5479411764707</v>
      </c>
      <c r="AD115">
        <f t="shared" si="33"/>
        <v>18984</v>
      </c>
      <c r="AE115">
        <f t="shared" si="26"/>
        <v>109.3</v>
      </c>
      <c r="AF115" s="79">
        <f t="shared" si="27"/>
        <v>116.7</v>
      </c>
    </row>
    <row r="116" spans="1:32">
      <c r="A116" s="36">
        <v>113</v>
      </c>
      <c r="B116" s="69">
        <f>Level!B117-Level!B116</f>
        <v>46000</v>
      </c>
      <c r="C116" s="73">
        <f>Level!M116*VLOOKUP(A116,Plants!$C$4:$AH$47,32)*24+(27/Level!T116)</f>
        <v>5243.9879873551099</v>
      </c>
      <c r="D116" s="62">
        <f t="shared" si="28"/>
        <v>8.7719499188252037</v>
      </c>
      <c r="E116" s="65">
        <f>SUM(D$4:D115)</f>
        <v>661.12854700984929</v>
      </c>
      <c r="F116" s="205">
        <f>Level!M116*VLOOKUP(A116,Plants!$C$4:$AI$47,33)*24*1.15+IF(VLOOKUP(A116,Goals!$AO$4:$AO$120,1)=A116,VLOOKUP(A116,Goals!$AO$4:$AQ$120,3)/D116,0)+VLOOKUP(A116,Level!$A$4:$C$203,3)/D116</f>
        <v>140202.25605900949</v>
      </c>
      <c r="G116" s="71">
        <f>Level!M116*VLOOKUP(A116,Plants!$C$4:$X$47,21)*24</f>
        <v>68160</v>
      </c>
      <c r="H116" s="63">
        <f t="shared" si="29"/>
        <v>0.67488262910798125</v>
      </c>
      <c r="I116" s="64">
        <f>SUM(H$4:H115)</f>
        <v>46.835559417669799</v>
      </c>
      <c r="J116" s="35">
        <f>Level!M116*VLOOKUP(A116,Plants!$C$4:$X$47,22)*24</f>
        <v>613440</v>
      </c>
      <c r="K116" s="239">
        <f t="shared" si="21"/>
        <v>1229847</v>
      </c>
      <c r="L116" s="239">
        <f>SUM($K$4:K116)</f>
        <v>58656220</v>
      </c>
      <c r="M116" s="239">
        <f t="shared" si="22"/>
        <v>414000</v>
      </c>
      <c r="N116" s="239">
        <f>SUM($M$4:M116)</f>
        <v>19570428</v>
      </c>
      <c r="O116">
        <f>ROUNDUP(MIN(50,ROUNDUP(A116/3,0),Level!M116)*Plants!Q$4*0.005,0)</f>
        <v>1</v>
      </c>
      <c r="P116">
        <f>ROUNDUP(MAX(4,MIN(A116,VLOOKUP(A116,Level!$A$4:$M$203,13))*MIN(4,ROUNDUP(VLOOKUP(A116,Background!$C$3:$D$52,2)/5,0)))*VLOOKUP(A116,Plants!$C$4:$AJ$53,30)*0.025,0)</f>
        <v>147</v>
      </c>
      <c r="Q116">
        <f t="shared" si="23"/>
        <v>74.5</v>
      </c>
      <c r="R116">
        <f>ROUND(MIN(50,ROUNDUP(A116/3,0),Level!M116)*Plants!R$4,0)</f>
        <v>190</v>
      </c>
      <c r="S116" s="153">
        <f>ROUNDUP(MAX(4,MIN(A116,VLOOKUP(A116,Level!$A$4:$M$203,13))*MIN(4,ROUNDUP(VLOOKUP(A116,Background!$C$3:$D$52,2)/5,0)))*VLOOKUP(A116,Plants!$C$4:$AJ$53,31)*1.25,0)</f>
        <v>166675</v>
      </c>
      <c r="T116" s="153">
        <f t="shared" si="24"/>
        <v>83432.5</v>
      </c>
      <c r="U116">
        <f>SUM($K$4:K116)</f>
        <v>58656220</v>
      </c>
      <c r="V116">
        <f>VLOOKUP(A116,Garden!$B$4:$P$19,15)</f>
        <v>15970400</v>
      </c>
      <c r="W116">
        <f>VLOOKUP(A116,Plots!$B$4:$U$39,20)</f>
        <v>22971200</v>
      </c>
      <c r="X116">
        <f>VLOOKUP(A116,'Decoration Background'!$A$2:$H$200,8)</f>
        <v>36090411</v>
      </c>
      <c r="Y116">
        <f t="shared" si="30"/>
        <v>-16375791</v>
      </c>
      <c r="Z116" s="158">
        <f t="shared" si="31"/>
        <v>1.2791825146591445</v>
      </c>
      <c r="AA116">
        <f t="shared" si="32"/>
        <v>-16375791</v>
      </c>
      <c r="AB116" s="170">
        <f>MAX(0,(-Y116)/VLOOKUP($A116,Payment!$A$39:$G$239,7)*100)</f>
        <v>1544.8859433962264</v>
      </c>
      <c r="AC116" s="138">
        <f t="shared" si="25"/>
        <v>1544.8859433962264</v>
      </c>
      <c r="AD116">
        <f t="shared" si="33"/>
        <v>19323</v>
      </c>
      <c r="AE116">
        <f t="shared" si="26"/>
        <v>116.8</v>
      </c>
      <c r="AF116" s="79">
        <f t="shared" si="27"/>
        <v>116.8</v>
      </c>
    </row>
    <row r="117" spans="1:32">
      <c r="A117" s="36">
        <v>114</v>
      </c>
      <c r="B117" s="69">
        <f>Level!B118-Level!B117</f>
        <v>46500</v>
      </c>
      <c r="C117" s="73">
        <f>Level!M117*VLOOKUP(A117,Plants!$C$4:$AH$47,32)*24+(27/Level!T117)</f>
        <v>5243.9879873551099</v>
      </c>
      <c r="D117" s="62">
        <f t="shared" si="28"/>
        <v>8.8672972005515653</v>
      </c>
      <c r="E117" s="65">
        <f>SUM(D$4:D116)</f>
        <v>669.90049692867444</v>
      </c>
      <c r="F117" s="205">
        <f>Level!M117*VLOOKUP(A117,Plants!$C$4:$AI$47,33)*24*1.15+IF(VLOOKUP(A117,Goals!$AO$4:$AO$120,1)=A117,VLOOKUP(A117,Goals!$AO$4:$AQ$120,3)/D117,0)+VLOOKUP(A117,Level!$A$4:$C$203,3)/D117</f>
        <v>140202.25605900949</v>
      </c>
      <c r="G117" s="71">
        <f>Level!M117*VLOOKUP(A117,Plants!$C$4:$X$47,21)*24</f>
        <v>68160</v>
      </c>
      <c r="H117" s="63">
        <f t="shared" si="29"/>
        <v>0.68221830985915488</v>
      </c>
      <c r="I117" s="64">
        <f>SUM(H$4:H116)</f>
        <v>47.510442046777783</v>
      </c>
      <c r="J117" s="35">
        <f>Level!M117*VLOOKUP(A117,Plants!$C$4:$X$47,22)*24</f>
        <v>613440</v>
      </c>
      <c r="K117" s="239">
        <f t="shared" si="21"/>
        <v>1243215</v>
      </c>
      <c r="L117" s="239">
        <f>SUM($K$4:K117)</f>
        <v>59899435</v>
      </c>
      <c r="M117" s="239">
        <f t="shared" si="22"/>
        <v>418500</v>
      </c>
      <c r="N117" s="239">
        <f>SUM($M$4:M117)</f>
        <v>19988928</v>
      </c>
      <c r="O117">
        <f>ROUNDUP(MIN(50,ROUNDUP(A117/3,0),Level!M117)*Plants!Q$4*0.005,0)</f>
        <v>1</v>
      </c>
      <c r="P117">
        <f>ROUNDUP(MAX(4,MIN(A117,VLOOKUP(A117,Level!$A$4:$M$203,13))*MIN(4,ROUNDUP(VLOOKUP(A117,Background!$C$3:$D$52,2)/5,0)))*VLOOKUP(A117,Plants!$C$4:$AJ$53,30)*0.025,0)</f>
        <v>149</v>
      </c>
      <c r="Q117">
        <f t="shared" si="23"/>
        <v>75.5</v>
      </c>
      <c r="R117">
        <f>ROUND(MIN(50,ROUNDUP(A117/3,0),Level!M117)*Plants!R$4,0)</f>
        <v>190</v>
      </c>
      <c r="S117" s="153">
        <f>ROUNDUP(MAX(4,MIN(A117,VLOOKUP(A117,Level!$A$4:$M$203,13))*MIN(4,ROUNDUP(VLOOKUP(A117,Background!$C$3:$D$52,2)/5,0)))*VLOOKUP(A117,Plants!$C$4:$AJ$53,31)*1.25,0)</f>
        <v>168150</v>
      </c>
      <c r="T117" s="153">
        <f t="shared" si="24"/>
        <v>84170</v>
      </c>
      <c r="U117">
        <f>SUM($K$4:K117)</f>
        <v>59899435</v>
      </c>
      <c r="V117">
        <f>VLOOKUP(A117,Garden!$B$4:$P$19,15)</f>
        <v>15970400</v>
      </c>
      <c r="W117">
        <f>VLOOKUP(A117,Plots!$B$4:$U$39,20)</f>
        <v>22971200</v>
      </c>
      <c r="X117">
        <f>VLOOKUP(A117,'Decoration Background'!$A$2:$H$200,8)</f>
        <v>36914880</v>
      </c>
      <c r="Y117">
        <f t="shared" si="30"/>
        <v>-15957045</v>
      </c>
      <c r="Z117" s="158">
        <f t="shared" si="31"/>
        <v>1.2663972539974708</v>
      </c>
      <c r="AA117">
        <f t="shared" si="32"/>
        <v>-16375791</v>
      </c>
      <c r="AB117" s="170">
        <f>MAX(0,(-Y117)/VLOOKUP($A117,Payment!$A$39:$G$239,7)*100)</f>
        <v>1505.3816037735849</v>
      </c>
      <c r="AC117" s="138">
        <f t="shared" si="25"/>
        <v>1544.8859433962264</v>
      </c>
      <c r="AD117">
        <f t="shared" si="33"/>
        <v>19665</v>
      </c>
      <c r="AE117">
        <f t="shared" si="26"/>
        <v>113.8</v>
      </c>
      <c r="AF117" s="79">
        <f t="shared" si="27"/>
        <v>116.8</v>
      </c>
    </row>
    <row r="118" spans="1:32">
      <c r="A118" s="36">
        <v>115</v>
      </c>
      <c r="B118" s="69">
        <f>Level!B119-Level!B118</f>
        <v>47000</v>
      </c>
      <c r="C118" s="73">
        <f>Level!M118*VLOOKUP(A118,Plants!$C$4:$AH$47,32)*24+(27/Level!T118)</f>
        <v>5243.9879873551099</v>
      </c>
      <c r="D118" s="62">
        <f t="shared" si="28"/>
        <v>8.9626444822779252</v>
      </c>
      <c r="E118" s="65">
        <f>SUM(D$4:D117)</f>
        <v>678.76779412922599</v>
      </c>
      <c r="F118" s="205">
        <f>Level!M118*VLOOKUP(A118,Plants!$C$4:$AI$47,33)*24*1.15+IF(VLOOKUP(A118,Goals!$AO$4:$AO$120,1)=A118,VLOOKUP(A118,Goals!$AO$4:$AQ$120,3)/D118,0)+VLOOKUP(A118,Level!$A$4:$C$203,3)/D118</f>
        <v>140202.25605900949</v>
      </c>
      <c r="G118" s="71">
        <f>Level!M118*VLOOKUP(A118,Plants!$C$4:$X$47,21)*24</f>
        <v>68160</v>
      </c>
      <c r="H118" s="63">
        <f t="shared" si="29"/>
        <v>0.68955399061032863</v>
      </c>
      <c r="I118" s="64">
        <f>SUM(H$4:H117)</f>
        <v>48.192660356636935</v>
      </c>
      <c r="J118" s="35">
        <f>Level!M118*VLOOKUP(A118,Plants!$C$4:$X$47,22)*24</f>
        <v>613440</v>
      </c>
      <c r="K118" s="239">
        <f t="shared" si="21"/>
        <v>1256583</v>
      </c>
      <c r="L118" s="239">
        <f>SUM($K$4:K118)</f>
        <v>61156018</v>
      </c>
      <c r="M118" s="239">
        <f t="shared" si="22"/>
        <v>423000</v>
      </c>
      <c r="N118" s="239">
        <f>SUM($M$4:M118)</f>
        <v>20411928</v>
      </c>
      <c r="O118">
        <f>ROUNDUP(MIN(50,ROUNDUP(A118/3,0),Level!M118)*Plants!Q$4*0.005,0)</f>
        <v>1</v>
      </c>
      <c r="P118">
        <f>ROUNDUP(MAX(4,MIN(A118,VLOOKUP(A118,Level!$A$4:$M$203,13))*MIN(4,ROUNDUP(VLOOKUP(A118,Background!$C$3:$D$52,2)/5,0)))*VLOOKUP(A118,Plants!$C$4:$AJ$53,30)*0.025,0)</f>
        <v>150</v>
      </c>
      <c r="Q118">
        <f t="shared" si="23"/>
        <v>76</v>
      </c>
      <c r="R118">
        <f>ROUND(MIN(50,ROUNDUP(A118/3,0),Level!M118)*Plants!R$4,0)</f>
        <v>195</v>
      </c>
      <c r="S118" s="153">
        <f>ROUNDUP(MAX(4,MIN(A118,VLOOKUP(A118,Level!$A$4:$M$203,13))*MIN(4,ROUNDUP(VLOOKUP(A118,Background!$C$3:$D$52,2)/5,0)))*VLOOKUP(A118,Plants!$C$4:$AJ$53,31)*1.25,0)</f>
        <v>169625</v>
      </c>
      <c r="T118" s="153">
        <f t="shared" si="24"/>
        <v>84910</v>
      </c>
      <c r="U118">
        <f>SUM($K$4:K118)</f>
        <v>61156018</v>
      </c>
      <c r="V118">
        <f>VLOOKUP(A118,Garden!$B$4:$P$19,15)</f>
        <v>15970400</v>
      </c>
      <c r="W118">
        <f>VLOOKUP(A118,Plots!$B$4:$U$39,20)</f>
        <v>22971200</v>
      </c>
      <c r="X118">
        <f>VLOOKUP(A118,'Decoration Background'!$A$2:$H$200,8)</f>
        <v>37746699</v>
      </c>
      <c r="Y118">
        <f t="shared" si="30"/>
        <v>-15532281</v>
      </c>
      <c r="Z118" s="158">
        <f t="shared" si="31"/>
        <v>1.2539779650140073</v>
      </c>
      <c r="AA118">
        <f t="shared" si="32"/>
        <v>-16375791</v>
      </c>
      <c r="AB118" s="170">
        <f>MAX(0,(-Y118)/VLOOKUP($A118,Payment!$A$39:$G$239,7)*100)</f>
        <v>1465.3095283018868</v>
      </c>
      <c r="AC118" s="138">
        <f t="shared" si="25"/>
        <v>1544.8859433962264</v>
      </c>
      <c r="AD118">
        <f t="shared" si="33"/>
        <v>20010</v>
      </c>
      <c r="AE118">
        <f t="shared" si="26"/>
        <v>110.8</v>
      </c>
      <c r="AF118" s="79">
        <f t="shared" si="27"/>
        <v>116.8</v>
      </c>
    </row>
    <row r="119" spans="1:32">
      <c r="A119" s="36">
        <v>116</v>
      </c>
      <c r="B119" s="69">
        <f>Level!B120-Level!B119</f>
        <v>47500</v>
      </c>
      <c r="C119" s="73">
        <f>Level!M119*VLOOKUP(A119,Plants!$C$4:$AH$47,32)*24+(27/Level!T119)</f>
        <v>5243.9879873551099</v>
      </c>
      <c r="D119" s="62">
        <f t="shared" si="28"/>
        <v>9.0579917640042868</v>
      </c>
      <c r="E119" s="65">
        <f>SUM(D$4:D118)</f>
        <v>687.73043861150393</v>
      </c>
      <c r="F119" s="205">
        <f>Level!M119*VLOOKUP(A119,Plants!$C$4:$AI$47,33)*24*1.15+IF(VLOOKUP(A119,Goals!$AO$4:$AO$120,1)=A119,VLOOKUP(A119,Goals!$AO$4:$AQ$120,3)/D119,0)+VLOOKUP(A119,Level!$A$4:$C$203,3)/D119</f>
        <v>140202.25605900949</v>
      </c>
      <c r="G119" s="71">
        <f>Level!M119*VLOOKUP(A119,Plants!$C$4:$X$47,21)*24</f>
        <v>68160</v>
      </c>
      <c r="H119" s="63">
        <f t="shared" si="29"/>
        <v>0.69688967136150237</v>
      </c>
      <c r="I119" s="64">
        <f>SUM(H$4:H118)</f>
        <v>48.882214347247263</v>
      </c>
      <c r="J119" s="35">
        <f>Level!M119*VLOOKUP(A119,Plants!$C$4:$X$47,22)*24</f>
        <v>613440</v>
      </c>
      <c r="K119" s="239">
        <f t="shared" si="21"/>
        <v>1269951</v>
      </c>
      <c r="L119" s="239">
        <f>SUM($K$4:K119)</f>
        <v>62425969</v>
      </c>
      <c r="M119" s="239">
        <f t="shared" si="22"/>
        <v>427500</v>
      </c>
      <c r="N119" s="239">
        <f>SUM($M$4:M119)</f>
        <v>20839428</v>
      </c>
      <c r="O119">
        <f>ROUNDUP(MIN(50,ROUNDUP(A119/3,0),Level!M119)*Plants!Q$4*0.005,0)</f>
        <v>1</v>
      </c>
      <c r="P119">
        <f>ROUNDUP(MAX(4,MIN(A119,VLOOKUP(A119,Level!$A$4:$M$203,13))*MIN(4,ROUNDUP(VLOOKUP(A119,Background!$C$3:$D$52,2)/5,0)))*VLOOKUP(A119,Plants!$C$4:$AJ$53,30)*0.025,0)</f>
        <v>151</v>
      </c>
      <c r="Q119">
        <f t="shared" si="23"/>
        <v>76.5</v>
      </c>
      <c r="R119">
        <f>ROUND(MIN(50,ROUNDUP(A119/3,0),Level!M119)*Plants!R$4,0)</f>
        <v>195</v>
      </c>
      <c r="S119" s="153">
        <f>ROUNDUP(MAX(4,MIN(A119,VLOOKUP(A119,Level!$A$4:$M$203,13))*MIN(4,ROUNDUP(VLOOKUP(A119,Background!$C$3:$D$52,2)/5,0)))*VLOOKUP(A119,Plants!$C$4:$AJ$53,31)*1.25,0)</f>
        <v>171100</v>
      </c>
      <c r="T119" s="153">
        <f t="shared" si="24"/>
        <v>85647.5</v>
      </c>
      <c r="U119">
        <f>SUM($K$4:K119)</f>
        <v>62425969</v>
      </c>
      <c r="V119">
        <f>VLOOKUP(A119,Garden!$B$4:$P$19,15)</f>
        <v>15970400</v>
      </c>
      <c r="W119">
        <f>VLOOKUP(A119,Plots!$B$4:$U$39,20)</f>
        <v>22971200</v>
      </c>
      <c r="X119">
        <f>VLOOKUP(A119,'Decoration Background'!$A$2:$H$200,8)</f>
        <v>38585868</v>
      </c>
      <c r="Y119">
        <f t="shared" si="30"/>
        <v>-15101499</v>
      </c>
      <c r="Z119" s="158">
        <f t="shared" si="31"/>
        <v>1.2419105260504646</v>
      </c>
      <c r="AA119">
        <f t="shared" si="32"/>
        <v>-16375791</v>
      </c>
      <c r="AB119" s="170">
        <f>MAX(0,(-Y119)/VLOOKUP($A119,Payment!$A$39:$G$239,7)*100)</f>
        <v>1398.2869444444445</v>
      </c>
      <c r="AC119" s="138">
        <f t="shared" si="25"/>
        <v>1544.8859433962264</v>
      </c>
      <c r="AD119">
        <f t="shared" si="33"/>
        <v>20358</v>
      </c>
      <c r="AE119">
        <f t="shared" si="26"/>
        <v>107.7</v>
      </c>
      <c r="AF119" s="79">
        <f t="shared" si="27"/>
        <v>116.8</v>
      </c>
    </row>
    <row r="120" spans="1:32">
      <c r="A120" s="36">
        <v>117</v>
      </c>
      <c r="B120" s="69">
        <f>Level!B121-Level!B120</f>
        <v>48000</v>
      </c>
      <c r="C120" s="73">
        <f>Level!M120*VLOOKUP(A120,Plants!$C$4:$AH$47,32)*24+(27/Level!T120)</f>
        <v>5391.5538461538454</v>
      </c>
      <c r="D120" s="62">
        <f t="shared" si="28"/>
        <v>8.9028138027855555</v>
      </c>
      <c r="E120" s="65">
        <f>SUM(D$4:D119)</f>
        <v>696.78843037550826</v>
      </c>
      <c r="F120" s="205">
        <f>Level!M120*VLOOKUP(A120,Plants!$C$4:$AI$47,33)*24*1.15+IF(VLOOKUP(A120,Goals!$AO$4:$AO$120,1)=A120,VLOOKUP(A120,Goals!$AO$4:$AQ$120,3)/D120,0)+VLOOKUP(A120,Level!$A$4:$C$203,3)/D120</f>
        <v>144151.61538461538</v>
      </c>
      <c r="G120" s="71">
        <f>Level!M120*VLOOKUP(A120,Plants!$C$4:$X$47,21)*24</f>
        <v>70080</v>
      </c>
      <c r="H120" s="63">
        <f t="shared" si="29"/>
        <v>0.68493150684931503</v>
      </c>
      <c r="I120" s="64">
        <f>SUM(H$4:H119)</f>
        <v>49.579104018608767</v>
      </c>
      <c r="J120" s="35">
        <f>Level!M120*VLOOKUP(A120,Plants!$C$4:$X$47,22)*24</f>
        <v>630720</v>
      </c>
      <c r="K120" s="239">
        <f t="shared" si="21"/>
        <v>1283355</v>
      </c>
      <c r="L120" s="239">
        <f>SUM($K$4:K120)</f>
        <v>63709324</v>
      </c>
      <c r="M120" s="239">
        <f t="shared" si="22"/>
        <v>432000</v>
      </c>
      <c r="N120" s="239">
        <f>SUM($M$4:M120)</f>
        <v>21271428</v>
      </c>
      <c r="O120">
        <f>ROUNDUP(MIN(50,ROUNDUP(A120/3,0),Level!M120)*Plants!Q$4*0.005,0)</f>
        <v>1</v>
      </c>
      <c r="P120">
        <f>ROUNDUP(MAX(4,MIN(A120,VLOOKUP(A120,Level!$A$4:$M$203,13))*MIN(4,ROUNDUP(VLOOKUP(A120,Background!$C$3:$D$52,2)/5,0)))*VLOOKUP(A120,Plants!$C$4:$AJ$53,30)*0.025,0)</f>
        <v>153</v>
      </c>
      <c r="Q120">
        <f t="shared" si="23"/>
        <v>77.5</v>
      </c>
      <c r="R120">
        <f>ROUND(MIN(50,ROUNDUP(A120/3,0),Level!M120)*Plants!R$4,0)</f>
        <v>195</v>
      </c>
      <c r="S120" s="153">
        <f>ROUNDUP(MAX(4,MIN(A120,VLOOKUP(A120,Level!$A$4:$M$203,13))*MIN(4,ROUNDUP(VLOOKUP(A120,Background!$C$3:$D$52,2)/5,0)))*VLOOKUP(A120,Plants!$C$4:$AJ$53,31)*1.25,0)</f>
        <v>172575</v>
      </c>
      <c r="T120" s="153">
        <f t="shared" si="24"/>
        <v>86385</v>
      </c>
      <c r="U120">
        <f>SUM($K$4:K120)</f>
        <v>63709324</v>
      </c>
      <c r="V120">
        <f>VLOOKUP(A120,Garden!$B$4:$P$19,15)</f>
        <v>15970400</v>
      </c>
      <c r="W120">
        <f>VLOOKUP(A120,Plots!$B$4:$U$39,20)</f>
        <v>24971200</v>
      </c>
      <c r="X120">
        <f>VLOOKUP(A120,'Decoration Background'!$A$2:$H$200,8)</f>
        <v>39432387</v>
      </c>
      <c r="Y120">
        <f t="shared" si="30"/>
        <v>-16664663</v>
      </c>
      <c r="Z120" s="158">
        <f t="shared" si="31"/>
        <v>1.2615733766065387</v>
      </c>
      <c r="AA120">
        <f t="shared" si="32"/>
        <v>-16664663</v>
      </c>
      <c r="AB120" s="170">
        <f>MAX(0,(-Y120)/VLOOKUP($A120,Payment!$A$39:$G$239,7)*100)</f>
        <v>1543.0243518518519</v>
      </c>
      <c r="AC120" s="138">
        <f t="shared" si="25"/>
        <v>1544.8859433962264</v>
      </c>
      <c r="AD120">
        <f t="shared" si="33"/>
        <v>20709</v>
      </c>
      <c r="AE120">
        <f t="shared" si="26"/>
        <v>115.6</v>
      </c>
      <c r="AF120" s="79">
        <f t="shared" si="27"/>
        <v>116.8</v>
      </c>
    </row>
    <row r="121" spans="1:32">
      <c r="A121" s="36">
        <v>118</v>
      </c>
      <c r="B121" s="69">
        <f>Level!B122-Level!B121</f>
        <v>48500</v>
      </c>
      <c r="C121" s="73">
        <f>Level!M121*VLOOKUP(A121,Plants!$C$4:$AH$47,32)*24+(27/Level!T121)</f>
        <v>5391.5538461538454</v>
      </c>
      <c r="D121" s="62">
        <f t="shared" si="28"/>
        <v>8.995551446564571</v>
      </c>
      <c r="E121" s="65">
        <f>SUM(D$4:D120)</f>
        <v>705.6912441782938</v>
      </c>
      <c r="F121" s="205">
        <f>Level!M121*VLOOKUP(A121,Plants!$C$4:$AI$47,33)*24*1.15+IF(VLOOKUP(A121,Goals!$AO$4:$AO$120,1)=A121,VLOOKUP(A121,Goals!$AO$4:$AQ$120,3)/D121,0)+VLOOKUP(A121,Level!$A$4:$C$203,3)/D121</f>
        <v>144151.61538461538</v>
      </c>
      <c r="G121" s="71">
        <f>Level!M121*VLOOKUP(A121,Plants!$C$4:$X$47,21)*24</f>
        <v>70080</v>
      </c>
      <c r="H121" s="63">
        <f t="shared" si="29"/>
        <v>0.69206621004566216</v>
      </c>
      <c r="I121" s="64">
        <f>SUM(H$4:H120)</f>
        <v>50.264035525458084</v>
      </c>
      <c r="J121" s="35">
        <f>Level!M121*VLOOKUP(A121,Plants!$C$4:$X$47,22)*24</f>
        <v>630720</v>
      </c>
      <c r="K121" s="239">
        <f t="shared" si="21"/>
        <v>1296723</v>
      </c>
      <c r="L121" s="239">
        <f>SUM($K$4:K121)</f>
        <v>65006047</v>
      </c>
      <c r="M121" s="239">
        <f t="shared" si="22"/>
        <v>436500</v>
      </c>
      <c r="N121" s="239">
        <f>SUM($M$4:M121)</f>
        <v>21707928</v>
      </c>
      <c r="O121">
        <f>ROUNDUP(MIN(50,ROUNDUP(A121/3,0),Level!M121)*Plants!Q$4*0.005,0)</f>
        <v>1</v>
      </c>
      <c r="P121">
        <f>ROUNDUP(MAX(4,MIN(A121,VLOOKUP(A121,Level!$A$4:$M$203,13))*MIN(4,ROUNDUP(VLOOKUP(A121,Background!$C$3:$D$52,2)/5,0)))*VLOOKUP(A121,Plants!$C$4:$AJ$53,30)*0.025,0)</f>
        <v>154</v>
      </c>
      <c r="Q121">
        <f t="shared" si="23"/>
        <v>78</v>
      </c>
      <c r="R121">
        <f>ROUND(MIN(50,ROUNDUP(A121/3,0),Level!M121)*Plants!R$4,0)</f>
        <v>200</v>
      </c>
      <c r="S121" s="153">
        <f>ROUNDUP(MAX(4,MIN(A121,VLOOKUP(A121,Level!$A$4:$M$203,13))*MIN(4,ROUNDUP(VLOOKUP(A121,Background!$C$3:$D$52,2)/5,0)))*VLOOKUP(A121,Plants!$C$4:$AJ$53,31)*1.25,0)</f>
        <v>174050</v>
      </c>
      <c r="T121" s="153">
        <f t="shared" si="24"/>
        <v>87125</v>
      </c>
      <c r="U121">
        <f>SUM($K$4:K121)</f>
        <v>65006047</v>
      </c>
      <c r="V121">
        <f>VLOOKUP(A121,Garden!$B$4:$P$19,15)</f>
        <v>15970400</v>
      </c>
      <c r="W121">
        <f>VLOOKUP(A121,Plots!$B$4:$U$39,20)</f>
        <v>24971200</v>
      </c>
      <c r="X121">
        <f>VLOOKUP(A121,'Decoration Background'!$A$2:$H$200,8)</f>
        <v>40286256</v>
      </c>
      <c r="Y121">
        <f t="shared" si="30"/>
        <v>-16221809</v>
      </c>
      <c r="Z121" s="158">
        <f t="shared" si="31"/>
        <v>1.2495430771232714</v>
      </c>
      <c r="AA121">
        <f t="shared" si="32"/>
        <v>-16664663</v>
      </c>
      <c r="AB121" s="170">
        <f>MAX(0,(-Y121)/VLOOKUP($A121,Payment!$A$39:$G$239,7)*100)</f>
        <v>1502.0193518518518</v>
      </c>
      <c r="AC121" s="138">
        <f t="shared" si="25"/>
        <v>1544.8859433962264</v>
      </c>
      <c r="AD121">
        <f t="shared" si="33"/>
        <v>21063</v>
      </c>
      <c r="AE121">
        <f t="shared" si="26"/>
        <v>112.5</v>
      </c>
      <c r="AF121" s="79">
        <f t="shared" si="27"/>
        <v>116.8</v>
      </c>
    </row>
    <row r="122" spans="1:32">
      <c r="A122" s="36">
        <v>119</v>
      </c>
      <c r="B122" s="69">
        <f>Level!B123-Level!B122</f>
        <v>49000</v>
      </c>
      <c r="C122" s="73">
        <f>Level!M122*VLOOKUP(A122,Plants!$C$4:$AH$47,32)*24+(27/Level!T122)</f>
        <v>5391.5538461538454</v>
      </c>
      <c r="D122" s="62">
        <f t="shared" si="28"/>
        <v>9.0882890903435865</v>
      </c>
      <c r="E122" s="65">
        <f>SUM(D$4:D121)</f>
        <v>714.68679562485841</v>
      </c>
      <c r="F122" s="205">
        <f>Level!M122*VLOOKUP(A122,Plants!$C$4:$AI$47,33)*24*1.15+IF(VLOOKUP(A122,Goals!$AO$4:$AO$120,1)=A122,VLOOKUP(A122,Goals!$AO$4:$AQ$120,3)/D122,0)+VLOOKUP(A122,Level!$A$4:$C$203,3)/D122</f>
        <v>144151.61538461538</v>
      </c>
      <c r="G122" s="71">
        <f>Level!M122*VLOOKUP(A122,Plants!$C$4:$X$47,21)*24</f>
        <v>70080</v>
      </c>
      <c r="H122" s="63">
        <f t="shared" si="29"/>
        <v>0.69920091324200917</v>
      </c>
      <c r="I122" s="64">
        <f>SUM(H$4:H121)</f>
        <v>50.956101735503744</v>
      </c>
      <c r="J122" s="35">
        <f>Level!M122*VLOOKUP(A122,Plants!$C$4:$X$47,22)*24</f>
        <v>630720</v>
      </c>
      <c r="K122" s="239">
        <f t="shared" si="21"/>
        <v>1310092</v>
      </c>
      <c r="L122" s="239">
        <f>SUM($K$4:K122)</f>
        <v>66316139</v>
      </c>
      <c r="M122" s="239">
        <f t="shared" si="22"/>
        <v>441000</v>
      </c>
      <c r="N122" s="239">
        <f>SUM($M$4:M122)</f>
        <v>22148928</v>
      </c>
      <c r="O122">
        <f>ROUNDUP(MIN(50,ROUNDUP(A122/3,0),Level!M122)*Plants!Q$4*0.005,0)</f>
        <v>1</v>
      </c>
      <c r="P122">
        <f>ROUNDUP(MAX(4,MIN(A122,VLOOKUP(A122,Level!$A$4:$M$203,13))*MIN(4,ROUNDUP(VLOOKUP(A122,Background!$C$3:$D$52,2)/5,0)))*VLOOKUP(A122,Plants!$C$4:$AJ$53,30)*0.025,0)</f>
        <v>155</v>
      </c>
      <c r="Q122">
        <f t="shared" si="23"/>
        <v>78.5</v>
      </c>
      <c r="R122">
        <f>ROUND(MIN(50,ROUNDUP(A122/3,0),Level!M122)*Plants!R$4,0)</f>
        <v>200</v>
      </c>
      <c r="S122" s="153">
        <f>ROUNDUP(MAX(4,MIN(A122,VLOOKUP(A122,Level!$A$4:$M$203,13))*MIN(4,ROUNDUP(VLOOKUP(A122,Background!$C$3:$D$52,2)/5,0)))*VLOOKUP(A122,Plants!$C$4:$AJ$53,31)*1.25,0)</f>
        <v>175525</v>
      </c>
      <c r="T122" s="153">
        <f t="shared" si="24"/>
        <v>87862.5</v>
      </c>
      <c r="U122">
        <f>SUM($K$4:K122)</f>
        <v>66316139</v>
      </c>
      <c r="V122">
        <f>VLOOKUP(A122,Garden!$B$4:$P$19,15)</f>
        <v>15970400</v>
      </c>
      <c r="W122">
        <f>VLOOKUP(A122,Plots!$B$4:$U$39,20)</f>
        <v>24971200</v>
      </c>
      <c r="X122">
        <f>VLOOKUP(A122,'Decoration Background'!$A$2:$H$200,8)</f>
        <v>41147475</v>
      </c>
      <c r="Y122">
        <f t="shared" si="30"/>
        <v>-15772936</v>
      </c>
      <c r="Z122" s="158">
        <f t="shared" si="31"/>
        <v>1.2378446067253703</v>
      </c>
      <c r="AA122">
        <f t="shared" si="32"/>
        <v>-16664663</v>
      </c>
      <c r="AB122" s="170">
        <f>MAX(0,(-Y122)/VLOOKUP($A122,Payment!$A$39:$G$239,7)*100)</f>
        <v>1460.457037037037</v>
      </c>
      <c r="AC122" s="138">
        <f t="shared" si="25"/>
        <v>1544.8859433962264</v>
      </c>
      <c r="AD122">
        <f t="shared" si="33"/>
        <v>21420</v>
      </c>
      <c r="AE122">
        <f t="shared" si="26"/>
        <v>109.4</v>
      </c>
      <c r="AF122" s="79">
        <f t="shared" si="27"/>
        <v>116.8</v>
      </c>
    </row>
    <row r="123" spans="1:32">
      <c r="A123" s="36">
        <v>120</v>
      </c>
      <c r="B123" s="69">
        <f>Level!B124-Level!B123</f>
        <v>49500</v>
      </c>
      <c r="C123" s="73">
        <f>Level!M123*VLOOKUP(A123,Plants!$C$4:$AH$47,32)*24+(27/Level!T123)</f>
        <v>5539.1197049525808</v>
      </c>
      <c r="D123" s="62">
        <f t="shared" si="28"/>
        <v>8.9364380328776019</v>
      </c>
      <c r="E123" s="65">
        <f>SUM(D$4:D122)</f>
        <v>723.77508471520196</v>
      </c>
      <c r="F123" s="205">
        <f>Level!M123*VLOOKUP(A123,Plants!$C$4:$AI$47,33)*24*1.15+IF(VLOOKUP(A123,Goals!$AO$4:$AO$120,1)=A123,VLOOKUP(A123,Goals!$AO$4:$AQ$120,3)/D123,0)+VLOOKUP(A123,Level!$A$4:$C$203,3)/D123</f>
        <v>148100.97471022129</v>
      </c>
      <c r="G123" s="71">
        <f>Level!M123*VLOOKUP(A123,Plants!$C$4:$X$47,21)*24</f>
        <v>72000</v>
      </c>
      <c r="H123" s="63">
        <f t="shared" si="29"/>
        <v>0.6875</v>
      </c>
      <c r="I123" s="64">
        <f>SUM(H$4:H122)</f>
        <v>51.655302648745753</v>
      </c>
      <c r="J123" s="35">
        <f>Level!M123*VLOOKUP(A123,Plants!$C$4:$X$47,22)*24</f>
        <v>648000</v>
      </c>
      <c r="K123" s="239">
        <f t="shared" si="21"/>
        <v>1323495</v>
      </c>
      <c r="L123" s="239">
        <f>SUM($K$4:K123)</f>
        <v>67639634</v>
      </c>
      <c r="M123" s="239">
        <f t="shared" si="22"/>
        <v>445500</v>
      </c>
      <c r="N123" s="239">
        <f>SUM($M$4:M123)</f>
        <v>22594428</v>
      </c>
      <c r="O123">
        <f>ROUNDUP(MIN(50,ROUNDUP(A123/3,0),Level!M123)*Plants!Q$4*0.005,0)</f>
        <v>1</v>
      </c>
      <c r="P123">
        <f>ROUNDUP(MAX(4,MIN(A123,VLOOKUP(A123,Level!$A$4:$M$203,13))*MIN(4,ROUNDUP(VLOOKUP(A123,Background!$C$3:$D$52,2)/5,0)))*VLOOKUP(A123,Plants!$C$4:$AJ$53,30)*0.025,0)</f>
        <v>156</v>
      </c>
      <c r="Q123">
        <f t="shared" si="23"/>
        <v>79</v>
      </c>
      <c r="R123">
        <f>ROUND(MIN(50,ROUNDUP(A123/3,0),Level!M123)*Plants!R$4,0)</f>
        <v>200</v>
      </c>
      <c r="S123" s="153">
        <f>ROUNDUP(MAX(4,MIN(A123,VLOOKUP(A123,Level!$A$4:$M$203,13))*MIN(4,ROUNDUP(VLOOKUP(A123,Background!$C$3:$D$52,2)/5,0)))*VLOOKUP(A123,Plants!$C$4:$AJ$53,31)*1.25,0)</f>
        <v>177000</v>
      </c>
      <c r="T123" s="153">
        <f t="shared" si="24"/>
        <v>88600</v>
      </c>
      <c r="U123">
        <f>SUM($K$4:K123)</f>
        <v>67639634</v>
      </c>
      <c r="V123">
        <f>VLOOKUP(A123,Garden!$B$4:$P$19,15)</f>
        <v>15970400</v>
      </c>
      <c r="W123">
        <f>VLOOKUP(A123,Plots!$B$4:$U$39,20)</f>
        <v>27071200</v>
      </c>
      <c r="X123">
        <f>VLOOKUP(A123,'Decoration Background'!$A$2:$H$200,8)</f>
        <v>42016044</v>
      </c>
      <c r="Y123">
        <f t="shared" si="30"/>
        <v>-17418010</v>
      </c>
      <c r="Z123" s="158">
        <f t="shared" si="31"/>
        <v>1.257511890144172</v>
      </c>
      <c r="AA123">
        <f t="shared" si="32"/>
        <v>-17418010</v>
      </c>
      <c r="AB123" s="170">
        <f>MAX(0,(-Y123)/VLOOKUP($A123,Payment!$A$39:$G$239,7)*100)</f>
        <v>1583.4554545454546</v>
      </c>
      <c r="AC123" s="138">
        <f t="shared" si="25"/>
        <v>1583.4554545454546</v>
      </c>
      <c r="AD123">
        <f t="shared" si="33"/>
        <v>21780</v>
      </c>
      <c r="AE123">
        <f t="shared" si="26"/>
        <v>117.6</v>
      </c>
      <c r="AF123" s="79">
        <f t="shared" si="27"/>
        <v>117.6</v>
      </c>
    </row>
    <row r="124" spans="1:32">
      <c r="A124" s="36">
        <v>121</v>
      </c>
      <c r="B124" s="69">
        <f>Level!B125-Level!B124</f>
        <v>50000</v>
      </c>
      <c r="C124" s="73">
        <f>Level!M124*VLOOKUP(A124,Plants!$C$4:$AH$47,32)*24+(27/Level!T124)</f>
        <v>5539.1197049525808</v>
      </c>
      <c r="D124" s="62">
        <f t="shared" si="28"/>
        <v>9.0267050837147487</v>
      </c>
      <c r="E124" s="65">
        <f>SUM(D$4:D123)</f>
        <v>732.71152274807957</v>
      </c>
      <c r="F124" s="205">
        <f>Level!M124*VLOOKUP(A124,Plants!$C$4:$AI$47,33)*24*1.15+IF(VLOOKUP(A124,Goals!$AO$4:$AO$120,1)=A124,VLOOKUP(A124,Goals!$AO$4:$AQ$120,3)/D124,0)+VLOOKUP(A124,Level!$A$4:$C$203,3)/D124</f>
        <v>148100.97471022129</v>
      </c>
      <c r="G124" s="71">
        <f>Level!M124*VLOOKUP(A124,Plants!$C$4:$X$47,21)*24</f>
        <v>72000</v>
      </c>
      <c r="H124" s="63">
        <f t="shared" si="29"/>
        <v>0.69444444444444442</v>
      </c>
      <c r="I124" s="64">
        <f>SUM(H$4:H123)</f>
        <v>52.342802648745753</v>
      </c>
      <c r="J124" s="35">
        <f>Level!M124*VLOOKUP(A124,Plants!$C$4:$X$47,22)*24</f>
        <v>648000</v>
      </c>
      <c r="K124" s="239">
        <f t="shared" si="21"/>
        <v>1336864</v>
      </c>
      <c r="L124" s="239">
        <f>SUM($K$4:K124)</f>
        <v>68976498</v>
      </c>
      <c r="M124" s="239">
        <f t="shared" si="22"/>
        <v>450000</v>
      </c>
      <c r="N124" s="239">
        <f>SUM($M$4:M124)</f>
        <v>23044428</v>
      </c>
      <c r="O124">
        <f>ROUNDUP(MIN(50,ROUNDUP(A124/3,0),Level!M124)*Plants!Q$4*0.005,0)</f>
        <v>1</v>
      </c>
      <c r="P124">
        <f>ROUNDUP(MAX(4,MIN(A124,VLOOKUP(A124,Level!$A$4:$M$203,13))*MIN(4,ROUNDUP(VLOOKUP(A124,Background!$C$3:$D$52,2)/5,0)))*VLOOKUP(A124,Plants!$C$4:$AJ$53,30)*0.025,0)</f>
        <v>158</v>
      </c>
      <c r="Q124">
        <f t="shared" si="23"/>
        <v>80</v>
      </c>
      <c r="R124">
        <f>ROUND(MIN(50,ROUNDUP(A124/3,0),Level!M124)*Plants!R$4,0)</f>
        <v>205</v>
      </c>
      <c r="S124" s="153">
        <f>ROUNDUP(MAX(4,MIN(A124,VLOOKUP(A124,Level!$A$4:$M$203,13))*MIN(4,ROUNDUP(VLOOKUP(A124,Background!$C$3:$D$52,2)/5,0)))*VLOOKUP(A124,Plants!$C$4:$AJ$53,31)*1.25,0)</f>
        <v>178475</v>
      </c>
      <c r="T124" s="153">
        <f t="shared" si="24"/>
        <v>89340</v>
      </c>
      <c r="U124">
        <f>SUM($K$4:K124)</f>
        <v>68976498</v>
      </c>
      <c r="V124">
        <f>VLOOKUP(A124,Garden!$B$4:$P$19,15)</f>
        <v>15970400</v>
      </c>
      <c r="W124">
        <f>VLOOKUP(A124,Plots!$B$4:$U$39,20)</f>
        <v>27071200</v>
      </c>
      <c r="X124">
        <f>VLOOKUP(A124,'Decoration Background'!$A$2:$H$200,8)</f>
        <v>42891963</v>
      </c>
      <c r="Y124">
        <f t="shared" si="30"/>
        <v>-16957065</v>
      </c>
      <c r="Z124" s="158">
        <f t="shared" si="31"/>
        <v>1.2458382998800548</v>
      </c>
      <c r="AA124">
        <f t="shared" si="32"/>
        <v>-17418010</v>
      </c>
      <c r="AB124" s="170">
        <f>MAX(0,(-Y124)/VLOOKUP($A124,Payment!$A$39:$G$239,7)*100)</f>
        <v>1541.5513636363637</v>
      </c>
      <c r="AC124" s="138">
        <f t="shared" si="25"/>
        <v>1583.4554545454546</v>
      </c>
      <c r="AD124">
        <f t="shared" si="33"/>
        <v>22143</v>
      </c>
      <c r="AE124">
        <f t="shared" si="26"/>
        <v>114.5</v>
      </c>
      <c r="AF124" s="79">
        <f t="shared" si="27"/>
        <v>117.6</v>
      </c>
    </row>
    <row r="125" spans="1:32">
      <c r="A125" s="36">
        <v>122</v>
      </c>
      <c r="B125" s="69">
        <f>Level!B126-Level!B125</f>
        <v>50500</v>
      </c>
      <c r="C125" s="73">
        <f>Level!M125*VLOOKUP(A125,Plants!$C$4:$AH$47,32)*24+(27/Level!T125)</f>
        <v>5539.1197049525808</v>
      </c>
      <c r="D125" s="62">
        <f t="shared" si="28"/>
        <v>9.1169721345518955</v>
      </c>
      <c r="E125" s="65">
        <f>SUM(D$4:D124)</f>
        <v>741.73822783179435</v>
      </c>
      <c r="F125" s="205">
        <f>Level!M125*VLOOKUP(A125,Plants!$C$4:$AI$47,33)*24*1.15+IF(VLOOKUP(A125,Goals!$AO$4:$AO$120,1)=A125,VLOOKUP(A125,Goals!$AO$4:$AQ$120,3)/D125,0)+VLOOKUP(A125,Level!$A$4:$C$203,3)/D125</f>
        <v>148100.97471022129</v>
      </c>
      <c r="G125" s="71">
        <f>Level!M125*VLOOKUP(A125,Plants!$C$4:$X$47,21)*24</f>
        <v>72000</v>
      </c>
      <c r="H125" s="63">
        <f t="shared" si="29"/>
        <v>0.70138888888888884</v>
      </c>
      <c r="I125" s="64">
        <f>SUM(H$4:H124)</f>
        <v>53.037247093190196</v>
      </c>
      <c r="J125" s="35">
        <f>Level!M125*VLOOKUP(A125,Plants!$C$4:$X$47,22)*24</f>
        <v>648000</v>
      </c>
      <c r="K125" s="239">
        <f t="shared" si="21"/>
        <v>1350232</v>
      </c>
      <c r="L125" s="239">
        <f>SUM($K$4:K125)</f>
        <v>70326730</v>
      </c>
      <c r="M125" s="239">
        <f t="shared" si="22"/>
        <v>454500</v>
      </c>
      <c r="N125" s="239">
        <f>SUM($M$4:M125)</f>
        <v>23498928</v>
      </c>
      <c r="O125">
        <f>ROUNDUP(MIN(50,ROUNDUP(A125/3,0),Level!M125)*Plants!Q$4*0.005,0)</f>
        <v>1</v>
      </c>
      <c r="P125">
        <f>ROUNDUP(MAX(4,MIN(A125,VLOOKUP(A125,Level!$A$4:$M$203,13))*MIN(4,ROUNDUP(VLOOKUP(A125,Background!$C$3:$D$52,2)/5,0)))*VLOOKUP(A125,Plants!$C$4:$AJ$53,30)*0.025,0)</f>
        <v>159</v>
      </c>
      <c r="Q125">
        <f t="shared" si="23"/>
        <v>80.5</v>
      </c>
      <c r="R125">
        <f>ROUND(MIN(50,ROUNDUP(A125/3,0),Level!M125)*Plants!R$4,0)</f>
        <v>205</v>
      </c>
      <c r="S125" s="153">
        <f>ROUNDUP(MAX(4,MIN(A125,VLOOKUP(A125,Level!$A$4:$M$203,13))*MIN(4,ROUNDUP(VLOOKUP(A125,Background!$C$3:$D$52,2)/5,0)))*VLOOKUP(A125,Plants!$C$4:$AJ$53,31)*1.25,0)</f>
        <v>179950</v>
      </c>
      <c r="T125" s="153">
        <f t="shared" si="24"/>
        <v>90077.5</v>
      </c>
      <c r="U125">
        <f>SUM($K$4:K125)</f>
        <v>70326730</v>
      </c>
      <c r="V125">
        <f>VLOOKUP(A125,Garden!$B$4:$P$19,15)</f>
        <v>15970400</v>
      </c>
      <c r="W125">
        <f>VLOOKUP(A125,Plots!$B$4:$U$39,20)</f>
        <v>27071200</v>
      </c>
      <c r="X125">
        <f>VLOOKUP(A125,'Decoration Background'!$A$2:$H$200,8)</f>
        <v>43775232</v>
      </c>
      <c r="Y125">
        <f t="shared" si="30"/>
        <v>-16490102</v>
      </c>
      <c r="Z125" s="158">
        <f t="shared" si="31"/>
        <v>1.2344784408431901</v>
      </c>
      <c r="AA125">
        <f t="shared" si="32"/>
        <v>-17418010</v>
      </c>
      <c r="AB125" s="170">
        <f>MAX(0,(-Y125)/VLOOKUP($A125,Payment!$A$39:$G$239,7)*100)</f>
        <v>1499.1001818181819</v>
      </c>
      <c r="AC125" s="138">
        <f t="shared" si="25"/>
        <v>1583.4554545454546</v>
      </c>
      <c r="AD125">
        <f t="shared" si="33"/>
        <v>22509</v>
      </c>
      <c r="AE125">
        <f t="shared" si="26"/>
        <v>111.3</v>
      </c>
      <c r="AF125" s="79">
        <f t="shared" si="27"/>
        <v>117.6</v>
      </c>
    </row>
    <row r="126" spans="1:32">
      <c r="A126" s="36">
        <v>123</v>
      </c>
      <c r="B126" s="69">
        <f>Level!B127-Level!B126</f>
        <v>51500</v>
      </c>
      <c r="C126" s="73">
        <f>Level!M126*VLOOKUP(A126,Plants!$C$4:$AH$47,32)*24+(27/Level!T126)</f>
        <v>5539.1197049525808</v>
      </c>
      <c r="D126" s="62">
        <f t="shared" si="28"/>
        <v>9.2975062362261909</v>
      </c>
      <c r="E126" s="65">
        <f>SUM(D$4:D125)</f>
        <v>750.85519996634628</v>
      </c>
      <c r="F126" s="205">
        <f>Level!M126*VLOOKUP(A126,Plants!$C$4:$AI$47,33)*24*1.15+IF(VLOOKUP(A126,Goals!$AO$4:$AO$120,1)=A126,VLOOKUP(A126,Goals!$AO$4:$AQ$120,3)/D126,0)+VLOOKUP(A126,Level!$A$4:$C$203,3)/D126</f>
        <v>148100.97471022129</v>
      </c>
      <c r="G126" s="71">
        <f>Level!M126*VLOOKUP(A126,Plants!$C$4:$X$47,21)*24</f>
        <v>72000</v>
      </c>
      <c r="H126" s="63">
        <f t="shared" si="29"/>
        <v>0.71527777777777779</v>
      </c>
      <c r="I126" s="64">
        <f>SUM(H$4:H125)</f>
        <v>53.738635982079082</v>
      </c>
      <c r="J126" s="35">
        <f>Level!M126*VLOOKUP(A126,Plants!$C$4:$X$47,22)*24</f>
        <v>648000</v>
      </c>
      <c r="K126" s="239">
        <f t="shared" si="21"/>
        <v>1376970</v>
      </c>
      <c r="L126" s="239">
        <f>SUM($K$4:K126)</f>
        <v>71703700</v>
      </c>
      <c r="M126" s="239">
        <f t="shared" si="22"/>
        <v>463500</v>
      </c>
      <c r="N126" s="239">
        <f>SUM($M$4:M126)</f>
        <v>23962428</v>
      </c>
      <c r="O126">
        <f>ROUNDUP(MIN(50,ROUNDUP(A126/3,0),Level!M126)*Plants!Q$4*0.005,0)</f>
        <v>1</v>
      </c>
      <c r="P126">
        <f>ROUNDUP(MAX(4,MIN(A126,VLOOKUP(A126,Level!$A$4:$M$203,13))*MIN(4,ROUNDUP(VLOOKUP(A126,Background!$C$3:$D$52,2)/5,0)))*VLOOKUP(A126,Plants!$C$4:$AJ$53,30)*0.025,0)</f>
        <v>160</v>
      </c>
      <c r="Q126">
        <f t="shared" si="23"/>
        <v>81</v>
      </c>
      <c r="R126">
        <f>ROUND(MIN(50,ROUNDUP(A126/3,0),Level!M126)*Plants!R$4,0)</f>
        <v>205</v>
      </c>
      <c r="S126" s="153">
        <f>ROUNDUP(MAX(4,MIN(A126,VLOOKUP(A126,Level!$A$4:$M$203,13))*MIN(4,ROUNDUP(VLOOKUP(A126,Background!$C$3:$D$52,2)/5,0)))*VLOOKUP(A126,Plants!$C$4:$AJ$53,31)*1.25,0)</f>
        <v>181425</v>
      </c>
      <c r="T126" s="153">
        <f t="shared" si="24"/>
        <v>90815</v>
      </c>
      <c r="U126">
        <f>SUM($K$4:K126)</f>
        <v>71703700</v>
      </c>
      <c r="V126">
        <f>VLOOKUP(A126,Garden!$B$4:$P$19,15)</f>
        <v>15970400</v>
      </c>
      <c r="W126">
        <f>VLOOKUP(A126,Plots!$B$4:$U$39,20)</f>
        <v>27071200</v>
      </c>
      <c r="X126">
        <f>VLOOKUP(A126,'Decoration Background'!$A$2:$H$200,8)</f>
        <v>44665851</v>
      </c>
      <c r="Y126">
        <f t="shared" si="30"/>
        <v>-16003751</v>
      </c>
      <c r="Z126" s="158">
        <f t="shared" si="31"/>
        <v>1.2231928198963233</v>
      </c>
      <c r="AA126">
        <f t="shared" si="32"/>
        <v>-17418010</v>
      </c>
      <c r="AB126" s="170">
        <f>MAX(0,(-Y126)/VLOOKUP($A126,Payment!$A$39:$G$239,7)*100)</f>
        <v>1454.8864545454546</v>
      </c>
      <c r="AC126" s="138">
        <f t="shared" si="25"/>
        <v>1583.4554545454546</v>
      </c>
      <c r="AD126">
        <f t="shared" si="33"/>
        <v>22878</v>
      </c>
      <c r="AE126">
        <f t="shared" si="26"/>
        <v>108.1</v>
      </c>
      <c r="AF126" s="79">
        <f t="shared" si="27"/>
        <v>117.6</v>
      </c>
    </row>
    <row r="127" spans="1:32">
      <c r="A127" s="36">
        <v>124</v>
      </c>
      <c r="B127" s="69">
        <f>Level!B128-Level!B127</f>
        <v>52500</v>
      </c>
      <c r="C127" s="73">
        <f>Level!M127*VLOOKUP(A127,Plants!$C$4:$AH$47,32)*24+(27/Level!T127)</f>
        <v>5539.1197049525808</v>
      </c>
      <c r="D127" s="62">
        <f t="shared" si="28"/>
        <v>9.4780403379004863</v>
      </c>
      <c r="E127" s="65">
        <f>SUM(D$4:D126)</f>
        <v>760.15270620257252</v>
      </c>
      <c r="F127" s="205">
        <f>Level!M127*VLOOKUP(A127,Plants!$C$4:$AI$47,33)*24*1.15+IF(VLOOKUP(A127,Goals!$AO$4:$AO$120,1)=A127,VLOOKUP(A127,Goals!$AO$4:$AQ$120,3)/D127,0)+VLOOKUP(A127,Level!$A$4:$C$203,3)/D127</f>
        <v>148100.97471022129</v>
      </c>
      <c r="G127" s="71">
        <f>Level!M127*VLOOKUP(A127,Plants!$C$4:$X$47,21)*24</f>
        <v>72000</v>
      </c>
      <c r="H127" s="63">
        <f t="shared" si="29"/>
        <v>0.72916666666666663</v>
      </c>
      <c r="I127" s="64">
        <f>SUM(H$4:H126)</f>
        <v>54.45391375985686</v>
      </c>
      <c r="J127" s="35">
        <f>Level!M127*VLOOKUP(A127,Plants!$C$4:$X$47,22)*24</f>
        <v>648000</v>
      </c>
      <c r="K127" s="239">
        <f t="shared" si="21"/>
        <v>1403707</v>
      </c>
      <c r="L127" s="239">
        <f>SUM($K$4:K127)</f>
        <v>73107407</v>
      </c>
      <c r="M127" s="239">
        <f t="shared" si="22"/>
        <v>472500</v>
      </c>
      <c r="N127" s="239">
        <f>SUM($M$4:M127)</f>
        <v>24434928</v>
      </c>
      <c r="O127">
        <f>ROUNDUP(MIN(50,ROUNDUP(A127/3,0),Level!M127)*Plants!Q$4*0.005,0)</f>
        <v>1</v>
      </c>
      <c r="P127">
        <f>ROUNDUP(MAX(4,MIN(A127,VLOOKUP(A127,Level!$A$4:$M$203,13))*MIN(4,ROUNDUP(VLOOKUP(A127,Background!$C$3:$D$52,2)/5,0)))*VLOOKUP(A127,Plants!$C$4:$AJ$53,30)*0.025,0)</f>
        <v>162</v>
      </c>
      <c r="Q127">
        <f t="shared" si="23"/>
        <v>82</v>
      </c>
      <c r="R127">
        <f>ROUND(MIN(50,ROUNDUP(A127/3,0),Level!M127)*Plants!R$4,0)</f>
        <v>210</v>
      </c>
      <c r="S127" s="153">
        <f>ROUNDUP(MAX(4,MIN(A127,VLOOKUP(A127,Level!$A$4:$M$203,13))*MIN(4,ROUNDUP(VLOOKUP(A127,Background!$C$3:$D$52,2)/5,0)))*VLOOKUP(A127,Plants!$C$4:$AJ$53,31)*1.25,0)</f>
        <v>182900</v>
      </c>
      <c r="T127" s="153">
        <f t="shared" si="24"/>
        <v>91555</v>
      </c>
      <c r="U127">
        <f>SUM($K$4:K127)</f>
        <v>73107407</v>
      </c>
      <c r="V127">
        <f>VLOOKUP(A127,Garden!$B$4:$P$19,15)</f>
        <v>15970400</v>
      </c>
      <c r="W127">
        <f>VLOOKUP(A127,Plots!$B$4:$U$39,20)</f>
        <v>27071200</v>
      </c>
      <c r="X127">
        <f>VLOOKUP(A127,'Decoration Background'!$A$2:$H$200,8)</f>
        <v>45563820</v>
      </c>
      <c r="Y127">
        <f t="shared" si="30"/>
        <v>-15498013</v>
      </c>
      <c r="Z127" s="158">
        <f t="shared" si="31"/>
        <v>1.211989641487353</v>
      </c>
      <c r="AA127">
        <f t="shared" si="32"/>
        <v>-17418010</v>
      </c>
      <c r="AB127" s="170">
        <f>MAX(0,(-Y127)/VLOOKUP($A127,Payment!$A$39:$G$239,7)*100)</f>
        <v>1383.7511607142858</v>
      </c>
      <c r="AC127" s="138">
        <f t="shared" si="25"/>
        <v>1583.4554545454546</v>
      </c>
      <c r="AD127">
        <f t="shared" si="33"/>
        <v>23250</v>
      </c>
      <c r="AE127">
        <f t="shared" si="26"/>
        <v>104.6</v>
      </c>
      <c r="AF127" s="79">
        <f t="shared" si="27"/>
        <v>117.6</v>
      </c>
    </row>
    <row r="128" spans="1:32">
      <c r="A128" s="36">
        <v>125</v>
      </c>
      <c r="B128" s="69">
        <f>Level!B129-Level!B128</f>
        <v>53500</v>
      </c>
      <c r="C128" s="73">
        <f>Level!M128*VLOOKUP(A128,Plants!$C$4:$AH$47,32)*24+(27/Level!T128)</f>
        <v>5539.1197049525808</v>
      </c>
      <c r="D128" s="62">
        <f t="shared" si="28"/>
        <v>9.6585744395747817</v>
      </c>
      <c r="E128" s="65">
        <f>SUM(D$4:D127)</f>
        <v>769.63074654047296</v>
      </c>
      <c r="F128" s="205">
        <f>Level!M128*VLOOKUP(A128,Plants!$C$4:$AI$47,33)*24*1.15+IF(VLOOKUP(A128,Goals!$AO$4:$AO$120,1)=A128,VLOOKUP(A128,Goals!$AO$4:$AQ$120,3)/D128,0)+VLOOKUP(A128,Level!$A$4:$C$203,3)/D128</f>
        <v>148100.97471022129</v>
      </c>
      <c r="G128" s="71">
        <f>Level!M128*VLOOKUP(A128,Plants!$C$4:$X$47,21)*24</f>
        <v>72000</v>
      </c>
      <c r="H128" s="63">
        <f t="shared" si="29"/>
        <v>0.74305555555555558</v>
      </c>
      <c r="I128" s="64">
        <f>SUM(H$4:H127)</f>
        <v>55.183080426523524</v>
      </c>
      <c r="J128" s="35">
        <f>Level!M128*VLOOKUP(A128,Plants!$C$4:$X$47,22)*24</f>
        <v>648000</v>
      </c>
      <c r="K128" s="239">
        <f t="shared" si="21"/>
        <v>1430444</v>
      </c>
      <c r="L128" s="239">
        <f>SUM($K$4:K128)</f>
        <v>74537851</v>
      </c>
      <c r="M128" s="239">
        <f t="shared" si="22"/>
        <v>481500</v>
      </c>
      <c r="N128" s="239">
        <f>SUM($M$4:M128)</f>
        <v>24916428</v>
      </c>
      <c r="O128">
        <f>ROUNDUP(MIN(50,ROUNDUP(A128/3,0),Level!M128)*Plants!Q$4*0.005,0)</f>
        <v>1</v>
      </c>
      <c r="P128">
        <f>ROUNDUP(MAX(4,MIN(A128,VLOOKUP(A128,Level!$A$4:$M$203,13))*MIN(4,ROUNDUP(VLOOKUP(A128,Background!$C$3:$D$52,2)/5,0)))*VLOOKUP(A128,Plants!$C$4:$AJ$53,30)*0.025,0)</f>
        <v>163</v>
      </c>
      <c r="Q128">
        <f t="shared" si="23"/>
        <v>82.5</v>
      </c>
      <c r="R128">
        <f>ROUND(MIN(50,ROUNDUP(A128/3,0),Level!M128)*Plants!R$4,0)</f>
        <v>210</v>
      </c>
      <c r="S128" s="153">
        <f>ROUNDUP(MAX(4,MIN(A128,VLOOKUP(A128,Level!$A$4:$M$203,13))*MIN(4,ROUNDUP(VLOOKUP(A128,Background!$C$3:$D$52,2)/5,0)))*VLOOKUP(A128,Plants!$C$4:$AJ$53,31)*1.25,0)</f>
        <v>184375</v>
      </c>
      <c r="T128" s="153">
        <f t="shared" si="24"/>
        <v>92292.5</v>
      </c>
      <c r="U128">
        <f>SUM($K$4:K128)</f>
        <v>74537851</v>
      </c>
      <c r="V128">
        <f>VLOOKUP(A128,Garden!$B$4:$P$19,15)</f>
        <v>15970400</v>
      </c>
      <c r="W128">
        <f>VLOOKUP(A128,Plots!$B$4:$U$39,20)</f>
        <v>27071200</v>
      </c>
      <c r="X128">
        <f>VLOOKUP(A128,'Decoration Background'!$A$2:$H$200,8)</f>
        <v>46469139</v>
      </c>
      <c r="Y128">
        <f t="shared" si="30"/>
        <v>-14972888</v>
      </c>
      <c r="Z128" s="158">
        <f t="shared" si="31"/>
        <v>1.2008763037721599</v>
      </c>
      <c r="AA128">
        <f t="shared" si="32"/>
        <v>-17418010</v>
      </c>
      <c r="AB128" s="170">
        <f>MAX(0,(-Y128)/VLOOKUP($A128,Payment!$A$39:$G$239,7)*100)</f>
        <v>1336.865</v>
      </c>
      <c r="AC128" s="138">
        <f t="shared" si="25"/>
        <v>1583.4554545454546</v>
      </c>
      <c r="AD128">
        <f t="shared" si="33"/>
        <v>23625</v>
      </c>
      <c r="AE128">
        <f t="shared" si="26"/>
        <v>101.1</v>
      </c>
      <c r="AF128" s="79">
        <f t="shared" si="27"/>
        <v>117.6</v>
      </c>
    </row>
    <row r="129" spans="1:32">
      <c r="A129" s="36">
        <v>126</v>
      </c>
      <c r="B129" s="69">
        <f>Level!B130-Level!B129</f>
        <v>54500</v>
      </c>
      <c r="C129" s="73">
        <f>Level!M129*VLOOKUP(A129,Plants!$C$4:$AH$47,32)*24+(27/Level!T129)</f>
        <v>5539.1197049525808</v>
      </c>
      <c r="D129" s="62">
        <f t="shared" si="28"/>
        <v>9.8391085412490753</v>
      </c>
      <c r="E129" s="65">
        <f>SUM(D$4:D128)</f>
        <v>779.28932098004771</v>
      </c>
      <c r="F129" s="205">
        <f>Level!M129*VLOOKUP(A129,Plants!$C$4:$AI$47,33)*24*1.15+IF(VLOOKUP(A129,Goals!$AO$4:$AO$120,1)=A129,VLOOKUP(A129,Goals!$AO$4:$AQ$120,3)/D129,0)+VLOOKUP(A129,Level!$A$4:$C$203,3)/D129</f>
        <v>148100.97471022129</v>
      </c>
      <c r="G129" s="71">
        <f>Level!M129*VLOOKUP(A129,Plants!$C$4:$X$47,21)*24</f>
        <v>72000</v>
      </c>
      <c r="H129" s="63">
        <f t="shared" si="29"/>
        <v>0.75694444444444442</v>
      </c>
      <c r="I129" s="64">
        <f>SUM(H$4:H128)</f>
        <v>55.926135982079082</v>
      </c>
      <c r="J129" s="35">
        <f>Level!M129*VLOOKUP(A129,Plants!$C$4:$X$47,22)*24</f>
        <v>648000</v>
      </c>
      <c r="K129" s="239">
        <f t="shared" si="21"/>
        <v>1457182</v>
      </c>
      <c r="L129" s="239">
        <f>SUM($K$4:K129)</f>
        <v>75995033</v>
      </c>
      <c r="M129" s="239">
        <f t="shared" si="22"/>
        <v>490500</v>
      </c>
      <c r="N129" s="239">
        <f>SUM($M$4:M129)</f>
        <v>25406928</v>
      </c>
      <c r="O129">
        <f>ROUNDUP(MIN(50,ROUNDUP(A129/3,0),Level!M129)*Plants!Q$4*0.005,0)</f>
        <v>1</v>
      </c>
      <c r="P129">
        <f>ROUNDUP(MAX(4,MIN(A129,VLOOKUP(A129,Level!$A$4:$M$203,13))*MIN(4,ROUNDUP(VLOOKUP(A129,Background!$C$3:$D$52,2)/5,0)))*VLOOKUP(A129,Plants!$C$4:$AJ$53,30)*0.025,0)</f>
        <v>164</v>
      </c>
      <c r="Q129">
        <f t="shared" si="23"/>
        <v>83</v>
      </c>
      <c r="R129">
        <f>ROUND(MIN(50,ROUNDUP(A129/3,0),Level!M129)*Plants!R$4,0)</f>
        <v>210</v>
      </c>
      <c r="S129" s="153">
        <f>ROUNDUP(MAX(4,MIN(A129,VLOOKUP(A129,Level!$A$4:$M$203,13))*MIN(4,ROUNDUP(VLOOKUP(A129,Background!$C$3:$D$52,2)/5,0)))*VLOOKUP(A129,Plants!$C$4:$AJ$53,31)*1.25,0)</f>
        <v>185850</v>
      </c>
      <c r="T129" s="153">
        <f t="shared" si="24"/>
        <v>93030</v>
      </c>
      <c r="U129">
        <f>SUM($K$4:K129)</f>
        <v>75995033</v>
      </c>
      <c r="V129">
        <f>VLOOKUP(A129,Garden!$B$4:$P$19,15)</f>
        <v>15970400</v>
      </c>
      <c r="W129">
        <f>VLOOKUP(A129,Plots!$B$4:$U$39,20)</f>
        <v>27071200</v>
      </c>
      <c r="X129">
        <f>VLOOKUP(A129,'Decoration Background'!$A$2:$H$200,8)</f>
        <v>47381808</v>
      </c>
      <c r="Y129">
        <f t="shared" si="30"/>
        <v>-14428375</v>
      </c>
      <c r="Z129" s="158">
        <f t="shared" si="31"/>
        <v>1.1898594477878575</v>
      </c>
      <c r="AA129">
        <f t="shared" si="32"/>
        <v>-17418010</v>
      </c>
      <c r="AB129" s="170">
        <f>MAX(0,(-Y129)/VLOOKUP($A129,Payment!$A$39:$G$239,7)*100)</f>
        <v>1288.2477678571429</v>
      </c>
      <c r="AC129" s="138">
        <f t="shared" si="25"/>
        <v>1583.4554545454546</v>
      </c>
      <c r="AD129">
        <f t="shared" si="33"/>
        <v>24003</v>
      </c>
      <c r="AE129">
        <f t="shared" si="26"/>
        <v>97.4</v>
      </c>
      <c r="AF129" s="79">
        <f t="shared" si="27"/>
        <v>117.6</v>
      </c>
    </row>
    <row r="130" spans="1:32">
      <c r="A130" s="36">
        <v>127</v>
      </c>
      <c r="B130" s="69">
        <f>Level!B131-Level!B130</f>
        <v>55500</v>
      </c>
      <c r="C130" s="73">
        <f>Level!M130*VLOOKUP(A130,Plants!$C$4:$AH$47,32)*24+(27/Level!T130)</f>
        <v>5539.1197049525808</v>
      </c>
      <c r="D130" s="62">
        <f t="shared" si="28"/>
        <v>10.019642642923371</v>
      </c>
      <c r="E130" s="65">
        <f>SUM(D$4:D129)</f>
        <v>789.12842952129677</v>
      </c>
      <c r="F130" s="205">
        <f>Level!M130*VLOOKUP(A130,Plants!$C$4:$AI$47,33)*24*1.15+IF(VLOOKUP(A130,Goals!$AO$4:$AO$120,1)=A130,VLOOKUP(A130,Goals!$AO$4:$AQ$120,3)/D130,0)+VLOOKUP(A130,Level!$A$4:$C$203,3)/D130</f>
        <v>148100.97471022129</v>
      </c>
      <c r="G130" s="71">
        <f>Level!M130*VLOOKUP(A130,Plants!$C$4:$X$47,21)*24</f>
        <v>72000</v>
      </c>
      <c r="H130" s="63">
        <f t="shared" si="29"/>
        <v>0.77083333333333337</v>
      </c>
      <c r="I130" s="64">
        <f>SUM(H$4:H129)</f>
        <v>56.683080426523524</v>
      </c>
      <c r="J130" s="35">
        <f>Level!M130*VLOOKUP(A130,Plants!$C$4:$X$47,22)*24</f>
        <v>648000</v>
      </c>
      <c r="K130" s="239">
        <f t="shared" si="21"/>
        <v>1483919</v>
      </c>
      <c r="L130" s="239">
        <f>SUM($K$4:K130)</f>
        <v>77478952</v>
      </c>
      <c r="M130" s="239">
        <f t="shared" si="22"/>
        <v>499500</v>
      </c>
      <c r="N130" s="239">
        <f>SUM($M$4:M130)</f>
        <v>25906428</v>
      </c>
      <c r="O130">
        <f>ROUNDUP(MIN(50,ROUNDUP(A130/3,0),Level!M130)*Plants!Q$4*0.005,0)</f>
        <v>1</v>
      </c>
      <c r="P130">
        <f>ROUNDUP(MAX(4,MIN(A130,VLOOKUP(A130,Level!$A$4:$M$203,13))*MIN(4,ROUNDUP(VLOOKUP(A130,Background!$C$3:$D$52,2)/5,0)))*VLOOKUP(A130,Plants!$C$4:$AJ$53,30)*0.025,0)</f>
        <v>166</v>
      </c>
      <c r="Q130">
        <f t="shared" si="23"/>
        <v>84</v>
      </c>
      <c r="R130">
        <f>ROUND(MIN(50,ROUNDUP(A130/3,0),Level!M130)*Plants!R$4,0)</f>
        <v>215</v>
      </c>
      <c r="S130" s="153">
        <f>ROUNDUP(MAX(4,MIN(A130,VLOOKUP(A130,Level!$A$4:$M$203,13))*MIN(4,ROUNDUP(VLOOKUP(A130,Background!$C$3:$D$52,2)/5,0)))*VLOOKUP(A130,Plants!$C$4:$AJ$53,31)*1.25,0)</f>
        <v>187325</v>
      </c>
      <c r="T130" s="153">
        <f t="shared" si="24"/>
        <v>93770</v>
      </c>
      <c r="U130">
        <f>SUM($K$4:K130)</f>
        <v>77478952</v>
      </c>
      <c r="V130">
        <f>VLOOKUP(A130,Garden!$B$4:$P$19,15)</f>
        <v>15970400</v>
      </c>
      <c r="W130">
        <f>VLOOKUP(A130,Plots!$B$4:$U$39,20)</f>
        <v>27071200</v>
      </c>
      <c r="X130">
        <f>VLOOKUP(A130,'Decoration Background'!$A$2:$H$200,8)</f>
        <v>48301827</v>
      </c>
      <c r="Y130">
        <f t="shared" si="30"/>
        <v>-13864475</v>
      </c>
      <c r="Z130" s="158">
        <f t="shared" si="31"/>
        <v>1.1789450507797266</v>
      </c>
      <c r="AA130">
        <f t="shared" si="32"/>
        <v>-17418010</v>
      </c>
      <c r="AB130" s="170">
        <f>MAX(0,(-Y130)/VLOOKUP($A130,Payment!$A$39:$G$239,7)*100)</f>
        <v>1237.8995535714284</v>
      </c>
      <c r="AC130" s="138">
        <f t="shared" si="25"/>
        <v>1583.4554545454546</v>
      </c>
      <c r="AD130">
        <f t="shared" si="33"/>
        <v>24384</v>
      </c>
      <c r="AE130">
        <f t="shared" si="26"/>
        <v>93.6</v>
      </c>
      <c r="AF130" s="79">
        <f t="shared" si="27"/>
        <v>117.6</v>
      </c>
    </row>
    <row r="131" spans="1:32">
      <c r="A131" s="36">
        <v>128</v>
      </c>
      <c r="B131" s="69">
        <f>Level!B132-Level!B131</f>
        <v>56500</v>
      </c>
      <c r="C131" s="73">
        <f>Level!M131*VLOOKUP(A131,Plants!$C$4:$AH$47,32)*24+(27/Level!T131)</f>
        <v>5539.1197049525808</v>
      </c>
      <c r="D131" s="62">
        <f t="shared" si="28"/>
        <v>10.200176744597666</v>
      </c>
      <c r="E131" s="65">
        <f>SUM(D$4:D130)</f>
        <v>799.14807216422014</v>
      </c>
      <c r="F131" s="205">
        <f>Level!M131*VLOOKUP(A131,Plants!$C$4:$AI$47,33)*24*1.15+IF(VLOOKUP(A131,Goals!$AO$4:$AO$120,1)=A131,VLOOKUP(A131,Goals!$AO$4:$AQ$120,3)/D131,0)+VLOOKUP(A131,Level!$A$4:$C$203,3)/D131</f>
        <v>148100.97471022129</v>
      </c>
      <c r="G131" s="71">
        <f>Level!M131*VLOOKUP(A131,Plants!$C$4:$X$47,21)*24</f>
        <v>72000</v>
      </c>
      <c r="H131" s="63">
        <f t="shared" si="29"/>
        <v>0.78472222222222221</v>
      </c>
      <c r="I131" s="64">
        <f>SUM(H$4:H130)</f>
        <v>57.45391375985686</v>
      </c>
      <c r="J131" s="35">
        <f>Level!M131*VLOOKUP(A131,Plants!$C$4:$X$47,22)*24</f>
        <v>648000</v>
      </c>
      <c r="K131" s="239">
        <f t="shared" si="21"/>
        <v>1510656</v>
      </c>
      <c r="L131" s="239">
        <f>SUM($K$4:K131)</f>
        <v>78989608</v>
      </c>
      <c r="M131" s="239">
        <f t="shared" si="22"/>
        <v>508500</v>
      </c>
      <c r="N131" s="239">
        <f>SUM($M$4:M131)</f>
        <v>26414928</v>
      </c>
      <c r="O131">
        <f>ROUNDUP(MIN(50,ROUNDUP(A131/3,0),Level!M131)*Plants!Q$4*0.005,0)</f>
        <v>1</v>
      </c>
      <c r="P131">
        <f>ROUNDUP(MAX(4,MIN(A131,VLOOKUP(A131,Level!$A$4:$M$203,13))*MIN(4,ROUNDUP(VLOOKUP(A131,Background!$C$3:$D$52,2)/5,0)))*VLOOKUP(A131,Plants!$C$4:$AJ$53,30)*0.025,0)</f>
        <v>167</v>
      </c>
      <c r="Q131">
        <f t="shared" si="23"/>
        <v>84.5</v>
      </c>
      <c r="R131">
        <f>ROUND(MIN(50,ROUNDUP(A131/3,0),Level!M131)*Plants!R$4,0)</f>
        <v>215</v>
      </c>
      <c r="S131" s="153">
        <f>ROUNDUP(MAX(4,MIN(A131,VLOOKUP(A131,Level!$A$4:$M$203,13))*MIN(4,ROUNDUP(VLOOKUP(A131,Background!$C$3:$D$52,2)/5,0)))*VLOOKUP(A131,Plants!$C$4:$AJ$53,31)*1.25,0)</f>
        <v>188800</v>
      </c>
      <c r="T131" s="153">
        <f t="shared" si="24"/>
        <v>94507.5</v>
      </c>
      <c r="U131">
        <f>SUM($K$4:K131)</f>
        <v>78989608</v>
      </c>
      <c r="V131">
        <f>VLOOKUP(A131,Garden!$B$4:$P$19,15)</f>
        <v>15970400</v>
      </c>
      <c r="W131">
        <f>VLOOKUP(A131,Plots!$B$4:$U$39,20)</f>
        <v>27071200</v>
      </c>
      <c r="X131">
        <f>VLOOKUP(A131,'Decoration Background'!$A$2:$H$200,8)</f>
        <v>49229196</v>
      </c>
      <c r="Y131">
        <f t="shared" si="30"/>
        <v>-13281188</v>
      </c>
      <c r="Z131" s="158">
        <f t="shared" si="31"/>
        <v>1.1681384214490595</v>
      </c>
      <c r="AA131">
        <f t="shared" si="32"/>
        <v>-17418010</v>
      </c>
      <c r="AB131" s="170">
        <f>MAX(0,(-Y131)/VLOOKUP($A131,Payment!$A$39:$G$239,7)*100)</f>
        <v>1165.0164912280702</v>
      </c>
      <c r="AC131" s="138">
        <f t="shared" si="25"/>
        <v>1583.4554545454546</v>
      </c>
      <c r="AD131">
        <f t="shared" si="33"/>
        <v>24768</v>
      </c>
      <c r="AE131">
        <f t="shared" si="26"/>
        <v>89.7</v>
      </c>
      <c r="AF131" s="79">
        <f t="shared" si="27"/>
        <v>117.6</v>
      </c>
    </row>
    <row r="132" spans="1:32">
      <c r="A132" s="36">
        <v>129</v>
      </c>
      <c r="B132" s="69">
        <f>Level!B133-Level!B132</f>
        <v>57500</v>
      </c>
      <c r="C132" s="73">
        <f>Level!M132*VLOOKUP(A132,Plants!$C$4:$AH$47,32)*24+(27/Level!T132)</f>
        <v>5539.1197049525808</v>
      </c>
      <c r="D132" s="62">
        <f t="shared" si="28"/>
        <v>10.380710846271962</v>
      </c>
      <c r="E132" s="65">
        <f>SUM(D$4:D131)</f>
        <v>809.34824890881782</v>
      </c>
      <c r="F132" s="205">
        <f>Level!M132*VLOOKUP(A132,Plants!$C$4:$AI$47,33)*24*1.15+IF(VLOOKUP(A132,Goals!$AO$4:$AO$120,1)=A132,VLOOKUP(A132,Goals!$AO$4:$AQ$120,3)/D132,0)+VLOOKUP(A132,Level!$A$4:$C$203,3)/D132</f>
        <v>148100.97471022129</v>
      </c>
      <c r="G132" s="71">
        <f>Level!M132*VLOOKUP(A132,Plants!$C$4:$X$47,21)*24</f>
        <v>72000</v>
      </c>
      <c r="H132" s="63">
        <f t="shared" si="29"/>
        <v>0.79861111111111116</v>
      </c>
      <c r="I132" s="64">
        <f>SUM(H$4:H131)</f>
        <v>58.238635982079082</v>
      </c>
      <c r="J132" s="35">
        <f>Level!M132*VLOOKUP(A132,Plants!$C$4:$X$47,22)*24</f>
        <v>648000</v>
      </c>
      <c r="K132" s="239">
        <f t="shared" si="21"/>
        <v>1537393</v>
      </c>
      <c r="L132" s="239">
        <f>SUM($K$4:K132)</f>
        <v>80527001</v>
      </c>
      <c r="M132" s="239">
        <f t="shared" si="22"/>
        <v>517500</v>
      </c>
      <c r="N132" s="239">
        <f>SUM($M$4:M132)</f>
        <v>26932428</v>
      </c>
      <c r="O132">
        <f>ROUNDUP(MIN(50,ROUNDUP(A132/3,0),Level!M132)*Plants!Q$4*0.005,0)</f>
        <v>1</v>
      </c>
      <c r="P132">
        <f>ROUNDUP(MAX(4,MIN(A132,VLOOKUP(A132,Level!$A$4:$M$203,13))*MIN(4,ROUNDUP(VLOOKUP(A132,Background!$C$3:$D$52,2)/5,0)))*VLOOKUP(A132,Plants!$C$4:$AJ$53,30)*0.025,0)</f>
        <v>168</v>
      </c>
      <c r="Q132">
        <f t="shared" si="23"/>
        <v>85</v>
      </c>
      <c r="R132">
        <f>ROUND(MIN(50,ROUNDUP(A132/3,0),Level!M132)*Plants!R$4,0)</f>
        <v>215</v>
      </c>
      <c r="S132" s="153">
        <f>ROUNDUP(MAX(4,MIN(A132,VLOOKUP(A132,Level!$A$4:$M$203,13))*MIN(4,ROUNDUP(VLOOKUP(A132,Background!$C$3:$D$52,2)/5,0)))*VLOOKUP(A132,Plants!$C$4:$AJ$53,31)*1.25,0)</f>
        <v>190275</v>
      </c>
      <c r="T132" s="153">
        <f t="shared" si="24"/>
        <v>95245</v>
      </c>
      <c r="U132">
        <f>SUM($K$4:K132)</f>
        <v>80527001</v>
      </c>
      <c r="V132">
        <f>VLOOKUP(A132,Garden!$B$4:$P$19,15)</f>
        <v>15970400</v>
      </c>
      <c r="W132">
        <f>VLOOKUP(A132,Plots!$B$4:$U$39,20)</f>
        <v>27071200</v>
      </c>
      <c r="X132">
        <f>VLOOKUP(A132,'Decoration Background'!$A$2:$H$200,8)</f>
        <v>50163915</v>
      </c>
      <c r="Y132">
        <f t="shared" ref="Y132:Y163" si="34">U132-SUM(V132:X132)</f>
        <v>-12678514</v>
      </c>
      <c r="Z132" s="158">
        <f t="shared" ref="Z132:Z163" si="35">SUM(V132:X132)/U132</f>
        <v>1.1574442589759428</v>
      </c>
      <c r="AA132">
        <f t="shared" ref="AA132:AA163" si="36">MIN(0,IF(Y132&lt;AA131,Y132,AA131))</f>
        <v>-17418010</v>
      </c>
      <c r="AB132" s="170">
        <f>MAX(0,(-Y132)/VLOOKUP($A132,Payment!$A$39:$G$239,7)*100)</f>
        <v>1112.150350877193</v>
      </c>
      <c r="AC132" s="138">
        <f t="shared" si="25"/>
        <v>1583.4554545454546</v>
      </c>
      <c r="AD132">
        <f t="shared" ref="AD132:AD163" si="37">A132*(A132+1)*3/2</f>
        <v>25155</v>
      </c>
      <c r="AE132">
        <f t="shared" si="26"/>
        <v>85.6</v>
      </c>
      <c r="AF132" s="79">
        <f t="shared" si="27"/>
        <v>117.6</v>
      </c>
    </row>
    <row r="133" spans="1:32">
      <c r="A133" s="36">
        <v>130</v>
      </c>
      <c r="B133" s="69">
        <f>Level!B134-Level!B133</f>
        <v>58500</v>
      </c>
      <c r="C133" s="73">
        <f>Level!M133*VLOOKUP(A133,Plants!$C$4:$AH$47,32)*24+(27/Level!T133)</f>
        <v>5539.1197049525808</v>
      </c>
      <c r="D133" s="62">
        <f t="shared" si="28"/>
        <v>10.561244947946255</v>
      </c>
      <c r="E133" s="65">
        <f>SUM(D$4:D132)</f>
        <v>819.72895975508982</v>
      </c>
      <c r="F133" s="205">
        <f>Level!M133*VLOOKUP(A133,Plants!$C$4:$AI$47,33)*24*1.15+IF(VLOOKUP(A133,Goals!$AO$4:$AO$120,1)=A133,VLOOKUP(A133,Goals!$AO$4:$AQ$120,3)/D133,0)+VLOOKUP(A133,Level!$A$4:$C$203,3)/D133</f>
        <v>148100.97471022129</v>
      </c>
      <c r="G133" s="71">
        <f>Level!M133*VLOOKUP(A133,Plants!$C$4:$X$47,21)*24</f>
        <v>72000</v>
      </c>
      <c r="H133" s="63">
        <f t="shared" si="29"/>
        <v>0.8125</v>
      </c>
      <c r="I133" s="64">
        <f>SUM(H$4:H132)</f>
        <v>59.037247093190196</v>
      </c>
      <c r="J133" s="35">
        <f>Level!M133*VLOOKUP(A133,Plants!$C$4:$X$47,22)*24</f>
        <v>648000</v>
      </c>
      <c r="K133" s="239">
        <f t="shared" ref="K133:K196" si="38">ROUND(D133*F133,0)</f>
        <v>1564131</v>
      </c>
      <c r="L133" s="239">
        <f>SUM($K$4:K133)</f>
        <v>82091132</v>
      </c>
      <c r="M133" s="239">
        <f t="shared" ref="M133:M196" si="39">ROUND(H133*J133,0)</f>
        <v>526500</v>
      </c>
      <c r="N133" s="239">
        <f>SUM($M$4:M133)</f>
        <v>27458928</v>
      </c>
      <c r="O133">
        <f>ROUNDUP(MIN(50,ROUNDUP(A133/3,0),Level!M133)*Plants!Q$4*0.005,0)</f>
        <v>1</v>
      </c>
      <c r="P133">
        <f>ROUNDUP(MAX(4,MIN(A133,VLOOKUP(A133,Level!$A$4:$M$203,13))*MIN(4,ROUNDUP(VLOOKUP(A133,Background!$C$3:$D$52,2)/5,0)))*VLOOKUP(A133,Plants!$C$4:$AJ$53,30)*0.025,0)</f>
        <v>169</v>
      </c>
      <c r="Q133">
        <f t="shared" ref="Q133:Q196" si="40">O133+P133/2</f>
        <v>85.5</v>
      </c>
      <c r="R133">
        <f>ROUND(MIN(50,ROUNDUP(A133/3,0),Level!M133)*Plants!R$4,0)</f>
        <v>220</v>
      </c>
      <c r="S133" s="153">
        <f>ROUNDUP(MAX(4,MIN(A133,VLOOKUP(A133,Level!$A$4:$M$203,13))*MIN(4,ROUNDUP(VLOOKUP(A133,Background!$C$3:$D$52,2)/5,0)))*VLOOKUP(A133,Plants!$C$4:$AJ$53,31)*1.25,0)</f>
        <v>191750</v>
      </c>
      <c r="T133" s="153">
        <f t="shared" ref="T133:T196" si="41">(R133+S133)/2</f>
        <v>95985</v>
      </c>
      <c r="U133">
        <f>SUM($K$4:K133)</f>
        <v>82091132</v>
      </c>
      <c r="V133">
        <f>VLOOKUP(A133,Garden!$B$4:$P$19,15)</f>
        <v>15970400</v>
      </c>
      <c r="W133">
        <f>VLOOKUP(A133,Plots!$B$4:$U$39,20)</f>
        <v>27071200</v>
      </c>
      <c r="X133">
        <f>VLOOKUP(A133,'Decoration Background'!$A$2:$H$200,8)</f>
        <v>51105984</v>
      </c>
      <c r="Y133">
        <f t="shared" si="34"/>
        <v>-12056452</v>
      </c>
      <c r="Z133" s="158">
        <f t="shared" si="35"/>
        <v>1.1468666798260256</v>
      </c>
      <c r="AA133">
        <f t="shared" si="36"/>
        <v>-17418010</v>
      </c>
      <c r="AB133" s="170">
        <f>MAX(0,(-Y133)/VLOOKUP($A133,Payment!$A$39:$G$239,7)*100)</f>
        <v>1057.5835087719297</v>
      </c>
      <c r="AC133" s="138">
        <f t="shared" ref="AC133:AC196" si="42">IF(AND(AB133&lt;AC132,ISNUMBER(AC132)),AC132,AB133)</f>
        <v>1583.4554545454546</v>
      </c>
      <c r="AD133">
        <f t="shared" si="37"/>
        <v>25545</v>
      </c>
      <c r="AE133">
        <f t="shared" ref="AE133:AE196" si="43">IF(Y133&gt;=0,0,ROUND(-Y133/F133,1))</f>
        <v>81.400000000000006</v>
      </c>
      <c r="AF133" s="79">
        <f t="shared" ref="AF133:AF196" si="44">IF(AND(AE133&lt;AF132,ISNUMBER(AF132)),AF132,AE133)</f>
        <v>117.6</v>
      </c>
    </row>
    <row r="134" spans="1:32">
      <c r="A134" s="36">
        <v>131</v>
      </c>
      <c r="B134" s="69">
        <f>Level!B135-Level!B134</f>
        <v>59500</v>
      </c>
      <c r="C134" s="73">
        <f>Level!M134*VLOOKUP(A134,Plants!$C$4:$AH$47,32)*24+(27/Level!T134)</f>
        <v>5539.1197049525808</v>
      </c>
      <c r="D134" s="62">
        <f t="shared" ref="D134:D197" si="45">B134/C134</f>
        <v>10.741779049620551</v>
      </c>
      <c r="E134" s="65">
        <f>SUM(D$4:D133)</f>
        <v>830.29020470303612</v>
      </c>
      <c r="F134" s="205">
        <f>Level!M134*VLOOKUP(A134,Plants!$C$4:$AI$47,33)*24*1.15+IF(VLOOKUP(A134,Goals!$AO$4:$AO$120,1)=A134,VLOOKUP(A134,Goals!$AO$4:$AQ$120,3)/D134,0)+VLOOKUP(A134,Level!$A$4:$C$203,3)/D134</f>
        <v>148100.97471022129</v>
      </c>
      <c r="G134" s="71">
        <f>Level!M134*VLOOKUP(A134,Plants!$C$4:$X$47,21)*24</f>
        <v>72000</v>
      </c>
      <c r="H134" s="63">
        <f t="shared" ref="H134:H197" si="46">B134/G134</f>
        <v>0.82638888888888884</v>
      </c>
      <c r="I134" s="64">
        <f>SUM(H$4:H133)</f>
        <v>59.849747093190196</v>
      </c>
      <c r="J134" s="35">
        <f>Level!M134*VLOOKUP(A134,Plants!$C$4:$X$47,22)*24</f>
        <v>648000</v>
      </c>
      <c r="K134" s="239">
        <f t="shared" si="38"/>
        <v>1590868</v>
      </c>
      <c r="L134" s="239">
        <f>SUM($K$4:K134)</f>
        <v>83682000</v>
      </c>
      <c r="M134" s="239">
        <f t="shared" si="39"/>
        <v>535500</v>
      </c>
      <c r="N134" s="239">
        <f>SUM($M$4:M134)</f>
        <v>27994428</v>
      </c>
      <c r="O134">
        <f>ROUNDUP(MIN(50,ROUNDUP(A134/3,0),Level!M134)*Plants!Q$4*0.005,0)</f>
        <v>1</v>
      </c>
      <c r="P134">
        <f>ROUNDUP(MAX(4,MIN(A134,VLOOKUP(A134,Level!$A$4:$M$203,13))*MIN(4,ROUNDUP(VLOOKUP(A134,Background!$C$3:$D$52,2)/5,0)))*VLOOKUP(A134,Plants!$C$4:$AJ$53,30)*0.025,0)</f>
        <v>171</v>
      </c>
      <c r="Q134">
        <f t="shared" si="40"/>
        <v>86.5</v>
      </c>
      <c r="R134">
        <f>ROUND(MIN(50,ROUNDUP(A134/3,0),Level!M134)*Plants!R$4,0)</f>
        <v>220</v>
      </c>
      <c r="S134" s="153">
        <f>ROUNDUP(MAX(4,MIN(A134,VLOOKUP(A134,Level!$A$4:$M$203,13))*MIN(4,ROUNDUP(VLOOKUP(A134,Background!$C$3:$D$52,2)/5,0)))*VLOOKUP(A134,Plants!$C$4:$AJ$53,31)*1.25,0)</f>
        <v>193225</v>
      </c>
      <c r="T134" s="153">
        <f t="shared" si="41"/>
        <v>96722.5</v>
      </c>
      <c r="U134">
        <f>SUM($K$4:K134)</f>
        <v>83682000</v>
      </c>
      <c r="V134">
        <f>VLOOKUP(A134,Garden!$B$4:$P$19,15)</f>
        <v>15970400</v>
      </c>
      <c r="W134">
        <f>VLOOKUP(A134,Plots!$B$4:$U$39,20)</f>
        <v>27071200</v>
      </c>
      <c r="X134">
        <f>VLOOKUP(A134,'Decoration Background'!$A$2:$H$200,8)</f>
        <v>52055403</v>
      </c>
      <c r="Y134">
        <f t="shared" si="34"/>
        <v>-11415003</v>
      </c>
      <c r="Z134" s="158">
        <f t="shared" si="35"/>
        <v>1.1364092994909301</v>
      </c>
      <c r="AA134">
        <f t="shared" si="36"/>
        <v>-17418010</v>
      </c>
      <c r="AB134" s="170">
        <f>MAX(0,(-Y134)/VLOOKUP($A134,Payment!$A$39:$G$239,7)*100)</f>
        <v>1001.3160526315791</v>
      </c>
      <c r="AC134" s="138">
        <f t="shared" si="42"/>
        <v>1583.4554545454546</v>
      </c>
      <c r="AD134">
        <f t="shared" si="37"/>
        <v>25938</v>
      </c>
      <c r="AE134">
        <f t="shared" si="43"/>
        <v>77.099999999999994</v>
      </c>
      <c r="AF134" s="79">
        <f t="shared" si="44"/>
        <v>117.6</v>
      </c>
    </row>
    <row r="135" spans="1:32">
      <c r="A135" s="36">
        <v>132</v>
      </c>
      <c r="B135" s="69">
        <f>Level!B136-Level!B135</f>
        <v>60500</v>
      </c>
      <c r="C135" s="73">
        <f>Level!M135*VLOOKUP(A135,Plants!$C$4:$AH$47,32)*24+(27/Level!T135)</f>
        <v>5539.1197049525808</v>
      </c>
      <c r="D135" s="62">
        <f t="shared" si="45"/>
        <v>10.922313151294846</v>
      </c>
      <c r="E135" s="65">
        <f>SUM(D$4:D134)</f>
        <v>841.03198375265663</v>
      </c>
      <c r="F135" s="205">
        <f>Level!M135*VLOOKUP(A135,Plants!$C$4:$AI$47,33)*24*1.15+IF(VLOOKUP(A135,Goals!$AO$4:$AO$120,1)=A135,VLOOKUP(A135,Goals!$AO$4:$AQ$120,3)/D135,0)+VLOOKUP(A135,Level!$A$4:$C$203,3)/D135</f>
        <v>148100.97471022129</v>
      </c>
      <c r="G135" s="71">
        <f>Level!M135*VLOOKUP(A135,Plants!$C$4:$X$47,21)*24</f>
        <v>72000</v>
      </c>
      <c r="H135" s="63">
        <f t="shared" si="46"/>
        <v>0.84027777777777779</v>
      </c>
      <c r="I135" s="64">
        <f>SUM(H$4:H134)</f>
        <v>60.676135982079082</v>
      </c>
      <c r="J135" s="35">
        <f>Level!M135*VLOOKUP(A135,Plants!$C$4:$X$47,22)*24</f>
        <v>648000</v>
      </c>
      <c r="K135" s="239">
        <f t="shared" si="38"/>
        <v>1617605</v>
      </c>
      <c r="L135" s="239">
        <f>SUM($K$4:K135)</f>
        <v>85299605</v>
      </c>
      <c r="M135" s="239">
        <f t="shared" si="39"/>
        <v>544500</v>
      </c>
      <c r="N135" s="239">
        <f>SUM($M$4:M135)</f>
        <v>28538928</v>
      </c>
      <c r="O135">
        <f>ROUNDUP(MIN(50,ROUNDUP(A135/3,0),Level!M135)*Plants!Q$4*0.005,0)</f>
        <v>1</v>
      </c>
      <c r="P135">
        <f>ROUNDUP(MAX(4,MIN(A135,VLOOKUP(A135,Level!$A$4:$M$203,13))*MIN(4,ROUNDUP(VLOOKUP(A135,Background!$C$3:$D$52,2)/5,0)))*VLOOKUP(A135,Plants!$C$4:$AJ$53,30)*0.025,0)</f>
        <v>172</v>
      </c>
      <c r="Q135">
        <f t="shared" si="40"/>
        <v>87</v>
      </c>
      <c r="R135">
        <f>ROUND(MIN(50,ROUNDUP(A135/3,0),Level!M135)*Plants!R$4,0)</f>
        <v>220</v>
      </c>
      <c r="S135" s="153">
        <f>ROUNDUP(MAX(4,MIN(A135,VLOOKUP(A135,Level!$A$4:$M$203,13))*MIN(4,ROUNDUP(VLOOKUP(A135,Background!$C$3:$D$52,2)/5,0)))*VLOOKUP(A135,Plants!$C$4:$AJ$53,31)*1.25,0)</f>
        <v>194700</v>
      </c>
      <c r="T135" s="153">
        <f t="shared" si="41"/>
        <v>97460</v>
      </c>
      <c r="U135">
        <f>SUM($K$4:K135)</f>
        <v>85299605</v>
      </c>
      <c r="V135">
        <f>VLOOKUP(A135,Garden!$B$4:$P$19,15)</f>
        <v>15970400</v>
      </c>
      <c r="W135">
        <f>VLOOKUP(A135,Plots!$B$4:$U$39,20)</f>
        <v>27071200</v>
      </c>
      <c r="X135">
        <f>VLOOKUP(A135,'Decoration Background'!$A$2:$H$200,8)</f>
        <v>53012172</v>
      </c>
      <c r="Y135">
        <f t="shared" si="34"/>
        <v>-10754167</v>
      </c>
      <c r="Z135" s="158">
        <f t="shared" si="35"/>
        <v>1.1260752262569094</v>
      </c>
      <c r="AA135">
        <f t="shared" si="36"/>
        <v>-17418010</v>
      </c>
      <c r="AB135" s="170">
        <f>MAX(0,(-Y135)/VLOOKUP($A135,Payment!$A$39:$G$239,7)*100)</f>
        <v>927.08336206896558</v>
      </c>
      <c r="AC135" s="138">
        <f t="shared" si="42"/>
        <v>1583.4554545454546</v>
      </c>
      <c r="AD135">
        <f t="shared" si="37"/>
        <v>26334</v>
      </c>
      <c r="AE135">
        <f t="shared" si="43"/>
        <v>72.599999999999994</v>
      </c>
      <c r="AF135" s="79">
        <f t="shared" si="44"/>
        <v>117.6</v>
      </c>
    </row>
    <row r="136" spans="1:32">
      <c r="A136" s="36">
        <v>133</v>
      </c>
      <c r="B136" s="69">
        <f>Level!B137-Level!B136</f>
        <v>61500</v>
      </c>
      <c r="C136" s="73">
        <f>Level!M136*VLOOKUP(A136,Plants!$C$4:$AH$47,32)*24+(27/Level!T136)</f>
        <v>5539.1197049525808</v>
      </c>
      <c r="D136" s="62">
        <f t="shared" si="45"/>
        <v>11.102847252969141</v>
      </c>
      <c r="E136" s="65">
        <f>SUM(D$4:D135)</f>
        <v>851.95429690395144</v>
      </c>
      <c r="F136" s="205">
        <f>Level!M136*VLOOKUP(A136,Plants!$C$4:$AI$47,33)*24*1.15+IF(VLOOKUP(A136,Goals!$AO$4:$AO$120,1)=A136,VLOOKUP(A136,Goals!$AO$4:$AQ$120,3)/D136,0)+VLOOKUP(A136,Level!$A$4:$C$203,3)/D136</f>
        <v>148100.97471022129</v>
      </c>
      <c r="G136" s="71">
        <f>Level!M136*VLOOKUP(A136,Plants!$C$4:$X$47,21)*24</f>
        <v>72000</v>
      </c>
      <c r="H136" s="63">
        <f t="shared" si="46"/>
        <v>0.85416666666666663</v>
      </c>
      <c r="I136" s="64">
        <f>SUM(H$4:H135)</f>
        <v>61.51641375985686</v>
      </c>
      <c r="J136" s="35">
        <f>Level!M136*VLOOKUP(A136,Plants!$C$4:$X$47,22)*24</f>
        <v>648000</v>
      </c>
      <c r="K136" s="239">
        <f t="shared" si="38"/>
        <v>1644343</v>
      </c>
      <c r="L136" s="239">
        <f>SUM($K$4:K136)</f>
        <v>86943948</v>
      </c>
      <c r="M136" s="239">
        <f t="shared" si="39"/>
        <v>553500</v>
      </c>
      <c r="N136" s="239">
        <f>SUM($M$4:M136)</f>
        <v>29092428</v>
      </c>
      <c r="O136">
        <f>ROUNDUP(MIN(50,ROUNDUP(A136/3,0),Level!M136)*Plants!Q$4*0.005,0)</f>
        <v>1</v>
      </c>
      <c r="P136">
        <f>ROUNDUP(MAX(4,MIN(A136,VLOOKUP(A136,Level!$A$4:$M$203,13))*MIN(4,ROUNDUP(VLOOKUP(A136,Background!$C$3:$D$52,2)/5,0)))*VLOOKUP(A136,Plants!$C$4:$AJ$53,30)*0.025,0)</f>
        <v>173</v>
      </c>
      <c r="Q136">
        <f t="shared" si="40"/>
        <v>87.5</v>
      </c>
      <c r="R136">
        <f>ROUND(MIN(50,ROUNDUP(A136/3,0),Level!M136)*Plants!R$4,0)</f>
        <v>225</v>
      </c>
      <c r="S136" s="153">
        <f>ROUNDUP(MAX(4,MIN(A136,VLOOKUP(A136,Level!$A$4:$M$203,13))*MIN(4,ROUNDUP(VLOOKUP(A136,Background!$C$3:$D$52,2)/5,0)))*VLOOKUP(A136,Plants!$C$4:$AJ$53,31)*1.25,0)</f>
        <v>196175</v>
      </c>
      <c r="T136" s="153">
        <f t="shared" si="41"/>
        <v>98200</v>
      </c>
      <c r="U136">
        <f>SUM($K$4:K136)</f>
        <v>86943948</v>
      </c>
      <c r="V136">
        <f>VLOOKUP(A136,Garden!$B$4:$P$19,15)</f>
        <v>15970400</v>
      </c>
      <c r="W136">
        <f>VLOOKUP(A136,Plots!$B$4:$U$39,20)</f>
        <v>27071200</v>
      </c>
      <c r="X136">
        <f>VLOOKUP(A136,'Decoration Background'!$A$2:$H$200,8)</f>
        <v>53976291</v>
      </c>
      <c r="Y136">
        <f t="shared" si="34"/>
        <v>-10073943</v>
      </c>
      <c r="Z136" s="158">
        <f t="shared" si="35"/>
        <v>1.1158670986507306</v>
      </c>
      <c r="AA136">
        <f t="shared" si="36"/>
        <v>-17418010</v>
      </c>
      <c r="AB136" s="170">
        <f>MAX(0,(-Y136)/VLOOKUP($A136,Payment!$A$39:$G$239,7)*100)</f>
        <v>868.44336206896548</v>
      </c>
      <c r="AC136" s="138">
        <f t="shared" si="42"/>
        <v>1583.4554545454546</v>
      </c>
      <c r="AD136">
        <f t="shared" si="37"/>
        <v>26733</v>
      </c>
      <c r="AE136">
        <f t="shared" si="43"/>
        <v>68</v>
      </c>
      <c r="AF136" s="79">
        <f t="shared" si="44"/>
        <v>117.6</v>
      </c>
    </row>
    <row r="137" spans="1:32">
      <c r="A137" s="36">
        <v>134</v>
      </c>
      <c r="B137" s="69">
        <f>Level!B138-Level!B137</f>
        <v>62500</v>
      </c>
      <c r="C137" s="73">
        <f>Level!M137*VLOOKUP(A137,Plants!$C$4:$AH$47,32)*24+(27/Level!T137)</f>
        <v>5539.1197049525808</v>
      </c>
      <c r="D137" s="62">
        <f t="shared" si="45"/>
        <v>11.283381354643435</v>
      </c>
      <c r="E137" s="65">
        <f>SUM(D$4:D136)</f>
        <v>863.05714415692057</v>
      </c>
      <c r="F137" s="205">
        <f>Level!M137*VLOOKUP(A137,Plants!$C$4:$AI$47,33)*24*1.15+IF(VLOOKUP(A137,Goals!$AO$4:$AO$120,1)=A137,VLOOKUP(A137,Goals!$AO$4:$AQ$120,3)/D137,0)+VLOOKUP(A137,Level!$A$4:$C$203,3)/D137</f>
        <v>148100.97471022129</v>
      </c>
      <c r="G137" s="71">
        <f>Level!M137*VLOOKUP(A137,Plants!$C$4:$X$47,21)*24</f>
        <v>72000</v>
      </c>
      <c r="H137" s="63">
        <f t="shared" si="46"/>
        <v>0.86805555555555558</v>
      </c>
      <c r="I137" s="64">
        <f>SUM(H$4:H136)</f>
        <v>62.370580426523524</v>
      </c>
      <c r="J137" s="35">
        <f>Level!M137*VLOOKUP(A137,Plants!$C$4:$X$47,22)*24</f>
        <v>648000</v>
      </c>
      <c r="K137" s="239">
        <f t="shared" si="38"/>
        <v>1671080</v>
      </c>
      <c r="L137" s="239">
        <f>SUM($K$4:K137)</f>
        <v>88615028</v>
      </c>
      <c r="M137" s="239">
        <f t="shared" si="39"/>
        <v>562500</v>
      </c>
      <c r="N137" s="239">
        <f>SUM($M$4:M137)</f>
        <v>29654928</v>
      </c>
      <c r="O137">
        <f>ROUNDUP(MIN(50,ROUNDUP(A137/3,0),Level!M137)*Plants!Q$4*0.005,0)</f>
        <v>1</v>
      </c>
      <c r="P137">
        <f>ROUNDUP(MAX(4,MIN(A137,VLOOKUP(A137,Level!$A$4:$M$203,13))*MIN(4,ROUNDUP(VLOOKUP(A137,Background!$C$3:$D$52,2)/5,0)))*VLOOKUP(A137,Plants!$C$4:$AJ$53,30)*0.025,0)</f>
        <v>175</v>
      </c>
      <c r="Q137">
        <f t="shared" si="40"/>
        <v>88.5</v>
      </c>
      <c r="R137">
        <f>ROUND(MIN(50,ROUNDUP(A137/3,0),Level!M137)*Plants!R$4,0)</f>
        <v>225</v>
      </c>
      <c r="S137" s="153">
        <f>ROUNDUP(MAX(4,MIN(A137,VLOOKUP(A137,Level!$A$4:$M$203,13))*MIN(4,ROUNDUP(VLOOKUP(A137,Background!$C$3:$D$52,2)/5,0)))*VLOOKUP(A137,Plants!$C$4:$AJ$53,31)*1.25,0)</f>
        <v>197650</v>
      </c>
      <c r="T137" s="153">
        <f t="shared" si="41"/>
        <v>98937.5</v>
      </c>
      <c r="U137">
        <f>SUM($K$4:K137)</f>
        <v>88615028</v>
      </c>
      <c r="V137">
        <f>VLOOKUP(A137,Garden!$B$4:$P$19,15)</f>
        <v>15970400</v>
      </c>
      <c r="W137">
        <f>VLOOKUP(A137,Plots!$B$4:$U$39,20)</f>
        <v>27071200</v>
      </c>
      <c r="X137">
        <f>VLOOKUP(A137,'Decoration Background'!$A$2:$H$200,8)</f>
        <v>54947760</v>
      </c>
      <c r="Y137">
        <f t="shared" si="34"/>
        <v>-9374332</v>
      </c>
      <c r="Z137" s="158">
        <f t="shared" si="35"/>
        <v>1.105787158358738</v>
      </c>
      <c r="AA137">
        <f t="shared" si="36"/>
        <v>-17418010</v>
      </c>
      <c r="AB137" s="170">
        <f>MAX(0,(-Y137)/VLOOKUP($A137,Payment!$A$39:$G$239,7)*100)</f>
        <v>808.13206896551719</v>
      </c>
      <c r="AC137" s="138">
        <f t="shared" si="42"/>
        <v>1583.4554545454546</v>
      </c>
      <c r="AD137">
        <f t="shared" si="37"/>
        <v>27135</v>
      </c>
      <c r="AE137">
        <f t="shared" si="43"/>
        <v>63.3</v>
      </c>
      <c r="AF137" s="79">
        <f t="shared" si="44"/>
        <v>117.6</v>
      </c>
    </row>
    <row r="138" spans="1:32">
      <c r="A138" s="36">
        <v>135</v>
      </c>
      <c r="B138" s="69">
        <f>Level!B139-Level!B138</f>
        <v>63500</v>
      </c>
      <c r="C138" s="73">
        <f>Level!M138*VLOOKUP(A138,Plants!$C$4:$AH$47,32)*24+(27/Level!T138)</f>
        <v>5539.1197049525808</v>
      </c>
      <c r="D138" s="62">
        <f t="shared" si="45"/>
        <v>11.46391545631773</v>
      </c>
      <c r="E138" s="65">
        <f>SUM(D$4:D137)</f>
        <v>874.34052551156401</v>
      </c>
      <c r="F138" s="205">
        <f>Level!M138*VLOOKUP(A138,Plants!$C$4:$AI$47,33)*24*1.15+IF(VLOOKUP(A138,Goals!$AO$4:$AO$120,1)=A138,VLOOKUP(A138,Goals!$AO$4:$AQ$120,3)/D138,0)+VLOOKUP(A138,Level!$A$4:$C$203,3)/D138</f>
        <v>148100.97471022129</v>
      </c>
      <c r="G138" s="71">
        <f>Level!M138*VLOOKUP(A138,Plants!$C$4:$X$47,21)*24</f>
        <v>72000</v>
      </c>
      <c r="H138" s="63">
        <f t="shared" si="46"/>
        <v>0.88194444444444442</v>
      </c>
      <c r="I138" s="64">
        <f>SUM(H$4:H137)</f>
        <v>63.238635982079082</v>
      </c>
      <c r="J138" s="35">
        <f>Level!M138*VLOOKUP(A138,Plants!$C$4:$X$47,22)*24</f>
        <v>648000</v>
      </c>
      <c r="K138" s="239">
        <f t="shared" si="38"/>
        <v>1697817</v>
      </c>
      <c r="L138" s="239">
        <f>SUM($K$4:K138)</f>
        <v>90312845</v>
      </c>
      <c r="M138" s="239">
        <f t="shared" si="39"/>
        <v>571500</v>
      </c>
      <c r="N138" s="239">
        <f>SUM($M$4:M138)</f>
        <v>30226428</v>
      </c>
      <c r="O138">
        <f>ROUNDUP(MIN(50,ROUNDUP(A138/3,0),Level!M138)*Plants!Q$4*0.005,0)</f>
        <v>1</v>
      </c>
      <c r="P138">
        <f>ROUNDUP(MAX(4,MIN(A138,VLOOKUP(A138,Level!$A$4:$M$203,13))*MIN(4,ROUNDUP(VLOOKUP(A138,Background!$C$3:$D$52,2)/5,0)))*VLOOKUP(A138,Plants!$C$4:$AJ$53,30)*0.025,0)</f>
        <v>176</v>
      </c>
      <c r="Q138">
        <f t="shared" si="40"/>
        <v>89</v>
      </c>
      <c r="R138">
        <f>ROUND(MIN(50,ROUNDUP(A138/3,0),Level!M138)*Plants!R$4,0)</f>
        <v>225</v>
      </c>
      <c r="S138" s="153">
        <f>ROUNDUP(MAX(4,MIN(A138,VLOOKUP(A138,Level!$A$4:$M$203,13))*MIN(4,ROUNDUP(VLOOKUP(A138,Background!$C$3:$D$52,2)/5,0)))*VLOOKUP(A138,Plants!$C$4:$AJ$53,31)*1.25,0)</f>
        <v>199125</v>
      </c>
      <c r="T138" s="153">
        <f t="shared" si="41"/>
        <v>99675</v>
      </c>
      <c r="U138">
        <f>SUM($K$4:K138)</f>
        <v>90312845</v>
      </c>
      <c r="V138">
        <f>VLOOKUP(A138,Garden!$B$4:$P$19,15)</f>
        <v>15970400</v>
      </c>
      <c r="W138">
        <f>VLOOKUP(A138,Plots!$B$4:$U$39,20)</f>
        <v>27071200</v>
      </c>
      <c r="X138">
        <f>VLOOKUP(A138,'Decoration Background'!$A$2:$H$200,8)</f>
        <v>55926579</v>
      </c>
      <c r="Y138">
        <f t="shared" si="34"/>
        <v>-8655334</v>
      </c>
      <c r="Z138" s="158">
        <f t="shared" si="35"/>
        <v>1.0958372421996008</v>
      </c>
      <c r="AA138">
        <f t="shared" si="36"/>
        <v>-17418010</v>
      </c>
      <c r="AB138" s="170">
        <f>MAX(0,(-Y138)/VLOOKUP($A138,Payment!$A$39:$G$239,7)*100)</f>
        <v>746.14948275862071</v>
      </c>
      <c r="AC138" s="138">
        <f t="shared" si="42"/>
        <v>1583.4554545454546</v>
      </c>
      <c r="AD138">
        <f t="shared" si="37"/>
        <v>27540</v>
      </c>
      <c r="AE138">
        <f t="shared" si="43"/>
        <v>58.4</v>
      </c>
      <c r="AF138" s="79">
        <f t="shared" si="44"/>
        <v>117.6</v>
      </c>
    </row>
    <row r="139" spans="1:32">
      <c r="A139" s="36">
        <v>136</v>
      </c>
      <c r="B139" s="69">
        <f>Level!B140-Level!B139</f>
        <v>64500</v>
      </c>
      <c r="C139" s="73">
        <f>Level!M139*VLOOKUP(A139,Plants!$C$4:$AH$47,32)*24+(27/Level!T139)</f>
        <v>5539.1197049525808</v>
      </c>
      <c r="D139" s="62">
        <f t="shared" si="45"/>
        <v>11.644449557992026</v>
      </c>
      <c r="E139" s="65">
        <f>SUM(D$4:D138)</f>
        <v>885.80444096788176</v>
      </c>
      <c r="F139" s="205">
        <f>Level!M139*VLOOKUP(A139,Plants!$C$4:$AI$47,33)*24*1.15+IF(VLOOKUP(A139,Goals!$AO$4:$AO$120,1)=A139,VLOOKUP(A139,Goals!$AO$4:$AQ$120,3)/D139,0)+VLOOKUP(A139,Level!$A$4:$C$203,3)/D139</f>
        <v>148100.97471022129</v>
      </c>
      <c r="G139" s="71">
        <f>Level!M139*VLOOKUP(A139,Plants!$C$4:$X$47,21)*24</f>
        <v>72000</v>
      </c>
      <c r="H139" s="63">
        <f t="shared" si="46"/>
        <v>0.89583333333333337</v>
      </c>
      <c r="I139" s="64">
        <f>SUM(H$4:H138)</f>
        <v>64.120580426523532</v>
      </c>
      <c r="J139" s="35">
        <f>Level!M139*VLOOKUP(A139,Plants!$C$4:$X$47,22)*24</f>
        <v>648000</v>
      </c>
      <c r="K139" s="239">
        <f t="shared" si="38"/>
        <v>1724554</v>
      </c>
      <c r="L139" s="239">
        <f>SUM($K$4:K139)</f>
        <v>92037399</v>
      </c>
      <c r="M139" s="239">
        <f t="shared" si="39"/>
        <v>580500</v>
      </c>
      <c r="N139" s="239">
        <f>SUM($M$4:M139)</f>
        <v>30806928</v>
      </c>
      <c r="O139">
        <f>ROUNDUP(MIN(50,ROUNDUP(A139/3,0),Level!M139)*Plants!Q$4*0.005,0)</f>
        <v>1</v>
      </c>
      <c r="P139">
        <f>ROUNDUP(MAX(4,MIN(A139,VLOOKUP(A139,Level!$A$4:$M$203,13))*MIN(4,ROUNDUP(VLOOKUP(A139,Background!$C$3:$D$52,2)/5,0)))*VLOOKUP(A139,Plants!$C$4:$AJ$53,30)*0.025,0)</f>
        <v>177</v>
      </c>
      <c r="Q139">
        <f t="shared" si="40"/>
        <v>89.5</v>
      </c>
      <c r="R139">
        <f>ROUND(MIN(50,ROUNDUP(A139/3,0),Level!M139)*Plants!R$4,0)</f>
        <v>230</v>
      </c>
      <c r="S139" s="153">
        <f>ROUNDUP(MAX(4,MIN(A139,VLOOKUP(A139,Level!$A$4:$M$203,13))*MIN(4,ROUNDUP(VLOOKUP(A139,Background!$C$3:$D$52,2)/5,0)))*VLOOKUP(A139,Plants!$C$4:$AJ$53,31)*1.25,0)</f>
        <v>200600</v>
      </c>
      <c r="T139" s="153">
        <f t="shared" si="41"/>
        <v>100415</v>
      </c>
      <c r="U139">
        <f>SUM($K$4:K139)</f>
        <v>92037399</v>
      </c>
      <c r="V139">
        <f>VLOOKUP(A139,Garden!$B$4:$P$19,15)</f>
        <v>15970400</v>
      </c>
      <c r="W139">
        <f>VLOOKUP(A139,Plots!$B$4:$U$39,20)</f>
        <v>27071200</v>
      </c>
      <c r="X139">
        <f>VLOOKUP(A139,'Decoration Background'!$A$2:$H$200,8)</f>
        <v>56912748</v>
      </c>
      <c r="Y139">
        <f t="shared" si="34"/>
        <v>-7916949</v>
      </c>
      <c r="Z139" s="158">
        <f t="shared" si="35"/>
        <v>1.0860188258905492</v>
      </c>
      <c r="AA139">
        <f t="shared" si="36"/>
        <v>-17418010</v>
      </c>
      <c r="AB139" s="170">
        <f>MAX(0,(-Y139)/VLOOKUP($A139,Payment!$A$39:$G$239,7)*100)</f>
        <v>670.92788135593219</v>
      </c>
      <c r="AC139" s="138">
        <f t="shared" si="42"/>
        <v>1583.4554545454546</v>
      </c>
      <c r="AD139">
        <f t="shared" si="37"/>
        <v>27948</v>
      </c>
      <c r="AE139">
        <f t="shared" si="43"/>
        <v>53.5</v>
      </c>
      <c r="AF139" s="79">
        <f t="shared" si="44"/>
        <v>117.6</v>
      </c>
    </row>
    <row r="140" spans="1:32">
      <c r="A140" s="36">
        <v>137</v>
      </c>
      <c r="B140" s="69">
        <f>Level!B141-Level!B140</f>
        <v>65500</v>
      </c>
      <c r="C140" s="73">
        <f>Level!M140*VLOOKUP(A140,Plants!$C$4:$AH$47,32)*24+(27/Level!T140)</f>
        <v>5539.1197049525808</v>
      </c>
      <c r="D140" s="62">
        <f t="shared" si="45"/>
        <v>11.824983659666321</v>
      </c>
      <c r="E140" s="65">
        <f>SUM(D$4:D139)</f>
        <v>897.44889052587382</v>
      </c>
      <c r="F140" s="205">
        <f>Level!M140*VLOOKUP(A140,Plants!$C$4:$AI$47,33)*24*1.15+IF(VLOOKUP(A140,Goals!$AO$4:$AO$120,1)=A140,VLOOKUP(A140,Goals!$AO$4:$AQ$120,3)/D140,0)+VLOOKUP(A140,Level!$A$4:$C$203,3)/D140</f>
        <v>148100.97471022129</v>
      </c>
      <c r="G140" s="71">
        <f>Level!M140*VLOOKUP(A140,Plants!$C$4:$X$47,21)*24</f>
        <v>72000</v>
      </c>
      <c r="H140" s="63">
        <f t="shared" si="46"/>
        <v>0.90972222222222221</v>
      </c>
      <c r="I140" s="64">
        <f>SUM(H$4:H139)</f>
        <v>65.01641375985686</v>
      </c>
      <c r="J140" s="35">
        <f>Level!M140*VLOOKUP(A140,Plants!$C$4:$X$47,22)*24</f>
        <v>648000</v>
      </c>
      <c r="K140" s="239">
        <f t="shared" si="38"/>
        <v>1751292</v>
      </c>
      <c r="L140" s="239">
        <f>SUM($K$4:K140)</f>
        <v>93788691</v>
      </c>
      <c r="M140" s="239">
        <f t="shared" si="39"/>
        <v>589500</v>
      </c>
      <c r="N140" s="239">
        <f>SUM($M$4:M140)</f>
        <v>31396428</v>
      </c>
      <c r="O140">
        <f>ROUNDUP(MIN(50,ROUNDUP(A140/3,0),Level!M140)*Plants!Q$4*0.005,0)</f>
        <v>1</v>
      </c>
      <c r="P140">
        <f>ROUNDUP(MAX(4,MIN(A140,VLOOKUP(A140,Level!$A$4:$M$203,13))*MIN(4,ROUNDUP(VLOOKUP(A140,Background!$C$3:$D$52,2)/5,0)))*VLOOKUP(A140,Plants!$C$4:$AJ$53,30)*0.025,0)</f>
        <v>179</v>
      </c>
      <c r="Q140">
        <f t="shared" si="40"/>
        <v>90.5</v>
      </c>
      <c r="R140">
        <f>ROUND(MIN(50,ROUNDUP(A140/3,0),Level!M140)*Plants!R$4,0)</f>
        <v>230</v>
      </c>
      <c r="S140" s="153">
        <f>ROUNDUP(MAX(4,MIN(A140,VLOOKUP(A140,Level!$A$4:$M$203,13))*MIN(4,ROUNDUP(VLOOKUP(A140,Background!$C$3:$D$52,2)/5,0)))*VLOOKUP(A140,Plants!$C$4:$AJ$53,31)*1.25,0)</f>
        <v>202075</v>
      </c>
      <c r="T140" s="153">
        <f t="shared" si="41"/>
        <v>101152.5</v>
      </c>
      <c r="U140">
        <f>SUM($K$4:K140)</f>
        <v>93788691</v>
      </c>
      <c r="V140">
        <f>VLOOKUP(A140,Garden!$B$4:$P$19,15)</f>
        <v>15970400</v>
      </c>
      <c r="W140">
        <f>VLOOKUP(A140,Plots!$B$4:$U$39,20)</f>
        <v>27071200</v>
      </c>
      <c r="X140">
        <f>VLOOKUP(A140,'Decoration Background'!$A$2:$H$200,8)</f>
        <v>57906267</v>
      </c>
      <c r="Y140">
        <f t="shared" si="34"/>
        <v>-7159176</v>
      </c>
      <c r="Z140" s="158">
        <f t="shared" si="35"/>
        <v>1.0763330410486271</v>
      </c>
      <c r="AA140">
        <f t="shared" si="36"/>
        <v>-17418010</v>
      </c>
      <c r="AB140" s="170">
        <f>MAX(0,(-Y140)/VLOOKUP($A140,Payment!$A$39:$G$239,7)*100)</f>
        <v>606.70983050847451</v>
      </c>
      <c r="AC140" s="138">
        <f t="shared" si="42"/>
        <v>1583.4554545454546</v>
      </c>
      <c r="AD140">
        <f t="shared" si="37"/>
        <v>28359</v>
      </c>
      <c r="AE140">
        <f t="shared" si="43"/>
        <v>48.3</v>
      </c>
      <c r="AF140" s="79">
        <f t="shared" si="44"/>
        <v>117.6</v>
      </c>
    </row>
    <row r="141" spans="1:32">
      <c r="A141" s="36">
        <v>138</v>
      </c>
      <c r="B141" s="69">
        <f>Level!B142-Level!B141</f>
        <v>66500</v>
      </c>
      <c r="C141" s="73">
        <f>Level!M141*VLOOKUP(A141,Plants!$C$4:$AH$47,32)*24+(27/Level!T141)</f>
        <v>5539.1197049525808</v>
      </c>
      <c r="D141" s="62">
        <f t="shared" si="45"/>
        <v>12.005517761340617</v>
      </c>
      <c r="E141" s="65">
        <f>SUM(D$4:D140)</f>
        <v>909.27387418554019</v>
      </c>
      <c r="F141" s="205">
        <f>Level!M141*VLOOKUP(A141,Plants!$C$4:$AI$47,33)*24*1.15+IF(VLOOKUP(A141,Goals!$AO$4:$AO$120,1)=A141,VLOOKUP(A141,Goals!$AO$4:$AQ$120,3)/D141,0)+VLOOKUP(A141,Level!$A$4:$C$203,3)/D141</f>
        <v>148100.97471022129</v>
      </c>
      <c r="G141" s="71">
        <f>Level!M141*VLOOKUP(A141,Plants!$C$4:$X$47,21)*24</f>
        <v>72000</v>
      </c>
      <c r="H141" s="63">
        <f t="shared" si="46"/>
        <v>0.92361111111111116</v>
      </c>
      <c r="I141" s="64">
        <f>SUM(H$4:H140)</f>
        <v>65.926135982079089</v>
      </c>
      <c r="J141" s="35">
        <f>Level!M141*VLOOKUP(A141,Plants!$C$4:$X$47,22)*24</f>
        <v>648000</v>
      </c>
      <c r="K141" s="239">
        <f t="shared" si="38"/>
        <v>1778029</v>
      </c>
      <c r="L141" s="239">
        <f>SUM($K$4:K141)</f>
        <v>95566720</v>
      </c>
      <c r="M141" s="239">
        <f t="shared" si="39"/>
        <v>598500</v>
      </c>
      <c r="N141" s="239">
        <f>SUM($M$4:M141)</f>
        <v>31994928</v>
      </c>
      <c r="O141">
        <f>ROUNDUP(MIN(50,ROUNDUP(A141/3,0),Level!M141)*Plants!Q$4*0.005,0)</f>
        <v>1</v>
      </c>
      <c r="P141">
        <f>ROUNDUP(MAX(4,MIN(A141,VLOOKUP(A141,Level!$A$4:$M$203,13))*MIN(4,ROUNDUP(VLOOKUP(A141,Background!$C$3:$D$52,2)/5,0)))*VLOOKUP(A141,Plants!$C$4:$AJ$53,30)*0.025,0)</f>
        <v>180</v>
      </c>
      <c r="Q141">
        <f t="shared" si="40"/>
        <v>91</v>
      </c>
      <c r="R141">
        <f>ROUND(MIN(50,ROUNDUP(A141/3,0),Level!M141)*Plants!R$4,0)</f>
        <v>230</v>
      </c>
      <c r="S141" s="153">
        <f>ROUNDUP(MAX(4,MIN(A141,VLOOKUP(A141,Level!$A$4:$M$203,13))*MIN(4,ROUNDUP(VLOOKUP(A141,Background!$C$3:$D$52,2)/5,0)))*VLOOKUP(A141,Plants!$C$4:$AJ$53,31)*1.25,0)</f>
        <v>203550</v>
      </c>
      <c r="T141" s="153">
        <f t="shared" si="41"/>
        <v>101890</v>
      </c>
      <c r="U141">
        <f>SUM($K$4:K141)</f>
        <v>95566720</v>
      </c>
      <c r="V141">
        <f>VLOOKUP(A141,Garden!$B$4:$P$19,15)</f>
        <v>15970400</v>
      </c>
      <c r="W141">
        <f>VLOOKUP(A141,Plots!$B$4:$U$39,20)</f>
        <v>27071200</v>
      </c>
      <c r="X141">
        <f>VLOOKUP(A141,'Decoration Background'!$A$2:$H$200,8)</f>
        <v>58907136</v>
      </c>
      <c r="Y141">
        <f t="shared" si="34"/>
        <v>-6382016</v>
      </c>
      <c r="Z141" s="158">
        <f t="shared" si="35"/>
        <v>1.0667807370599305</v>
      </c>
      <c r="AA141">
        <f t="shared" si="36"/>
        <v>-17418010</v>
      </c>
      <c r="AB141" s="170">
        <f>MAX(0,(-Y141)/VLOOKUP($A141,Payment!$A$39:$G$239,7)*100)</f>
        <v>540.84881355932202</v>
      </c>
      <c r="AC141" s="138">
        <f t="shared" si="42"/>
        <v>1583.4554545454546</v>
      </c>
      <c r="AD141">
        <f t="shared" si="37"/>
        <v>28773</v>
      </c>
      <c r="AE141">
        <f t="shared" si="43"/>
        <v>43.1</v>
      </c>
      <c r="AF141" s="79">
        <f t="shared" si="44"/>
        <v>117.6</v>
      </c>
    </row>
    <row r="142" spans="1:32">
      <c r="A142" s="36">
        <v>139</v>
      </c>
      <c r="B142" s="69">
        <f>Level!B143-Level!B142</f>
        <v>67500</v>
      </c>
      <c r="C142" s="73">
        <f>Level!M142*VLOOKUP(A142,Plants!$C$4:$AH$47,32)*24+(27/Level!T142)</f>
        <v>5539.1197049525808</v>
      </c>
      <c r="D142" s="62">
        <f t="shared" si="45"/>
        <v>12.18605186301491</v>
      </c>
      <c r="E142" s="65">
        <f>SUM(D$4:D141)</f>
        <v>921.27939194688076</v>
      </c>
      <c r="F142" s="205">
        <f>Level!M142*VLOOKUP(A142,Plants!$C$4:$AI$47,33)*24*1.15+IF(VLOOKUP(A142,Goals!$AO$4:$AO$120,1)=A142,VLOOKUP(A142,Goals!$AO$4:$AQ$120,3)/D142,0)+VLOOKUP(A142,Level!$A$4:$C$203,3)/D142</f>
        <v>148100.97471022129</v>
      </c>
      <c r="G142" s="71">
        <f>Level!M142*VLOOKUP(A142,Plants!$C$4:$X$47,21)*24</f>
        <v>72000</v>
      </c>
      <c r="H142" s="63">
        <f t="shared" si="46"/>
        <v>0.9375</v>
      </c>
      <c r="I142" s="64">
        <f>SUM(H$4:H141)</f>
        <v>66.849747093190203</v>
      </c>
      <c r="J142" s="35">
        <f>Level!M142*VLOOKUP(A142,Plants!$C$4:$X$47,22)*24</f>
        <v>648000</v>
      </c>
      <c r="K142" s="239">
        <f t="shared" si="38"/>
        <v>1804766</v>
      </c>
      <c r="L142" s="239">
        <f>SUM($K$4:K142)</f>
        <v>97371486</v>
      </c>
      <c r="M142" s="239">
        <f t="shared" si="39"/>
        <v>607500</v>
      </c>
      <c r="N142" s="239">
        <f>SUM($M$4:M142)</f>
        <v>32602428</v>
      </c>
      <c r="O142">
        <f>ROUNDUP(MIN(50,ROUNDUP(A142/3,0),Level!M142)*Plants!Q$4*0.005,0)</f>
        <v>1</v>
      </c>
      <c r="P142">
        <f>ROUNDUP(MAX(4,MIN(A142,VLOOKUP(A142,Level!$A$4:$M$203,13))*MIN(4,ROUNDUP(VLOOKUP(A142,Background!$C$3:$D$52,2)/5,0)))*VLOOKUP(A142,Plants!$C$4:$AJ$53,30)*0.025,0)</f>
        <v>181</v>
      </c>
      <c r="Q142">
        <f t="shared" si="40"/>
        <v>91.5</v>
      </c>
      <c r="R142">
        <f>ROUND(MIN(50,ROUNDUP(A142/3,0),Level!M142)*Plants!R$4,0)</f>
        <v>235</v>
      </c>
      <c r="S142" s="153">
        <f>ROUNDUP(MAX(4,MIN(A142,VLOOKUP(A142,Level!$A$4:$M$203,13))*MIN(4,ROUNDUP(VLOOKUP(A142,Background!$C$3:$D$52,2)/5,0)))*VLOOKUP(A142,Plants!$C$4:$AJ$53,31)*1.25,0)</f>
        <v>205025</v>
      </c>
      <c r="T142" s="153">
        <f t="shared" si="41"/>
        <v>102630</v>
      </c>
      <c r="U142">
        <f>SUM($K$4:K142)</f>
        <v>97371486</v>
      </c>
      <c r="V142">
        <f>VLOOKUP(A142,Garden!$B$4:$P$19,15)</f>
        <v>15970400</v>
      </c>
      <c r="W142">
        <f>VLOOKUP(A142,Plots!$B$4:$U$39,20)</f>
        <v>27071200</v>
      </c>
      <c r="X142">
        <f>VLOOKUP(A142,'Decoration Background'!$A$2:$H$200,8)</f>
        <v>59915355</v>
      </c>
      <c r="Y142">
        <f t="shared" si="34"/>
        <v>-5585469</v>
      </c>
      <c r="Z142" s="158">
        <f t="shared" si="35"/>
        <v>1.0573624705696696</v>
      </c>
      <c r="AA142">
        <f t="shared" si="36"/>
        <v>-17418010</v>
      </c>
      <c r="AB142" s="170">
        <f>MAX(0,(-Y142)/VLOOKUP($A142,Payment!$A$39:$G$239,7)*100)</f>
        <v>473.34483050847462</v>
      </c>
      <c r="AC142" s="138">
        <f t="shared" si="42"/>
        <v>1583.4554545454546</v>
      </c>
      <c r="AD142">
        <f t="shared" si="37"/>
        <v>29190</v>
      </c>
      <c r="AE142">
        <f t="shared" si="43"/>
        <v>37.700000000000003</v>
      </c>
      <c r="AF142" s="79">
        <f t="shared" si="44"/>
        <v>117.6</v>
      </c>
    </row>
    <row r="143" spans="1:32">
      <c r="A143" s="36">
        <v>140</v>
      </c>
      <c r="B143" s="69">
        <f>Level!B144-Level!B143</f>
        <v>68500</v>
      </c>
      <c r="C143" s="73">
        <f>Level!M143*VLOOKUP(A143,Plants!$C$4:$AH$47,32)*24+(27/Level!T143)</f>
        <v>5539.1197049525808</v>
      </c>
      <c r="D143" s="62">
        <f t="shared" si="45"/>
        <v>12.366585964689206</v>
      </c>
      <c r="E143" s="65">
        <f>SUM(D$4:D142)</f>
        <v>933.46544380989565</v>
      </c>
      <c r="F143" s="205">
        <f>Level!M143*VLOOKUP(A143,Plants!$C$4:$AI$47,33)*24*1.15+IF(VLOOKUP(A143,Goals!$AO$4:$AO$120,1)=A143,VLOOKUP(A143,Goals!$AO$4:$AQ$120,3)/D143,0)+VLOOKUP(A143,Level!$A$4:$C$203,3)/D143</f>
        <v>148100.97471022129</v>
      </c>
      <c r="G143" s="71">
        <f>Level!M143*VLOOKUP(A143,Plants!$C$4:$X$47,21)*24</f>
        <v>72000</v>
      </c>
      <c r="H143" s="63">
        <f t="shared" si="46"/>
        <v>0.95138888888888884</v>
      </c>
      <c r="I143" s="64">
        <f>SUM(H$4:H142)</f>
        <v>67.787247093190203</v>
      </c>
      <c r="J143" s="35">
        <f>Level!M143*VLOOKUP(A143,Plants!$C$4:$X$47,22)*24</f>
        <v>648000</v>
      </c>
      <c r="K143" s="239">
        <f t="shared" si="38"/>
        <v>1831503</v>
      </c>
      <c r="L143" s="239">
        <f>SUM($K$4:K143)</f>
        <v>99202989</v>
      </c>
      <c r="M143" s="239">
        <f t="shared" si="39"/>
        <v>616500</v>
      </c>
      <c r="N143" s="239">
        <f>SUM($M$4:M143)</f>
        <v>33218928</v>
      </c>
      <c r="O143">
        <f>ROUNDUP(MIN(50,ROUNDUP(A143/3,0),Level!M143)*Plants!Q$4*0.005,0)</f>
        <v>1</v>
      </c>
      <c r="P143">
        <f>ROUNDUP(MAX(4,MIN(A143,VLOOKUP(A143,Level!$A$4:$M$203,13))*MIN(4,ROUNDUP(VLOOKUP(A143,Background!$C$3:$D$52,2)/5,0)))*VLOOKUP(A143,Plants!$C$4:$AJ$53,30)*0.025,0)</f>
        <v>182</v>
      </c>
      <c r="Q143">
        <f t="shared" si="40"/>
        <v>92</v>
      </c>
      <c r="R143">
        <f>ROUND(MIN(50,ROUNDUP(A143/3,0),Level!M143)*Plants!R$4,0)</f>
        <v>235</v>
      </c>
      <c r="S143" s="153">
        <f>ROUNDUP(MAX(4,MIN(A143,VLOOKUP(A143,Level!$A$4:$M$203,13))*MIN(4,ROUNDUP(VLOOKUP(A143,Background!$C$3:$D$52,2)/5,0)))*VLOOKUP(A143,Plants!$C$4:$AJ$53,31)*1.25,0)</f>
        <v>206500</v>
      </c>
      <c r="T143" s="153">
        <f t="shared" si="41"/>
        <v>103367.5</v>
      </c>
      <c r="U143">
        <f>SUM($K$4:K143)</f>
        <v>99202989</v>
      </c>
      <c r="V143">
        <f>VLOOKUP(A143,Garden!$B$4:$P$19,15)</f>
        <v>15970400</v>
      </c>
      <c r="W143">
        <f>VLOOKUP(A143,Plots!$B$4:$U$39,20)</f>
        <v>27071200</v>
      </c>
      <c r="X143">
        <f>VLOOKUP(A143,'Decoration Background'!$A$2:$H$200,8)</f>
        <v>60930924</v>
      </c>
      <c r="Y143">
        <f t="shared" si="34"/>
        <v>-4769535</v>
      </c>
      <c r="Z143" s="158">
        <f t="shared" si="35"/>
        <v>1.0480785412625018</v>
      </c>
      <c r="AA143">
        <f t="shared" si="36"/>
        <v>-17418010</v>
      </c>
      <c r="AB143" s="170">
        <f>MAX(0,(-Y143)/VLOOKUP($A143,Payment!$A$39:$G$239,7)*100)</f>
        <v>397.46125000000001</v>
      </c>
      <c r="AC143" s="138">
        <f t="shared" si="42"/>
        <v>1583.4554545454546</v>
      </c>
      <c r="AD143">
        <f t="shared" si="37"/>
        <v>29610</v>
      </c>
      <c r="AE143">
        <f t="shared" si="43"/>
        <v>32.200000000000003</v>
      </c>
      <c r="AF143" s="79">
        <f t="shared" si="44"/>
        <v>117.6</v>
      </c>
    </row>
    <row r="144" spans="1:32">
      <c r="A144" s="36">
        <v>141</v>
      </c>
      <c r="B144" s="69">
        <f>Level!B145-Level!B144</f>
        <v>69500</v>
      </c>
      <c r="C144" s="73">
        <f>Level!M144*VLOOKUP(A144,Plants!$C$4:$AH$47,32)*24+(27/Level!T144)</f>
        <v>5539.1197049525808</v>
      </c>
      <c r="D144" s="62">
        <f t="shared" si="45"/>
        <v>12.547120066363501</v>
      </c>
      <c r="E144" s="65">
        <f>SUM(D$4:D143)</f>
        <v>945.83202977458484</v>
      </c>
      <c r="F144" s="205">
        <f>Level!M144*VLOOKUP(A144,Plants!$C$4:$AI$47,33)*24*1.15+IF(VLOOKUP(A144,Goals!$AO$4:$AO$120,1)=A144,VLOOKUP(A144,Goals!$AO$4:$AQ$120,3)/D144,0)+VLOOKUP(A144,Level!$A$4:$C$203,3)/D144</f>
        <v>148100.97471022129</v>
      </c>
      <c r="G144" s="71">
        <f>Level!M144*VLOOKUP(A144,Plants!$C$4:$X$47,21)*24</f>
        <v>72000</v>
      </c>
      <c r="H144" s="63">
        <f t="shared" si="46"/>
        <v>0.96527777777777779</v>
      </c>
      <c r="I144" s="64">
        <f>SUM(H$4:H143)</f>
        <v>68.738635982079089</v>
      </c>
      <c r="J144" s="35">
        <f>Level!M144*VLOOKUP(A144,Plants!$C$4:$X$47,22)*24</f>
        <v>648000</v>
      </c>
      <c r="K144" s="239">
        <f t="shared" si="38"/>
        <v>1858241</v>
      </c>
      <c r="L144" s="239">
        <f>SUM($K$4:K144)</f>
        <v>101061230</v>
      </c>
      <c r="M144" s="239">
        <f t="shared" si="39"/>
        <v>625500</v>
      </c>
      <c r="N144" s="239">
        <f>SUM($M$4:M144)</f>
        <v>33844428</v>
      </c>
      <c r="O144">
        <f>ROUNDUP(MIN(50,ROUNDUP(A144/3,0),Level!M144)*Plants!Q$4*0.005,0)</f>
        <v>1</v>
      </c>
      <c r="P144">
        <f>ROUNDUP(MAX(4,MIN(A144,VLOOKUP(A144,Level!$A$4:$M$203,13))*MIN(4,ROUNDUP(VLOOKUP(A144,Background!$C$3:$D$52,2)/5,0)))*VLOOKUP(A144,Plants!$C$4:$AJ$53,30)*0.025,0)</f>
        <v>184</v>
      </c>
      <c r="Q144">
        <f t="shared" si="40"/>
        <v>93</v>
      </c>
      <c r="R144">
        <f>ROUND(MIN(50,ROUNDUP(A144/3,0),Level!M144)*Plants!R$4,0)</f>
        <v>235</v>
      </c>
      <c r="S144" s="153">
        <f>ROUNDUP(MAX(4,MIN(A144,VLOOKUP(A144,Level!$A$4:$M$203,13))*MIN(4,ROUNDUP(VLOOKUP(A144,Background!$C$3:$D$52,2)/5,0)))*VLOOKUP(A144,Plants!$C$4:$AJ$53,31)*1.25,0)</f>
        <v>207975</v>
      </c>
      <c r="T144" s="153">
        <f t="shared" si="41"/>
        <v>104105</v>
      </c>
      <c r="U144">
        <f>SUM($K$4:K144)</f>
        <v>101061230</v>
      </c>
      <c r="V144">
        <f>VLOOKUP(A144,Garden!$B$4:$P$19,15)</f>
        <v>15970400</v>
      </c>
      <c r="W144">
        <f>VLOOKUP(A144,Plots!$B$4:$U$39,20)</f>
        <v>27071200</v>
      </c>
      <c r="X144">
        <f>VLOOKUP(A144,'Decoration Background'!$A$2:$H$200,8)</f>
        <v>61953843</v>
      </c>
      <c r="Y144">
        <f t="shared" si="34"/>
        <v>-3934213</v>
      </c>
      <c r="Z144" s="158">
        <f t="shared" si="35"/>
        <v>1.0389290037336771</v>
      </c>
      <c r="AA144">
        <f t="shared" si="36"/>
        <v>-17418010</v>
      </c>
      <c r="AB144" s="170">
        <f>MAX(0,(-Y144)/VLOOKUP($A144,Payment!$A$39:$G$239,7)*100)</f>
        <v>327.85108333333335</v>
      </c>
      <c r="AC144" s="138">
        <f t="shared" si="42"/>
        <v>1583.4554545454546</v>
      </c>
      <c r="AD144">
        <f t="shared" si="37"/>
        <v>30033</v>
      </c>
      <c r="AE144">
        <f t="shared" si="43"/>
        <v>26.6</v>
      </c>
      <c r="AF144" s="79">
        <f t="shared" si="44"/>
        <v>117.6</v>
      </c>
    </row>
    <row r="145" spans="1:32">
      <c r="A145" s="36">
        <v>142</v>
      </c>
      <c r="B145" s="69">
        <f>Level!B146-Level!B145</f>
        <v>70500</v>
      </c>
      <c r="C145" s="73">
        <f>Level!M145*VLOOKUP(A145,Plants!$C$4:$AH$47,32)*24+(27/Level!T145)</f>
        <v>5539.1197049525808</v>
      </c>
      <c r="D145" s="62">
        <f t="shared" si="45"/>
        <v>12.727654168037796</v>
      </c>
      <c r="E145" s="65">
        <f>SUM(D$4:D144)</f>
        <v>958.37914984094834</v>
      </c>
      <c r="F145" s="205">
        <f>Level!M145*VLOOKUP(A145,Plants!$C$4:$AI$47,33)*24*1.15+IF(VLOOKUP(A145,Goals!$AO$4:$AO$120,1)=A145,VLOOKUP(A145,Goals!$AO$4:$AQ$120,3)/D145,0)+VLOOKUP(A145,Level!$A$4:$C$203,3)/D145</f>
        <v>148100.97471022129</v>
      </c>
      <c r="G145" s="71">
        <f>Level!M145*VLOOKUP(A145,Plants!$C$4:$X$47,21)*24</f>
        <v>72000</v>
      </c>
      <c r="H145" s="63">
        <f t="shared" si="46"/>
        <v>0.97916666666666663</v>
      </c>
      <c r="I145" s="64">
        <f>SUM(H$4:H144)</f>
        <v>69.70391375985686</v>
      </c>
      <c r="J145" s="35">
        <f>Level!M145*VLOOKUP(A145,Plants!$C$4:$X$47,22)*24</f>
        <v>648000</v>
      </c>
      <c r="K145" s="239">
        <f t="shared" si="38"/>
        <v>1884978</v>
      </c>
      <c r="L145" s="239">
        <f>SUM($K$4:K145)</f>
        <v>102946208</v>
      </c>
      <c r="M145" s="239">
        <f t="shared" si="39"/>
        <v>634500</v>
      </c>
      <c r="N145" s="239">
        <f>SUM($M$4:M145)</f>
        <v>34478928</v>
      </c>
      <c r="O145">
        <f>ROUNDUP(MIN(50,ROUNDUP(A145/3,0),Level!M145)*Plants!Q$4*0.005,0)</f>
        <v>1</v>
      </c>
      <c r="P145">
        <f>ROUNDUP(MAX(4,MIN(A145,VLOOKUP(A145,Level!$A$4:$M$203,13))*MIN(4,ROUNDUP(VLOOKUP(A145,Background!$C$3:$D$52,2)/5,0)))*VLOOKUP(A145,Plants!$C$4:$AJ$53,30)*0.025,0)</f>
        <v>185</v>
      </c>
      <c r="Q145">
        <f t="shared" si="40"/>
        <v>93.5</v>
      </c>
      <c r="R145">
        <f>ROUND(MIN(50,ROUNDUP(A145/3,0),Level!M145)*Plants!R$4,0)</f>
        <v>240</v>
      </c>
      <c r="S145" s="153">
        <f>ROUNDUP(MAX(4,MIN(A145,VLOOKUP(A145,Level!$A$4:$M$203,13))*MIN(4,ROUNDUP(VLOOKUP(A145,Background!$C$3:$D$52,2)/5,0)))*VLOOKUP(A145,Plants!$C$4:$AJ$53,31)*1.25,0)</f>
        <v>209450</v>
      </c>
      <c r="T145" s="153">
        <f t="shared" si="41"/>
        <v>104845</v>
      </c>
      <c r="U145">
        <f>SUM($K$4:K145)</f>
        <v>102946208</v>
      </c>
      <c r="V145">
        <f>VLOOKUP(A145,Garden!$B$4:$P$19,15)</f>
        <v>15970400</v>
      </c>
      <c r="W145">
        <f>VLOOKUP(A145,Plots!$B$4:$U$39,20)</f>
        <v>27071200</v>
      </c>
      <c r="X145">
        <f>VLOOKUP(A145,'Decoration Background'!$A$2:$H$200,8)</f>
        <v>62984112</v>
      </c>
      <c r="Y145">
        <f t="shared" si="34"/>
        <v>-3079504</v>
      </c>
      <c r="Z145" s="158">
        <f t="shared" si="35"/>
        <v>1.0299137196000459</v>
      </c>
      <c r="AA145">
        <f t="shared" si="36"/>
        <v>-17418010</v>
      </c>
      <c r="AB145" s="170">
        <f>MAX(0,(-Y145)/VLOOKUP($A145,Payment!$A$39:$G$239,7)*100)</f>
        <v>256.62533333333334</v>
      </c>
      <c r="AC145" s="138">
        <f t="shared" si="42"/>
        <v>1583.4554545454546</v>
      </c>
      <c r="AD145">
        <f t="shared" si="37"/>
        <v>30459</v>
      </c>
      <c r="AE145">
        <f t="shared" si="43"/>
        <v>20.8</v>
      </c>
      <c r="AF145" s="79">
        <f t="shared" si="44"/>
        <v>117.6</v>
      </c>
    </row>
    <row r="146" spans="1:32">
      <c r="A146" s="36">
        <v>143</v>
      </c>
      <c r="B146" s="69">
        <f>Level!B147-Level!B146</f>
        <v>71500</v>
      </c>
      <c r="C146" s="73">
        <f>Level!M146*VLOOKUP(A146,Plants!$C$4:$AH$47,32)*24+(27/Level!T146)</f>
        <v>5539.1197049525808</v>
      </c>
      <c r="D146" s="62">
        <f t="shared" si="45"/>
        <v>12.90818826971209</v>
      </c>
      <c r="E146" s="65">
        <f>SUM(D$4:D145)</f>
        <v>971.10680400898616</v>
      </c>
      <c r="F146" s="205">
        <f>Level!M146*VLOOKUP(A146,Plants!$C$4:$AI$47,33)*24*1.15+IF(VLOOKUP(A146,Goals!$AO$4:$AO$120,1)=A146,VLOOKUP(A146,Goals!$AO$4:$AQ$120,3)/D146,0)+VLOOKUP(A146,Level!$A$4:$C$203,3)/D146</f>
        <v>148100.97471022129</v>
      </c>
      <c r="G146" s="71">
        <f>Level!M146*VLOOKUP(A146,Plants!$C$4:$X$47,21)*24</f>
        <v>72000</v>
      </c>
      <c r="H146" s="63">
        <f t="shared" si="46"/>
        <v>0.99305555555555558</v>
      </c>
      <c r="I146" s="64">
        <f>SUM(H$4:H145)</f>
        <v>70.683080426523532</v>
      </c>
      <c r="J146" s="35">
        <f>Level!M146*VLOOKUP(A146,Plants!$C$4:$X$47,22)*24</f>
        <v>648000</v>
      </c>
      <c r="K146" s="239">
        <f t="shared" si="38"/>
        <v>1911715</v>
      </c>
      <c r="L146" s="239">
        <f>SUM($K$4:K146)</f>
        <v>104857923</v>
      </c>
      <c r="M146" s="239">
        <f t="shared" si="39"/>
        <v>643500</v>
      </c>
      <c r="N146" s="239">
        <f>SUM($M$4:M146)</f>
        <v>35122428</v>
      </c>
      <c r="O146">
        <f>ROUNDUP(MIN(50,ROUNDUP(A146/3,0),Level!M146)*Plants!Q$4*0.005,0)</f>
        <v>1</v>
      </c>
      <c r="P146">
        <f>ROUNDUP(MAX(4,MIN(A146,VLOOKUP(A146,Level!$A$4:$M$203,13))*MIN(4,ROUNDUP(VLOOKUP(A146,Background!$C$3:$D$52,2)/5,0)))*VLOOKUP(A146,Plants!$C$4:$AJ$53,30)*0.025,0)</f>
        <v>186</v>
      </c>
      <c r="Q146">
        <f t="shared" si="40"/>
        <v>94</v>
      </c>
      <c r="R146">
        <f>ROUND(MIN(50,ROUNDUP(A146/3,0),Level!M146)*Plants!R$4,0)</f>
        <v>240</v>
      </c>
      <c r="S146" s="153">
        <f>ROUNDUP(MAX(4,MIN(A146,VLOOKUP(A146,Level!$A$4:$M$203,13))*MIN(4,ROUNDUP(VLOOKUP(A146,Background!$C$3:$D$52,2)/5,0)))*VLOOKUP(A146,Plants!$C$4:$AJ$53,31)*1.25,0)</f>
        <v>210925</v>
      </c>
      <c r="T146" s="153">
        <f t="shared" si="41"/>
        <v>105582.5</v>
      </c>
      <c r="U146">
        <f>SUM($K$4:K146)</f>
        <v>104857923</v>
      </c>
      <c r="V146">
        <f>VLOOKUP(A146,Garden!$B$4:$P$19,15)</f>
        <v>15970400</v>
      </c>
      <c r="W146">
        <f>VLOOKUP(A146,Plots!$B$4:$U$39,20)</f>
        <v>27071200</v>
      </c>
      <c r="X146">
        <f>VLOOKUP(A146,'Decoration Background'!$A$2:$H$200,8)</f>
        <v>64021731</v>
      </c>
      <c r="Y146">
        <f t="shared" si="34"/>
        <v>-2205408</v>
      </c>
      <c r="Z146" s="158">
        <f t="shared" si="35"/>
        <v>1.0210323448806058</v>
      </c>
      <c r="AA146">
        <f t="shared" si="36"/>
        <v>-17418010</v>
      </c>
      <c r="AB146" s="170">
        <f>MAX(0,(-Y146)/VLOOKUP($A146,Payment!$A$39:$G$239,7)*100)</f>
        <v>183.78399999999999</v>
      </c>
      <c r="AC146" s="138">
        <f t="shared" si="42"/>
        <v>1583.4554545454546</v>
      </c>
      <c r="AD146">
        <f t="shared" si="37"/>
        <v>30888</v>
      </c>
      <c r="AE146">
        <f t="shared" si="43"/>
        <v>14.9</v>
      </c>
      <c r="AF146" s="79">
        <f t="shared" si="44"/>
        <v>117.6</v>
      </c>
    </row>
    <row r="147" spans="1:32">
      <c r="A147" s="36">
        <v>144</v>
      </c>
      <c r="B147" s="69">
        <f>Level!B148-Level!B147</f>
        <v>72500</v>
      </c>
      <c r="C147" s="73">
        <f>Level!M147*VLOOKUP(A147,Plants!$C$4:$AH$47,32)*24+(27/Level!T147)</f>
        <v>5539.1197049525808</v>
      </c>
      <c r="D147" s="62">
        <f t="shared" si="45"/>
        <v>13.088722371386385</v>
      </c>
      <c r="E147" s="65">
        <f>SUM(D$4:D146)</f>
        <v>984.01499227869829</v>
      </c>
      <c r="F147" s="205">
        <f>Level!M147*VLOOKUP(A147,Plants!$C$4:$AI$47,33)*24*1.15+IF(VLOOKUP(A147,Goals!$AO$4:$AO$120,1)=A147,VLOOKUP(A147,Goals!$AO$4:$AQ$120,3)/D147,0)+VLOOKUP(A147,Level!$A$4:$C$203,3)/D147</f>
        <v>148100.97471022129</v>
      </c>
      <c r="G147" s="71">
        <f>Level!M147*VLOOKUP(A147,Plants!$C$4:$X$47,21)*24</f>
        <v>72000</v>
      </c>
      <c r="H147" s="63">
        <f t="shared" si="46"/>
        <v>1.0069444444444444</v>
      </c>
      <c r="I147" s="64">
        <f>SUM(H$4:H146)</f>
        <v>71.676135982079089</v>
      </c>
      <c r="J147" s="35">
        <f>Level!M147*VLOOKUP(A147,Plants!$C$4:$X$47,22)*24</f>
        <v>648000</v>
      </c>
      <c r="K147" s="239">
        <f t="shared" si="38"/>
        <v>1938453</v>
      </c>
      <c r="L147" s="239">
        <f>SUM($K$4:K147)</f>
        <v>106796376</v>
      </c>
      <c r="M147" s="239">
        <f t="shared" si="39"/>
        <v>652500</v>
      </c>
      <c r="N147" s="239">
        <f>SUM($M$4:M147)</f>
        <v>35774928</v>
      </c>
      <c r="O147">
        <f>ROUNDUP(MIN(50,ROUNDUP(A147/3,0),Level!M147)*Plants!Q$4*0.005,0)</f>
        <v>1</v>
      </c>
      <c r="P147">
        <f>ROUNDUP(MAX(4,MIN(A147,VLOOKUP(A147,Level!$A$4:$M$203,13))*MIN(4,ROUNDUP(VLOOKUP(A147,Background!$C$3:$D$52,2)/5,0)))*VLOOKUP(A147,Plants!$C$4:$AJ$53,30)*0.025,0)</f>
        <v>188</v>
      </c>
      <c r="Q147">
        <f t="shared" si="40"/>
        <v>95</v>
      </c>
      <c r="R147">
        <f>ROUND(MIN(50,ROUNDUP(A147/3,0),Level!M147)*Plants!R$4,0)</f>
        <v>240</v>
      </c>
      <c r="S147" s="153">
        <f>ROUNDUP(MAX(4,MIN(A147,VLOOKUP(A147,Level!$A$4:$M$203,13))*MIN(4,ROUNDUP(VLOOKUP(A147,Background!$C$3:$D$52,2)/5,0)))*VLOOKUP(A147,Plants!$C$4:$AJ$53,31)*1.25,0)</f>
        <v>212400</v>
      </c>
      <c r="T147" s="153">
        <f t="shared" si="41"/>
        <v>106320</v>
      </c>
      <c r="U147">
        <f>SUM($K$4:K147)</f>
        <v>106796376</v>
      </c>
      <c r="V147">
        <f>VLOOKUP(A147,Garden!$B$4:$P$19,15)</f>
        <v>15970400</v>
      </c>
      <c r="W147">
        <f>VLOOKUP(A147,Plots!$B$4:$U$39,20)</f>
        <v>27071200</v>
      </c>
      <c r="X147">
        <f>VLOOKUP(A147,'Decoration Background'!$A$2:$H$200,8)</f>
        <v>65066700</v>
      </c>
      <c r="Y147">
        <f t="shared" si="34"/>
        <v>-1311924</v>
      </c>
      <c r="Z147" s="158">
        <f t="shared" si="35"/>
        <v>1.0122843494239917</v>
      </c>
      <c r="AA147">
        <f t="shared" si="36"/>
        <v>-17418010</v>
      </c>
      <c r="AB147" s="170">
        <f>MAX(0,(-Y147)/VLOOKUP($A147,Payment!$A$39:$G$239,7)*100)</f>
        <v>107.53475409836066</v>
      </c>
      <c r="AC147" s="138">
        <f t="shared" si="42"/>
        <v>1583.4554545454546</v>
      </c>
      <c r="AD147">
        <f t="shared" si="37"/>
        <v>31320</v>
      </c>
      <c r="AE147">
        <f t="shared" si="43"/>
        <v>8.9</v>
      </c>
      <c r="AF147" s="79">
        <f t="shared" si="44"/>
        <v>117.6</v>
      </c>
    </row>
    <row r="148" spans="1:32">
      <c r="A148" s="36">
        <v>145</v>
      </c>
      <c r="B148" s="69">
        <f>Level!B149-Level!B148</f>
        <v>73500</v>
      </c>
      <c r="C148" s="73">
        <f>Level!M148*VLOOKUP(A148,Plants!$C$4:$AH$47,32)*24+(27/Level!T148)</f>
        <v>5539.1197049525808</v>
      </c>
      <c r="D148" s="62">
        <f t="shared" si="45"/>
        <v>13.269256473060681</v>
      </c>
      <c r="E148" s="65">
        <f>SUM(D$4:D147)</f>
        <v>997.10371465008473</v>
      </c>
      <c r="F148" s="205">
        <f>Level!M148*VLOOKUP(A148,Plants!$C$4:$AI$47,33)*24*1.15+IF(VLOOKUP(A148,Goals!$AO$4:$AO$120,1)=A148,VLOOKUP(A148,Goals!$AO$4:$AQ$120,3)/D148,0)+VLOOKUP(A148,Level!$A$4:$C$203,3)/D148</f>
        <v>148100.97471022129</v>
      </c>
      <c r="G148" s="71">
        <f>Level!M148*VLOOKUP(A148,Plants!$C$4:$X$47,21)*24</f>
        <v>72000</v>
      </c>
      <c r="H148" s="63">
        <f t="shared" si="46"/>
        <v>1.0208333333333333</v>
      </c>
      <c r="I148" s="64">
        <f>SUM(H$4:H147)</f>
        <v>72.683080426523532</v>
      </c>
      <c r="J148" s="35">
        <f>Level!M148*VLOOKUP(A148,Plants!$C$4:$X$47,22)*24</f>
        <v>648000</v>
      </c>
      <c r="K148" s="239">
        <f t="shared" si="38"/>
        <v>1965190</v>
      </c>
      <c r="L148" s="239">
        <f>SUM($K$4:K148)</f>
        <v>108761566</v>
      </c>
      <c r="M148" s="239">
        <f t="shared" si="39"/>
        <v>661500</v>
      </c>
      <c r="N148" s="239">
        <f>SUM($M$4:M148)</f>
        <v>36436428</v>
      </c>
      <c r="O148">
        <f>ROUNDUP(MIN(50,ROUNDUP(A148/3,0),Level!M148)*Plants!Q$4*0.005,0)</f>
        <v>1</v>
      </c>
      <c r="P148">
        <f>ROUNDUP(MAX(4,MIN(A148,VLOOKUP(A148,Level!$A$4:$M$203,13))*MIN(4,ROUNDUP(VLOOKUP(A148,Background!$C$3:$D$52,2)/5,0)))*VLOOKUP(A148,Plants!$C$4:$AJ$53,30)*0.025,0)</f>
        <v>189</v>
      </c>
      <c r="Q148">
        <f t="shared" si="40"/>
        <v>95.5</v>
      </c>
      <c r="R148">
        <f>ROUND(MIN(50,ROUNDUP(A148/3,0),Level!M148)*Plants!R$4,0)</f>
        <v>245</v>
      </c>
      <c r="S148" s="153">
        <f>ROUNDUP(MAX(4,MIN(A148,VLOOKUP(A148,Level!$A$4:$M$203,13))*MIN(4,ROUNDUP(VLOOKUP(A148,Background!$C$3:$D$52,2)/5,0)))*VLOOKUP(A148,Plants!$C$4:$AJ$53,31)*1.25,0)</f>
        <v>213875</v>
      </c>
      <c r="T148" s="153">
        <f t="shared" si="41"/>
        <v>107060</v>
      </c>
      <c r="U148">
        <f>SUM($K$4:K148)</f>
        <v>108761566</v>
      </c>
      <c r="V148">
        <f>VLOOKUP(A148,Garden!$B$4:$P$19,15)</f>
        <v>15970400</v>
      </c>
      <c r="W148">
        <f>VLOOKUP(A148,Plots!$B$4:$U$39,20)</f>
        <v>27071200</v>
      </c>
      <c r="X148">
        <f>VLOOKUP(A148,'Decoration Background'!$A$2:$H$200,8)</f>
        <v>66119019</v>
      </c>
      <c r="Y148">
        <f t="shared" si="34"/>
        <v>-399053</v>
      </c>
      <c r="Z148" s="158">
        <f t="shared" si="35"/>
        <v>1.0036690626539895</v>
      </c>
      <c r="AA148">
        <f t="shared" si="36"/>
        <v>-17418010</v>
      </c>
      <c r="AB148" s="170">
        <f>MAX(0,(-Y148)/VLOOKUP($A148,Payment!$A$39:$G$239,7)*100)</f>
        <v>32.709262295081963</v>
      </c>
      <c r="AC148" s="138">
        <f t="shared" si="42"/>
        <v>1583.4554545454546</v>
      </c>
      <c r="AD148">
        <f t="shared" si="37"/>
        <v>31755</v>
      </c>
      <c r="AE148">
        <f t="shared" si="43"/>
        <v>2.7</v>
      </c>
      <c r="AF148" s="79">
        <f t="shared" si="44"/>
        <v>117.6</v>
      </c>
    </row>
    <row r="149" spans="1:32">
      <c r="A149" s="36">
        <v>146</v>
      </c>
      <c r="B149" s="69">
        <f>Level!B150-Level!B149</f>
        <v>74500</v>
      </c>
      <c r="C149" s="73">
        <f>Level!M149*VLOOKUP(A149,Plants!$C$4:$AH$47,32)*24+(27/Level!T149)</f>
        <v>5539.1197049525808</v>
      </c>
      <c r="D149" s="62">
        <f t="shared" si="45"/>
        <v>13.449790574734976</v>
      </c>
      <c r="E149" s="65">
        <f>SUM(D$4:D148)</f>
        <v>1010.3729711231454</v>
      </c>
      <c r="F149" s="205">
        <f>Level!M149*VLOOKUP(A149,Plants!$C$4:$AI$47,33)*24*1.15+IF(VLOOKUP(A149,Goals!$AO$4:$AO$120,1)=A149,VLOOKUP(A149,Goals!$AO$4:$AQ$120,3)/D149,0)+VLOOKUP(A149,Level!$A$4:$C$203,3)/D149</f>
        <v>148100.97471022129</v>
      </c>
      <c r="G149" s="71">
        <f>Level!M149*VLOOKUP(A149,Plants!$C$4:$X$47,21)*24</f>
        <v>72000</v>
      </c>
      <c r="H149" s="63">
        <f t="shared" si="46"/>
        <v>1.0347222222222223</v>
      </c>
      <c r="I149" s="64">
        <f>SUM(H$4:H148)</f>
        <v>73.70391375985686</v>
      </c>
      <c r="J149" s="35">
        <f>Level!M149*VLOOKUP(A149,Plants!$C$4:$X$47,22)*24</f>
        <v>648000</v>
      </c>
      <c r="K149" s="239">
        <f t="shared" si="38"/>
        <v>1991927</v>
      </c>
      <c r="L149" s="239">
        <f>SUM($K$4:K149)</f>
        <v>110753493</v>
      </c>
      <c r="M149" s="239">
        <f t="shared" si="39"/>
        <v>670500</v>
      </c>
      <c r="N149" s="239">
        <f>SUM($M$4:M149)</f>
        <v>37106928</v>
      </c>
      <c r="O149">
        <f>ROUNDUP(MIN(50,ROUNDUP(A149/3,0),Level!M149)*Plants!Q$4*0.005,0)</f>
        <v>1</v>
      </c>
      <c r="P149">
        <f>ROUNDUP(MAX(4,MIN(A149,VLOOKUP(A149,Level!$A$4:$M$203,13))*MIN(4,ROUNDUP(VLOOKUP(A149,Background!$C$3:$D$52,2)/5,0)))*VLOOKUP(A149,Plants!$C$4:$AJ$53,30)*0.025,0)</f>
        <v>190</v>
      </c>
      <c r="Q149">
        <f t="shared" si="40"/>
        <v>96</v>
      </c>
      <c r="R149">
        <f>ROUND(MIN(50,ROUNDUP(A149/3,0),Level!M149)*Plants!R$4,0)</f>
        <v>245</v>
      </c>
      <c r="S149" s="153">
        <f>ROUNDUP(MAX(4,MIN(A149,VLOOKUP(A149,Level!$A$4:$M$203,13))*MIN(4,ROUNDUP(VLOOKUP(A149,Background!$C$3:$D$52,2)/5,0)))*VLOOKUP(A149,Plants!$C$4:$AJ$53,31)*1.25,0)</f>
        <v>215350</v>
      </c>
      <c r="T149" s="153">
        <f t="shared" si="41"/>
        <v>107797.5</v>
      </c>
      <c r="U149">
        <f>SUM($K$4:K149)</f>
        <v>110753493</v>
      </c>
      <c r="V149">
        <f>VLOOKUP(A149,Garden!$B$4:$P$19,15)</f>
        <v>15970400</v>
      </c>
      <c r="W149">
        <f>VLOOKUP(A149,Plots!$B$4:$U$39,20)</f>
        <v>27071200</v>
      </c>
      <c r="X149">
        <f>VLOOKUP(A149,'Decoration Background'!$A$2:$H$200,8)</f>
        <v>67178688</v>
      </c>
      <c r="Y149">
        <f t="shared" si="34"/>
        <v>533205</v>
      </c>
      <c r="Z149" s="158">
        <f t="shared" si="35"/>
        <v>0.995185659742578</v>
      </c>
      <c r="AA149">
        <f t="shared" si="36"/>
        <v>-17418010</v>
      </c>
      <c r="AB149" s="170">
        <f>MAX(0,(-Y149)/VLOOKUP($A149,Payment!$A$39:$G$239,7)*100)</f>
        <v>0</v>
      </c>
      <c r="AC149" s="138">
        <f t="shared" si="42"/>
        <v>1583.4554545454546</v>
      </c>
      <c r="AD149">
        <f t="shared" si="37"/>
        <v>32193</v>
      </c>
      <c r="AE149">
        <f t="shared" si="43"/>
        <v>0</v>
      </c>
      <c r="AF149" s="79">
        <f t="shared" si="44"/>
        <v>117.6</v>
      </c>
    </row>
    <row r="150" spans="1:32">
      <c r="A150" s="36">
        <v>147</v>
      </c>
      <c r="B150" s="69">
        <f>Level!B151-Level!B150</f>
        <v>75500</v>
      </c>
      <c r="C150" s="73">
        <f>Level!M150*VLOOKUP(A150,Plants!$C$4:$AH$47,32)*24+(27/Level!T150)</f>
        <v>5539.1197049525808</v>
      </c>
      <c r="D150" s="62">
        <f t="shared" si="45"/>
        <v>13.63032467640927</v>
      </c>
      <c r="E150" s="65">
        <f>SUM(D$4:D149)</f>
        <v>1023.8227616978803</v>
      </c>
      <c r="F150" s="205">
        <f>Level!M150*VLOOKUP(A150,Plants!$C$4:$AI$47,33)*24*1.15+IF(VLOOKUP(A150,Goals!$AO$4:$AO$120,1)=A150,VLOOKUP(A150,Goals!$AO$4:$AQ$120,3)/D150,0)+VLOOKUP(A150,Level!$A$4:$C$203,3)/D150</f>
        <v>148100.97471022129</v>
      </c>
      <c r="G150" s="71">
        <f>Level!M150*VLOOKUP(A150,Plants!$C$4:$X$47,21)*24</f>
        <v>72000</v>
      </c>
      <c r="H150" s="63">
        <f t="shared" si="46"/>
        <v>1.0486111111111112</v>
      </c>
      <c r="I150" s="64">
        <f>SUM(H$4:H149)</f>
        <v>74.738635982079089</v>
      </c>
      <c r="J150" s="35">
        <f>Level!M150*VLOOKUP(A150,Plants!$C$4:$X$47,22)*24</f>
        <v>648000</v>
      </c>
      <c r="K150" s="239">
        <f t="shared" si="38"/>
        <v>2018664</v>
      </c>
      <c r="L150" s="239">
        <f>SUM($K$4:K150)</f>
        <v>112772157</v>
      </c>
      <c r="M150" s="239">
        <f t="shared" si="39"/>
        <v>679500</v>
      </c>
      <c r="N150" s="239">
        <f>SUM($M$4:M150)</f>
        <v>37786428</v>
      </c>
      <c r="O150">
        <f>ROUNDUP(MIN(50,ROUNDUP(A150/3,0),Level!M150)*Plants!Q$4*0.005,0)</f>
        <v>1</v>
      </c>
      <c r="P150">
        <f>ROUNDUP(MAX(4,MIN(A150,VLOOKUP(A150,Level!$A$4:$M$203,13))*MIN(4,ROUNDUP(VLOOKUP(A150,Background!$C$3:$D$52,2)/5,0)))*VLOOKUP(A150,Plants!$C$4:$AJ$53,30)*0.025,0)</f>
        <v>192</v>
      </c>
      <c r="Q150">
        <f t="shared" si="40"/>
        <v>97</v>
      </c>
      <c r="R150">
        <f>ROUND(MIN(50,ROUNDUP(A150/3,0),Level!M150)*Plants!R$4,0)</f>
        <v>245</v>
      </c>
      <c r="S150" s="153">
        <f>ROUNDUP(MAX(4,MIN(A150,VLOOKUP(A150,Level!$A$4:$M$203,13))*MIN(4,ROUNDUP(VLOOKUP(A150,Background!$C$3:$D$52,2)/5,0)))*VLOOKUP(A150,Plants!$C$4:$AJ$53,31)*1.25,0)</f>
        <v>216825</v>
      </c>
      <c r="T150" s="153">
        <f t="shared" si="41"/>
        <v>108535</v>
      </c>
      <c r="U150">
        <f>SUM($K$4:K150)</f>
        <v>112772157</v>
      </c>
      <c r="V150">
        <f>VLOOKUP(A150,Garden!$B$4:$P$19,15)</f>
        <v>15970400</v>
      </c>
      <c r="W150">
        <f>VLOOKUP(A150,Plots!$B$4:$U$39,20)</f>
        <v>27071200</v>
      </c>
      <c r="X150">
        <f>VLOOKUP(A150,'Decoration Background'!$A$2:$H$200,8)</f>
        <v>68245707</v>
      </c>
      <c r="Y150">
        <f t="shared" si="34"/>
        <v>1484850</v>
      </c>
      <c r="Z150" s="158">
        <f t="shared" si="35"/>
        <v>0.9868331861383125</v>
      </c>
      <c r="AA150">
        <f t="shared" si="36"/>
        <v>-17418010</v>
      </c>
      <c r="AB150" s="170">
        <f>MAX(0,(-Y150)/VLOOKUP($A150,Payment!$A$39:$G$239,7)*100)</f>
        <v>0</v>
      </c>
      <c r="AC150" s="138">
        <f t="shared" si="42"/>
        <v>1583.4554545454546</v>
      </c>
      <c r="AD150">
        <f t="shared" si="37"/>
        <v>32634</v>
      </c>
      <c r="AE150">
        <f t="shared" si="43"/>
        <v>0</v>
      </c>
      <c r="AF150" s="79">
        <f t="shared" si="44"/>
        <v>117.6</v>
      </c>
    </row>
    <row r="151" spans="1:32">
      <c r="A151" s="36">
        <v>148</v>
      </c>
      <c r="B151" s="69">
        <f>Level!B152-Level!B151</f>
        <v>76500</v>
      </c>
      <c r="C151" s="73">
        <f>Level!M151*VLOOKUP(A151,Plants!$C$4:$AH$47,32)*24+(27/Level!T151)</f>
        <v>5539.1197049525808</v>
      </c>
      <c r="D151" s="62">
        <f t="shared" si="45"/>
        <v>13.810858778083565</v>
      </c>
      <c r="E151" s="65">
        <f>SUM(D$4:D150)</f>
        <v>1037.4530863742896</v>
      </c>
      <c r="F151" s="205">
        <f>Level!M151*VLOOKUP(A151,Plants!$C$4:$AI$47,33)*24*1.15+IF(VLOOKUP(A151,Goals!$AO$4:$AO$120,1)=A151,VLOOKUP(A151,Goals!$AO$4:$AQ$120,3)/D151,0)+VLOOKUP(A151,Level!$A$4:$C$203,3)/D151</f>
        <v>148100.97471022129</v>
      </c>
      <c r="G151" s="71">
        <f>Level!M151*VLOOKUP(A151,Plants!$C$4:$X$47,21)*24</f>
        <v>72000</v>
      </c>
      <c r="H151" s="63">
        <f t="shared" si="46"/>
        <v>1.0625</v>
      </c>
      <c r="I151" s="64">
        <f>SUM(H$4:H150)</f>
        <v>75.787247093190203</v>
      </c>
      <c r="J151" s="35">
        <f>Level!M151*VLOOKUP(A151,Plants!$C$4:$X$47,22)*24</f>
        <v>648000</v>
      </c>
      <c r="K151" s="239">
        <f t="shared" si="38"/>
        <v>2045402</v>
      </c>
      <c r="L151" s="239">
        <f>SUM($K$4:K151)</f>
        <v>114817559</v>
      </c>
      <c r="M151" s="239">
        <f t="shared" si="39"/>
        <v>688500</v>
      </c>
      <c r="N151" s="239">
        <f>SUM($M$4:M151)</f>
        <v>38474928</v>
      </c>
      <c r="O151">
        <f>ROUNDUP(MIN(50,ROUNDUP(A151/3,0),Level!M151)*Plants!Q$4*0.005,0)</f>
        <v>1</v>
      </c>
      <c r="P151">
        <f>ROUNDUP(MAX(4,MIN(A151,VLOOKUP(A151,Level!$A$4:$M$203,13))*MIN(4,ROUNDUP(VLOOKUP(A151,Background!$C$3:$D$52,2)/5,0)))*VLOOKUP(A151,Plants!$C$4:$AJ$53,30)*0.025,0)</f>
        <v>193</v>
      </c>
      <c r="Q151">
        <f t="shared" si="40"/>
        <v>97.5</v>
      </c>
      <c r="R151">
        <f>ROUND(MIN(50,ROUNDUP(A151/3,0),Level!M151)*Plants!R$4,0)</f>
        <v>250</v>
      </c>
      <c r="S151" s="153">
        <f>ROUNDUP(MAX(4,MIN(A151,VLOOKUP(A151,Level!$A$4:$M$203,13))*MIN(4,ROUNDUP(VLOOKUP(A151,Background!$C$3:$D$52,2)/5,0)))*VLOOKUP(A151,Plants!$C$4:$AJ$53,31)*1.25,0)</f>
        <v>218300</v>
      </c>
      <c r="T151" s="153">
        <f t="shared" si="41"/>
        <v>109275</v>
      </c>
      <c r="U151">
        <f>SUM($K$4:K151)</f>
        <v>114817559</v>
      </c>
      <c r="V151">
        <f>VLOOKUP(A151,Garden!$B$4:$P$19,15)</f>
        <v>15970400</v>
      </c>
      <c r="W151">
        <f>VLOOKUP(A151,Plots!$B$4:$U$39,20)</f>
        <v>27071200</v>
      </c>
      <c r="X151">
        <f>VLOOKUP(A151,'Decoration Background'!$A$2:$H$200,8)</f>
        <v>69320076</v>
      </c>
      <c r="Y151">
        <f t="shared" si="34"/>
        <v>2455883</v>
      </c>
      <c r="Z151" s="158">
        <f t="shared" si="35"/>
        <v>0.97861056251857781</v>
      </c>
      <c r="AA151">
        <f t="shared" si="36"/>
        <v>-17418010</v>
      </c>
      <c r="AB151" s="170">
        <f>MAX(0,(-Y151)/VLOOKUP($A151,Payment!$A$39:$G$239,7)*100)</f>
        <v>0</v>
      </c>
      <c r="AC151" s="138">
        <f t="shared" si="42"/>
        <v>1583.4554545454546</v>
      </c>
      <c r="AD151">
        <f t="shared" si="37"/>
        <v>33078</v>
      </c>
      <c r="AE151">
        <f t="shared" si="43"/>
        <v>0</v>
      </c>
      <c r="AF151" s="79">
        <f t="shared" si="44"/>
        <v>117.6</v>
      </c>
    </row>
    <row r="152" spans="1:32">
      <c r="A152" s="36">
        <v>149</v>
      </c>
      <c r="B152" s="69">
        <f>Level!B153-Level!B152</f>
        <v>77500</v>
      </c>
      <c r="C152" s="73">
        <f>Level!M152*VLOOKUP(A152,Plants!$C$4:$AH$47,32)*24+(27/Level!T152)</f>
        <v>5539.1197049525808</v>
      </c>
      <c r="D152" s="62">
        <f t="shared" si="45"/>
        <v>13.991392879757861</v>
      </c>
      <c r="E152" s="65">
        <f>SUM(D$4:D151)</f>
        <v>1051.263945152373</v>
      </c>
      <c r="F152" s="205">
        <f>Level!M152*VLOOKUP(A152,Plants!$C$4:$AI$47,33)*24*1.15+IF(VLOOKUP(A152,Goals!$AO$4:$AO$120,1)=A152,VLOOKUP(A152,Goals!$AO$4:$AQ$120,3)/D152,0)+VLOOKUP(A152,Level!$A$4:$C$203,3)/D152</f>
        <v>148100.97471022129</v>
      </c>
      <c r="G152" s="71">
        <f>Level!M152*VLOOKUP(A152,Plants!$C$4:$X$47,21)*24</f>
        <v>72000</v>
      </c>
      <c r="H152" s="63">
        <f t="shared" si="46"/>
        <v>1.0763888888888888</v>
      </c>
      <c r="I152" s="64">
        <f>SUM(H$4:H151)</f>
        <v>76.849747093190203</v>
      </c>
      <c r="J152" s="35">
        <f>Level!M152*VLOOKUP(A152,Plants!$C$4:$X$47,22)*24</f>
        <v>648000</v>
      </c>
      <c r="K152" s="239">
        <f t="shared" si="38"/>
        <v>2072139</v>
      </c>
      <c r="L152" s="239">
        <f>SUM($K$4:K152)</f>
        <v>116889698</v>
      </c>
      <c r="M152" s="239">
        <f t="shared" si="39"/>
        <v>697500</v>
      </c>
      <c r="N152" s="239">
        <f>SUM($M$4:M152)</f>
        <v>39172428</v>
      </c>
      <c r="O152">
        <f>ROUNDUP(MIN(50,ROUNDUP(A152/3,0),Level!M152)*Plants!Q$4*0.005,0)</f>
        <v>1</v>
      </c>
      <c r="P152">
        <f>ROUNDUP(MAX(4,MIN(A152,VLOOKUP(A152,Level!$A$4:$M$203,13))*MIN(4,ROUNDUP(VLOOKUP(A152,Background!$C$3:$D$52,2)/5,0)))*VLOOKUP(A152,Plants!$C$4:$AJ$53,30)*0.025,0)</f>
        <v>194</v>
      </c>
      <c r="Q152">
        <f t="shared" si="40"/>
        <v>98</v>
      </c>
      <c r="R152">
        <f>ROUND(MIN(50,ROUNDUP(A152/3,0),Level!M152)*Plants!R$4,0)</f>
        <v>250</v>
      </c>
      <c r="S152" s="153">
        <f>ROUNDUP(MAX(4,MIN(A152,VLOOKUP(A152,Level!$A$4:$M$203,13))*MIN(4,ROUNDUP(VLOOKUP(A152,Background!$C$3:$D$52,2)/5,0)))*VLOOKUP(A152,Plants!$C$4:$AJ$53,31)*1.25,0)</f>
        <v>219775</v>
      </c>
      <c r="T152" s="153">
        <f t="shared" si="41"/>
        <v>110012.5</v>
      </c>
      <c r="U152">
        <f>SUM($K$4:K152)</f>
        <v>116889698</v>
      </c>
      <c r="V152">
        <f>VLOOKUP(A152,Garden!$B$4:$P$19,15)</f>
        <v>15970400</v>
      </c>
      <c r="W152">
        <f>VLOOKUP(A152,Plots!$B$4:$U$39,20)</f>
        <v>27071200</v>
      </c>
      <c r="X152">
        <f>VLOOKUP(A152,'Decoration Background'!$A$2:$H$200,8)</f>
        <v>70401795</v>
      </c>
      <c r="Y152">
        <f t="shared" si="34"/>
        <v>3446303</v>
      </c>
      <c r="Z152" s="158">
        <f t="shared" si="35"/>
        <v>0.97051662328702393</v>
      </c>
      <c r="AA152">
        <f t="shared" si="36"/>
        <v>-17418010</v>
      </c>
      <c r="AB152" s="170">
        <f>MAX(0,(-Y152)/VLOOKUP($A152,Payment!$A$39:$G$239,7)*100)</f>
        <v>0</v>
      </c>
      <c r="AC152" s="138">
        <f t="shared" si="42"/>
        <v>1583.4554545454546</v>
      </c>
      <c r="AD152">
        <f t="shared" si="37"/>
        <v>33525</v>
      </c>
      <c r="AE152">
        <f t="shared" si="43"/>
        <v>0</v>
      </c>
      <c r="AF152" s="79">
        <f t="shared" si="44"/>
        <v>117.6</v>
      </c>
    </row>
    <row r="153" spans="1:32">
      <c r="A153" s="36">
        <v>150</v>
      </c>
      <c r="B153" s="69">
        <f>Level!B154-Level!B153</f>
        <v>78500</v>
      </c>
      <c r="C153" s="73">
        <f>Level!M153*VLOOKUP(A153,Plants!$C$4:$AH$47,32)*24+(27/Level!T153)</f>
        <v>5539.1197049525808</v>
      </c>
      <c r="D153" s="62">
        <f t="shared" si="45"/>
        <v>14.171926981432156</v>
      </c>
      <c r="E153" s="65">
        <f>SUM(D$4:D152)</f>
        <v>1065.2553380321308</v>
      </c>
      <c r="F153" s="205">
        <f>Level!M153*VLOOKUP(A153,Plants!$C$4:$AI$47,33)*24*1.15+IF(VLOOKUP(A153,Goals!$AO$4:$AO$120,1)=A153,VLOOKUP(A153,Goals!$AO$4:$AQ$120,3)/D153,0)+VLOOKUP(A153,Level!$A$4:$C$203,3)/D153</f>
        <v>148100.97471022129</v>
      </c>
      <c r="G153" s="71">
        <f>Level!M153*VLOOKUP(A153,Plants!$C$4:$X$47,21)*24</f>
        <v>72000</v>
      </c>
      <c r="H153" s="63">
        <f t="shared" si="46"/>
        <v>1.0902777777777777</v>
      </c>
      <c r="I153" s="64">
        <f>SUM(H$4:H152)</f>
        <v>77.926135982079089</v>
      </c>
      <c r="J153" s="35">
        <f>Level!M153*VLOOKUP(A153,Plants!$C$4:$X$47,22)*24</f>
        <v>648000</v>
      </c>
      <c r="K153" s="239">
        <f t="shared" si="38"/>
        <v>2098876</v>
      </c>
      <c r="L153" s="239">
        <f>SUM($K$4:K153)</f>
        <v>118988574</v>
      </c>
      <c r="M153" s="239">
        <f t="shared" si="39"/>
        <v>706500</v>
      </c>
      <c r="N153" s="239">
        <f>SUM($M$4:M153)</f>
        <v>39878928</v>
      </c>
      <c r="O153">
        <f>ROUNDUP(MIN(50,ROUNDUP(A153/3,0),Level!M153)*Plants!Q$4*0.005,0)</f>
        <v>1</v>
      </c>
      <c r="P153">
        <f>ROUNDUP(MAX(4,MIN(A153,VLOOKUP(A153,Level!$A$4:$M$203,13))*MIN(4,ROUNDUP(VLOOKUP(A153,Background!$C$3:$D$52,2)/5,0)))*VLOOKUP(A153,Plants!$C$4:$AJ$53,30)*0.025,0)</f>
        <v>195</v>
      </c>
      <c r="Q153">
        <f t="shared" si="40"/>
        <v>98.5</v>
      </c>
      <c r="R153">
        <f>ROUND(MIN(50,ROUNDUP(A153/3,0),Level!M153)*Plants!R$4,0)</f>
        <v>250</v>
      </c>
      <c r="S153" s="153">
        <f>ROUNDUP(MAX(4,MIN(A153,VLOOKUP(A153,Level!$A$4:$M$203,13))*MIN(4,ROUNDUP(VLOOKUP(A153,Background!$C$3:$D$52,2)/5,0)))*VLOOKUP(A153,Plants!$C$4:$AJ$53,31)*1.25,0)</f>
        <v>221250</v>
      </c>
      <c r="T153" s="153">
        <f t="shared" si="41"/>
        <v>110750</v>
      </c>
      <c r="U153">
        <f>SUM($K$4:K153)</f>
        <v>118988574</v>
      </c>
      <c r="V153">
        <f>VLOOKUP(A153,Garden!$B$4:$P$19,15)</f>
        <v>15970400</v>
      </c>
      <c r="W153">
        <f>VLOOKUP(A153,Plots!$B$4:$U$39,20)</f>
        <v>27071200</v>
      </c>
      <c r="X153">
        <f>VLOOKUP(A153,'Decoration Background'!$A$2:$H$200,8)</f>
        <v>71490864</v>
      </c>
      <c r="Y153">
        <f t="shared" si="34"/>
        <v>4456110</v>
      </c>
      <c r="Z153" s="158">
        <f t="shared" si="35"/>
        <v>0.96255010165934085</v>
      </c>
      <c r="AA153">
        <f t="shared" si="36"/>
        <v>-17418010</v>
      </c>
      <c r="AB153" s="170">
        <f>MAX(0,(-Y153)/VLOOKUP($A153,Payment!$A$39:$G$239,7)*100)</f>
        <v>0</v>
      </c>
      <c r="AC153" s="138">
        <f t="shared" si="42"/>
        <v>1583.4554545454546</v>
      </c>
      <c r="AD153">
        <f t="shared" si="37"/>
        <v>33975</v>
      </c>
      <c r="AE153">
        <f t="shared" si="43"/>
        <v>0</v>
      </c>
      <c r="AF153" s="79">
        <f t="shared" si="44"/>
        <v>117.6</v>
      </c>
    </row>
    <row r="154" spans="1:32">
      <c r="A154" s="36">
        <v>151</v>
      </c>
      <c r="B154" s="69">
        <f>Level!B155-Level!B154</f>
        <v>79500</v>
      </c>
      <c r="C154" s="73">
        <f>Level!M154*VLOOKUP(A154,Plants!$C$4:$AH$47,32)*24+(27/Level!T154)</f>
        <v>5539.1197049525808</v>
      </c>
      <c r="D154" s="62">
        <f t="shared" si="45"/>
        <v>14.35246108310645</v>
      </c>
      <c r="E154" s="65">
        <f>SUM(D$4:D153)</f>
        <v>1079.4272650135629</v>
      </c>
      <c r="F154" s="205">
        <f>Level!M154*VLOOKUP(A154,Plants!$C$4:$AI$47,33)*24*1.15+IF(VLOOKUP(A154,Goals!$AO$4:$AO$120,1)=A154,VLOOKUP(A154,Goals!$AO$4:$AQ$120,3)/D154,0)+VLOOKUP(A154,Level!$A$4:$C$203,3)/D154</f>
        <v>148100.97471022129</v>
      </c>
      <c r="G154" s="71">
        <f>Level!M154*VLOOKUP(A154,Plants!$C$4:$X$47,21)*24</f>
        <v>72000</v>
      </c>
      <c r="H154" s="63">
        <f t="shared" si="46"/>
        <v>1.1041666666666667</v>
      </c>
      <c r="I154" s="64">
        <f>SUM(H$4:H153)</f>
        <v>79.01641375985686</v>
      </c>
      <c r="J154" s="35">
        <f>Level!M154*VLOOKUP(A154,Plants!$C$4:$X$47,22)*24</f>
        <v>648000</v>
      </c>
      <c r="K154" s="239">
        <f t="shared" si="38"/>
        <v>2125613</v>
      </c>
      <c r="L154" s="239">
        <f>SUM($K$4:K154)</f>
        <v>121114187</v>
      </c>
      <c r="M154" s="239">
        <f t="shared" si="39"/>
        <v>715500</v>
      </c>
      <c r="N154" s="239">
        <f>SUM($M$4:M154)</f>
        <v>40594428</v>
      </c>
      <c r="O154">
        <f>ROUNDUP(MIN(50,ROUNDUP(A154/3,0),Level!M154)*Plants!Q$4*0.005,0)</f>
        <v>1</v>
      </c>
      <c r="P154">
        <f>ROUNDUP(MAX(4,MIN(A154,VLOOKUP(A154,Level!$A$4:$M$203,13))*MIN(4,ROUNDUP(VLOOKUP(A154,Background!$C$3:$D$52,2)/5,0)))*VLOOKUP(A154,Plants!$C$4:$AJ$53,30)*0.025,0)</f>
        <v>195</v>
      </c>
      <c r="Q154">
        <f t="shared" si="40"/>
        <v>98.5</v>
      </c>
      <c r="R154">
        <f>ROUND(MIN(50,ROUNDUP(A154/3,0),Level!M154)*Plants!R$4,0)</f>
        <v>250</v>
      </c>
      <c r="S154" s="153">
        <f>ROUNDUP(MAX(4,MIN(A154,VLOOKUP(A154,Level!$A$4:$M$203,13))*MIN(4,ROUNDUP(VLOOKUP(A154,Background!$C$3:$D$52,2)/5,0)))*VLOOKUP(A154,Plants!$C$4:$AJ$53,31)*1.25,0)</f>
        <v>221250</v>
      </c>
      <c r="T154" s="153">
        <f t="shared" si="41"/>
        <v>110750</v>
      </c>
      <c r="U154">
        <f>SUM($K$4:K154)</f>
        <v>121114187</v>
      </c>
      <c r="V154">
        <f>VLOOKUP(A154,Garden!$B$4:$P$19,15)</f>
        <v>15970400</v>
      </c>
      <c r="W154">
        <f>VLOOKUP(A154,Plots!$B$4:$U$39,20)</f>
        <v>27071200</v>
      </c>
      <c r="X154">
        <f>VLOOKUP(A154,'Decoration Background'!$A$2:$H$200,8)</f>
        <v>72587283</v>
      </c>
      <c r="Y154">
        <f t="shared" si="34"/>
        <v>5485304</v>
      </c>
      <c r="Z154" s="158">
        <f t="shared" si="35"/>
        <v>0.95470964933282343</v>
      </c>
      <c r="AA154">
        <f t="shared" si="36"/>
        <v>-17418010</v>
      </c>
      <c r="AB154" s="170">
        <f>MAX(0,(-Y154)/VLOOKUP($A154,Payment!$A$39:$G$239,7)*100)</f>
        <v>0</v>
      </c>
      <c r="AC154" s="138">
        <f t="shared" si="42"/>
        <v>1583.4554545454546</v>
      </c>
      <c r="AD154">
        <f t="shared" si="37"/>
        <v>34428</v>
      </c>
      <c r="AE154">
        <f t="shared" si="43"/>
        <v>0</v>
      </c>
      <c r="AF154" s="79">
        <f t="shared" si="44"/>
        <v>117.6</v>
      </c>
    </row>
    <row r="155" spans="1:32">
      <c r="A155" s="36">
        <v>152</v>
      </c>
      <c r="B155" s="69">
        <f>Level!B156-Level!B155</f>
        <v>80500</v>
      </c>
      <c r="C155" s="73">
        <f>Level!M155*VLOOKUP(A155,Plants!$C$4:$AH$47,32)*24+(27/Level!T155)</f>
        <v>5539.1197049525808</v>
      </c>
      <c r="D155" s="62">
        <f t="shared" si="45"/>
        <v>14.532995184780745</v>
      </c>
      <c r="E155" s="65">
        <f>SUM(D$4:D154)</f>
        <v>1093.7797260966693</v>
      </c>
      <c r="F155" s="205">
        <f>Level!M155*VLOOKUP(A155,Plants!$C$4:$AI$47,33)*24*1.15+IF(VLOOKUP(A155,Goals!$AO$4:$AO$120,1)=A155,VLOOKUP(A155,Goals!$AO$4:$AQ$120,3)/D155,0)+VLOOKUP(A155,Level!$A$4:$C$203,3)/D155</f>
        <v>148100.97471022129</v>
      </c>
      <c r="G155" s="71">
        <f>Level!M155*VLOOKUP(A155,Plants!$C$4:$X$47,21)*24</f>
        <v>72000</v>
      </c>
      <c r="H155" s="63">
        <f t="shared" si="46"/>
        <v>1.1180555555555556</v>
      </c>
      <c r="I155" s="64">
        <f>SUM(H$4:H154)</f>
        <v>80.120580426523532</v>
      </c>
      <c r="J155" s="35">
        <f>Level!M155*VLOOKUP(A155,Plants!$C$4:$X$47,22)*24</f>
        <v>648000</v>
      </c>
      <c r="K155" s="239">
        <f t="shared" si="38"/>
        <v>2152351</v>
      </c>
      <c r="L155" s="239">
        <f>SUM($K$4:K155)</f>
        <v>123266538</v>
      </c>
      <c r="M155" s="239">
        <f t="shared" si="39"/>
        <v>724500</v>
      </c>
      <c r="N155" s="239">
        <f>SUM($M$4:M155)</f>
        <v>41318928</v>
      </c>
      <c r="O155">
        <f>ROUNDUP(MIN(50,ROUNDUP(A155/3,0),Level!M155)*Plants!Q$4*0.005,0)</f>
        <v>1</v>
      </c>
      <c r="P155">
        <f>ROUNDUP(MAX(4,MIN(A155,VLOOKUP(A155,Level!$A$4:$M$203,13))*MIN(4,ROUNDUP(VLOOKUP(A155,Background!$C$3:$D$52,2)/5,0)))*VLOOKUP(A155,Plants!$C$4:$AJ$53,30)*0.025,0)</f>
        <v>195</v>
      </c>
      <c r="Q155">
        <f t="shared" si="40"/>
        <v>98.5</v>
      </c>
      <c r="R155">
        <f>ROUND(MIN(50,ROUNDUP(A155/3,0),Level!M155)*Plants!R$4,0)</f>
        <v>250</v>
      </c>
      <c r="S155" s="153">
        <f>ROUNDUP(MAX(4,MIN(A155,VLOOKUP(A155,Level!$A$4:$M$203,13))*MIN(4,ROUNDUP(VLOOKUP(A155,Background!$C$3:$D$52,2)/5,0)))*VLOOKUP(A155,Plants!$C$4:$AJ$53,31)*1.25,0)</f>
        <v>221250</v>
      </c>
      <c r="T155" s="153">
        <f t="shared" si="41"/>
        <v>110750</v>
      </c>
      <c r="U155">
        <f>SUM($K$4:K155)</f>
        <v>123266538</v>
      </c>
      <c r="V155">
        <f>VLOOKUP(A155,Garden!$B$4:$P$19,15)</f>
        <v>15970400</v>
      </c>
      <c r="W155">
        <f>VLOOKUP(A155,Plots!$B$4:$U$39,20)</f>
        <v>27071200</v>
      </c>
      <c r="X155">
        <f>VLOOKUP(A155,'Decoration Background'!$A$2:$H$200,8)</f>
        <v>73691502</v>
      </c>
      <c r="Y155">
        <f t="shared" si="34"/>
        <v>6533436</v>
      </c>
      <c r="Z155" s="158">
        <f t="shared" si="35"/>
        <v>0.94699748929429661</v>
      </c>
      <c r="AA155">
        <f t="shared" si="36"/>
        <v>-17418010</v>
      </c>
      <c r="AB155" s="170">
        <f>MAX(0,(-Y155)/VLOOKUP($A155,Payment!$A$39:$G$239,7)*100)</f>
        <v>0</v>
      </c>
      <c r="AC155" s="138">
        <f t="shared" si="42"/>
        <v>1583.4554545454546</v>
      </c>
      <c r="AD155">
        <f t="shared" si="37"/>
        <v>34884</v>
      </c>
      <c r="AE155">
        <f t="shared" si="43"/>
        <v>0</v>
      </c>
      <c r="AF155" s="79">
        <f t="shared" si="44"/>
        <v>117.6</v>
      </c>
    </row>
    <row r="156" spans="1:32">
      <c r="A156" s="36">
        <v>153</v>
      </c>
      <c r="B156" s="69">
        <f>Level!B157-Level!B156</f>
        <v>81500</v>
      </c>
      <c r="C156" s="73">
        <f>Level!M156*VLOOKUP(A156,Plants!$C$4:$AH$47,32)*24+(27/Level!T156)</f>
        <v>5539.1197049525808</v>
      </c>
      <c r="D156" s="62">
        <f t="shared" si="45"/>
        <v>14.71352928645504</v>
      </c>
      <c r="E156" s="65">
        <f>SUM(D$4:D155)</f>
        <v>1108.31272128145</v>
      </c>
      <c r="F156" s="205">
        <f>Level!M156*VLOOKUP(A156,Plants!$C$4:$AI$47,33)*24*1.15+IF(VLOOKUP(A156,Goals!$AO$4:$AO$120,1)=A156,VLOOKUP(A156,Goals!$AO$4:$AQ$120,3)/D156,0)+VLOOKUP(A156,Level!$A$4:$C$203,3)/D156</f>
        <v>148100.97471022129</v>
      </c>
      <c r="G156" s="71">
        <f>Level!M156*VLOOKUP(A156,Plants!$C$4:$X$47,21)*24</f>
        <v>72000</v>
      </c>
      <c r="H156" s="63">
        <f t="shared" si="46"/>
        <v>1.1319444444444444</v>
      </c>
      <c r="I156" s="64">
        <f>SUM(H$4:H155)</f>
        <v>81.238635982079089</v>
      </c>
      <c r="J156" s="35">
        <f>Level!M156*VLOOKUP(A156,Plants!$C$4:$X$47,22)*24</f>
        <v>648000</v>
      </c>
      <c r="K156" s="239">
        <f t="shared" si="38"/>
        <v>2179088</v>
      </c>
      <c r="L156" s="239">
        <f>SUM($K$4:K156)</f>
        <v>125445626</v>
      </c>
      <c r="M156" s="239">
        <f t="shared" si="39"/>
        <v>733500</v>
      </c>
      <c r="N156" s="239">
        <f>SUM($M$4:M156)</f>
        <v>42052428</v>
      </c>
      <c r="O156">
        <f>ROUNDUP(MIN(50,ROUNDUP(A156/3,0),Level!M156)*Plants!Q$4*0.005,0)</f>
        <v>1</v>
      </c>
      <c r="P156">
        <f>ROUNDUP(MAX(4,MIN(A156,VLOOKUP(A156,Level!$A$4:$M$203,13))*MIN(4,ROUNDUP(VLOOKUP(A156,Background!$C$3:$D$52,2)/5,0)))*VLOOKUP(A156,Plants!$C$4:$AJ$53,30)*0.025,0)</f>
        <v>195</v>
      </c>
      <c r="Q156">
        <f t="shared" si="40"/>
        <v>98.5</v>
      </c>
      <c r="R156">
        <f>ROUND(MIN(50,ROUNDUP(A156/3,0),Level!M156)*Plants!R$4,0)</f>
        <v>250</v>
      </c>
      <c r="S156" s="153">
        <f>ROUNDUP(MAX(4,MIN(A156,VLOOKUP(A156,Level!$A$4:$M$203,13))*MIN(4,ROUNDUP(VLOOKUP(A156,Background!$C$3:$D$52,2)/5,0)))*VLOOKUP(A156,Plants!$C$4:$AJ$53,31)*1.25,0)</f>
        <v>221250</v>
      </c>
      <c r="T156" s="153">
        <f t="shared" si="41"/>
        <v>110750</v>
      </c>
      <c r="U156">
        <f>SUM($K$4:K156)</f>
        <v>125445626</v>
      </c>
      <c r="V156">
        <f>VLOOKUP(A156,Garden!$B$4:$P$19,15)</f>
        <v>15970400</v>
      </c>
      <c r="W156">
        <f>VLOOKUP(A156,Plots!$B$4:$U$39,20)</f>
        <v>27071200</v>
      </c>
      <c r="X156">
        <f>VLOOKUP(A156,'Decoration Background'!$A$2:$H$200,8)</f>
        <v>74803971</v>
      </c>
      <c r="Y156">
        <f t="shared" si="34"/>
        <v>7600055</v>
      </c>
      <c r="Z156" s="158">
        <f t="shared" si="35"/>
        <v>0.93941554407006589</v>
      </c>
      <c r="AA156">
        <f t="shared" si="36"/>
        <v>-17418010</v>
      </c>
      <c r="AB156" s="170">
        <f>MAX(0,(-Y156)/VLOOKUP($A156,Payment!$A$39:$G$239,7)*100)</f>
        <v>0</v>
      </c>
      <c r="AC156" s="138">
        <f t="shared" si="42"/>
        <v>1583.4554545454546</v>
      </c>
      <c r="AD156">
        <f t="shared" si="37"/>
        <v>35343</v>
      </c>
      <c r="AE156">
        <f t="shared" si="43"/>
        <v>0</v>
      </c>
      <c r="AF156" s="79">
        <f t="shared" si="44"/>
        <v>117.6</v>
      </c>
    </row>
    <row r="157" spans="1:32">
      <c r="A157" s="36">
        <v>154</v>
      </c>
      <c r="B157" s="69">
        <f>Level!B158-Level!B157</f>
        <v>82500</v>
      </c>
      <c r="C157" s="73">
        <f>Level!M157*VLOOKUP(A157,Plants!$C$4:$AH$47,32)*24+(27/Level!T157)</f>
        <v>5539.1197049525808</v>
      </c>
      <c r="D157" s="62">
        <f t="shared" si="45"/>
        <v>14.894063388129336</v>
      </c>
      <c r="E157" s="65">
        <f>SUM(D$4:D156)</f>
        <v>1123.026250567905</v>
      </c>
      <c r="F157" s="205">
        <f>Level!M157*VLOOKUP(A157,Plants!$C$4:$AI$47,33)*24*1.15+IF(VLOOKUP(A157,Goals!$AO$4:$AO$120,1)=A157,VLOOKUP(A157,Goals!$AO$4:$AQ$120,3)/D157,0)+VLOOKUP(A157,Level!$A$4:$C$203,3)/D157</f>
        <v>148100.97471022129</v>
      </c>
      <c r="G157" s="71">
        <f>Level!M157*VLOOKUP(A157,Plants!$C$4:$X$47,21)*24</f>
        <v>72000</v>
      </c>
      <c r="H157" s="63">
        <f t="shared" si="46"/>
        <v>1.1458333333333333</v>
      </c>
      <c r="I157" s="64">
        <f>SUM(H$4:H156)</f>
        <v>82.370580426523532</v>
      </c>
      <c r="J157" s="35">
        <f>Level!M157*VLOOKUP(A157,Plants!$C$4:$X$47,22)*24</f>
        <v>648000</v>
      </c>
      <c r="K157" s="239">
        <f t="shared" si="38"/>
        <v>2205825</v>
      </c>
      <c r="L157" s="239">
        <f>SUM($K$4:K157)</f>
        <v>127651451</v>
      </c>
      <c r="M157" s="239">
        <f t="shared" si="39"/>
        <v>742500</v>
      </c>
      <c r="N157" s="239">
        <f>SUM($M$4:M157)</f>
        <v>42794928</v>
      </c>
      <c r="O157">
        <f>ROUNDUP(MIN(50,ROUNDUP(A157/3,0),Level!M157)*Plants!Q$4*0.005,0)</f>
        <v>1</v>
      </c>
      <c r="P157">
        <f>ROUNDUP(MAX(4,MIN(A157,VLOOKUP(A157,Level!$A$4:$M$203,13))*MIN(4,ROUNDUP(VLOOKUP(A157,Background!$C$3:$D$52,2)/5,0)))*VLOOKUP(A157,Plants!$C$4:$AJ$53,30)*0.025,0)</f>
        <v>195</v>
      </c>
      <c r="Q157">
        <f t="shared" si="40"/>
        <v>98.5</v>
      </c>
      <c r="R157">
        <f>ROUND(MIN(50,ROUNDUP(A157/3,0),Level!M157)*Plants!R$4,0)</f>
        <v>250</v>
      </c>
      <c r="S157" s="153">
        <f>ROUNDUP(MAX(4,MIN(A157,VLOOKUP(A157,Level!$A$4:$M$203,13))*MIN(4,ROUNDUP(VLOOKUP(A157,Background!$C$3:$D$52,2)/5,0)))*VLOOKUP(A157,Plants!$C$4:$AJ$53,31)*1.25,0)</f>
        <v>221250</v>
      </c>
      <c r="T157" s="153">
        <f t="shared" si="41"/>
        <v>110750</v>
      </c>
      <c r="U157">
        <f>SUM($K$4:K157)</f>
        <v>127651451</v>
      </c>
      <c r="V157">
        <f>VLOOKUP(A157,Garden!$B$4:$P$19,15)</f>
        <v>15970400</v>
      </c>
      <c r="W157">
        <f>VLOOKUP(A157,Plots!$B$4:$U$39,20)</f>
        <v>27071200</v>
      </c>
      <c r="X157">
        <f>VLOOKUP(A157,'Decoration Background'!$A$2:$H$200,8)</f>
        <v>75925140</v>
      </c>
      <c r="Y157">
        <f t="shared" si="34"/>
        <v>8684711</v>
      </c>
      <c r="Z157" s="158">
        <f t="shared" si="35"/>
        <v>0.93196543453313352</v>
      </c>
      <c r="AA157">
        <f t="shared" si="36"/>
        <v>-17418010</v>
      </c>
      <c r="AB157" s="170">
        <f>MAX(0,(-Y157)/VLOOKUP($A157,Payment!$A$39:$G$239,7)*100)</f>
        <v>0</v>
      </c>
      <c r="AC157" s="138">
        <f t="shared" si="42"/>
        <v>1583.4554545454546</v>
      </c>
      <c r="AD157">
        <f t="shared" si="37"/>
        <v>35805</v>
      </c>
      <c r="AE157">
        <f t="shared" si="43"/>
        <v>0</v>
      </c>
      <c r="AF157" s="79">
        <f t="shared" si="44"/>
        <v>117.6</v>
      </c>
    </row>
    <row r="158" spans="1:32">
      <c r="A158" s="36">
        <v>155</v>
      </c>
      <c r="B158" s="69">
        <f>Level!B159-Level!B158</f>
        <v>83500</v>
      </c>
      <c r="C158" s="73">
        <f>Level!M158*VLOOKUP(A158,Plants!$C$4:$AH$47,32)*24+(27/Level!T158)</f>
        <v>5539.1197049525808</v>
      </c>
      <c r="D158" s="62">
        <f t="shared" si="45"/>
        <v>15.074597489803629</v>
      </c>
      <c r="E158" s="65">
        <f>SUM(D$4:D157)</f>
        <v>1137.9203139560343</v>
      </c>
      <c r="F158" s="205">
        <f>Level!M158*VLOOKUP(A158,Plants!$C$4:$AI$47,33)*24*1.15+IF(VLOOKUP(A158,Goals!$AO$4:$AO$120,1)=A158,VLOOKUP(A158,Goals!$AO$4:$AQ$120,3)/D158,0)+VLOOKUP(A158,Level!$A$4:$C$203,3)/D158</f>
        <v>148100.97471022129</v>
      </c>
      <c r="G158" s="71">
        <f>Level!M158*VLOOKUP(A158,Plants!$C$4:$X$47,21)*24</f>
        <v>72000</v>
      </c>
      <c r="H158" s="63">
        <f t="shared" si="46"/>
        <v>1.1597222222222223</v>
      </c>
      <c r="I158" s="64">
        <f>SUM(H$4:H157)</f>
        <v>83.51641375985686</v>
      </c>
      <c r="J158" s="35">
        <f>Level!M158*VLOOKUP(A158,Plants!$C$4:$X$47,22)*24</f>
        <v>648000</v>
      </c>
      <c r="K158" s="239">
        <f t="shared" si="38"/>
        <v>2232563</v>
      </c>
      <c r="L158" s="239">
        <f>SUM($K$4:K158)</f>
        <v>129884014</v>
      </c>
      <c r="M158" s="239">
        <f t="shared" si="39"/>
        <v>751500</v>
      </c>
      <c r="N158" s="239">
        <f>SUM($M$4:M158)</f>
        <v>43546428</v>
      </c>
      <c r="O158">
        <f>ROUNDUP(MIN(50,ROUNDUP(A158/3,0),Level!M158)*Plants!Q$4*0.005,0)</f>
        <v>1</v>
      </c>
      <c r="P158">
        <f>ROUNDUP(MAX(4,MIN(A158,VLOOKUP(A158,Level!$A$4:$M$203,13))*MIN(4,ROUNDUP(VLOOKUP(A158,Background!$C$3:$D$52,2)/5,0)))*VLOOKUP(A158,Plants!$C$4:$AJ$53,30)*0.025,0)</f>
        <v>195</v>
      </c>
      <c r="Q158">
        <f t="shared" si="40"/>
        <v>98.5</v>
      </c>
      <c r="R158">
        <f>ROUND(MIN(50,ROUNDUP(A158/3,0),Level!M158)*Plants!R$4,0)</f>
        <v>250</v>
      </c>
      <c r="S158" s="153">
        <f>ROUNDUP(MAX(4,MIN(A158,VLOOKUP(A158,Level!$A$4:$M$203,13))*MIN(4,ROUNDUP(VLOOKUP(A158,Background!$C$3:$D$52,2)/5,0)))*VLOOKUP(A158,Plants!$C$4:$AJ$53,31)*1.25,0)</f>
        <v>221250</v>
      </c>
      <c r="T158" s="153">
        <f t="shared" si="41"/>
        <v>110750</v>
      </c>
      <c r="U158">
        <f>SUM($K$4:K158)</f>
        <v>129884014</v>
      </c>
      <c r="V158">
        <f>VLOOKUP(A158,Garden!$B$4:$P$19,15)</f>
        <v>15970400</v>
      </c>
      <c r="W158">
        <f>VLOOKUP(A158,Plots!$B$4:$U$39,20)</f>
        <v>27071200</v>
      </c>
      <c r="X158">
        <f>VLOOKUP(A158,'Decoration Background'!$A$2:$H$200,8)</f>
        <v>77055459</v>
      </c>
      <c r="Y158">
        <f t="shared" si="34"/>
        <v>9786955</v>
      </c>
      <c r="Z158" s="158">
        <f t="shared" si="35"/>
        <v>0.92464850216286043</v>
      </c>
      <c r="AA158">
        <f t="shared" si="36"/>
        <v>-17418010</v>
      </c>
      <c r="AB158" s="170">
        <f>MAX(0,(-Y158)/VLOOKUP($A158,Payment!$A$39:$G$239,7)*100)</f>
        <v>0</v>
      </c>
      <c r="AC158" s="138">
        <f t="shared" si="42"/>
        <v>1583.4554545454546</v>
      </c>
      <c r="AD158">
        <f t="shared" si="37"/>
        <v>36270</v>
      </c>
      <c r="AE158">
        <f t="shared" si="43"/>
        <v>0</v>
      </c>
      <c r="AF158" s="79">
        <f t="shared" si="44"/>
        <v>117.6</v>
      </c>
    </row>
    <row r="159" spans="1:32">
      <c r="A159" s="36">
        <v>156</v>
      </c>
      <c r="B159" s="69">
        <f>Level!B160-Level!B159</f>
        <v>84500</v>
      </c>
      <c r="C159" s="73">
        <f>Level!M159*VLOOKUP(A159,Plants!$C$4:$AH$47,32)*24+(27/Level!T159)</f>
        <v>5539.1197049525808</v>
      </c>
      <c r="D159" s="62">
        <f t="shared" si="45"/>
        <v>15.255131591477925</v>
      </c>
      <c r="E159" s="65">
        <f>SUM(D$4:D158)</f>
        <v>1152.9949114458379</v>
      </c>
      <c r="F159" s="205">
        <f>Level!M159*VLOOKUP(A159,Plants!$C$4:$AI$47,33)*24*1.15+IF(VLOOKUP(A159,Goals!$AO$4:$AO$120,1)=A159,VLOOKUP(A159,Goals!$AO$4:$AQ$120,3)/D159,0)+VLOOKUP(A159,Level!$A$4:$C$203,3)/D159</f>
        <v>148100.97471022129</v>
      </c>
      <c r="G159" s="71">
        <f>Level!M159*VLOOKUP(A159,Plants!$C$4:$X$47,21)*24</f>
        <v>72000</v>
      </c>
      <c r="H159" s="63">
        <f t="shared" si="46"/>
        <v>1.1736111111111112</v>
      </c>
      <c r="I159" s="64">
        <f>SUM(H$4:H158)</f>
        <v>84.676135982079089</v>
      </c>
      <c r="J159" s="35">
        <f>Level!M159*VLOOKUP(A159,Plants!$C$4:$X$47,22)*24</f>
        <v>648000</v>
      </c>
      <c r="K159" s="239">
        <f t="shared" si="38"/>
        <v>2259300</v>
      </c>
      <c r="L159" s="239">
        <f>SUM($K$4:K159)</f>
        <v>132143314</v>
      </c>
      <c r="M159" s="239">
        <f t="shared" si="39"/>
        <v>760500</v>
      </c>
      <c r="N159" s="239">
        <f>SUM($M$4:M159)</f>
        <v>44306928</v>
      </c>
      <c r="O159">
        <f>ROUNDUP(MIN(50,ROUNDUP(A159/3,0),Level!M159)*Plants!Q$4*0.005,0)</f>
        <v>1</v>
      </c>
      <c r="P159">
        <f>ROUNDUP(MAX(4,MIN(A159,VLOOKUP(A159,Level!$A$4:$M$203,13))*MIN(4,ROUNDUP(VLOOKUP(A159,Background!$C$3:$D$52,2)/5,0)))*VLOOKUP(A159,Plants!$C$4:$AJ$53,30)*0.025,0)</f>
        <v>195</v>
      </c>
      <c r="Q159">
        <f t="shared" si="40"/>
        <v>98.5</v>
      </c>
      <c r="R159">
        <f>ROUND(MIN(50,ROUNDUP(A159/3,0),Level!M159)*Plants!R$4,0)</f>
        <v>250</v>
      </c>
      <c r="S159" s="153">
        <f>ROUNDUP(MAX(4,MIN(A159,VLOOKUP(A159,Level!$A$4:$M$203,13))*MIN(4,ROUNDUP(VLOOKUP(A159,Background!$C$3:$D$52,2)/5,0)))*VLOOKUP(A159,Plants!$C$4:$AJ$53,31)*1.25,0)</f>
        <v>221250</v>
      </c>
      <c r="T159" s="153">
        <f t="shared" si="41"/>
        <v>110750</v>
      </c>
      <c r="U159">
        <f>SUM($K$4:K159)</f>
        <v>132143314</v>
      </c>
      <c r="V159">
        <f>VLOOKUP(A159,Garden!$B$4:$P$19,15)</f>
        <v>15970400</v>
      </c>
      <c r="W159">
        <f>VLOOKUP(A159,Plots!$B$4:$U$39,20)</f>
        <v>27071200</v>
      </c>
      <c r="X159">
        <f>VLOOKUP(A159,'Decoration Background'!$A$2:$H$200,8)</f>
        <v>78195378</v>
      </c>
      <c r="Y159">
        <f t="shared" si="34"/>
        <v>10906336</v>
      </c>
      <c r="Z159" s="158">
        <f t="shared" si="35"/>
        <v>0.91746585075049658</v>
      </c>
      <c r="AA159">
        <f t="shared" si="36"/>
        <v>-17418010</v>
      </c>
      <c r="AB159" s="170">
        <f>MAX(0,(-Y159)/VLOOKUP($A159,Payment!$A$39:$G$239,7)*100)</f>
        <v>0</v>
      </c>
      <c r="AC159" s="138">
        <f t="shared" si="42"/>
        <v>1583.4554545454546</v>
      </c>
      <c r="AD159">
        <f t="shared" si="37"/>
        <v>36738</v>
      </c>
      <c r="AE159">
        <f t="shared" si="43"/>
        <v>0</v>
      </c>
      <c r="AF159" s="79">
        <f t="shared" si="44"/>
        <v>117.6</v>
      </c>
    </row>
    <row r="160" spans="1:32">
      <c r="A160" s="36">
        <v>157</v>
      </c>
      <c r="B160" s="69">
        <f>Level!B161-Level!B160</f>
        <v>85500</v>
      </c>
      <c r="C160" s="73">
        <f>Level!M160*VLOOKUP(A160,Plants!$C$4:$AH$47,32)*24+(27/Level!T160)</f>
        <v>5539.1197049525808</v>
      </c>
      <c r="D160" s="62">
        <f t="shared" si="45"/>
        <v>15.43566569315222</v>
      </c>
      <c r="E160" s="65">
        <f>SUM(D$4:D159)</f>
        <v>1168.2500430373159</v>
      </c>
      <c r="F160" s="205">
        <f>Level!M160*VLOOKUP(A160,Plants!$C$4:$AI$47,33)*24*1.15+IF(VLOOKUP(A160,Goals!$AO$4:$AO$120,1)=A160,VLOOKUP(A160,Goals!$AO$4:$AQ$120,3)/D160,0)+VLOOKUP(A160,Level!$A$4:$C$203,3)/D160</f>
        <v>148100.97471022129</v>
      </c>
      <c r="G160" s="71">
        <f>Level!M160*VLOOKUP(A160,Plants!$C$4:$X$47,21)*24</f>
        <v>72000</v>
      </c>
      <c r="H160" s="63">
        <f t="shared" si="46"/>
        <v>1.1875</v>
      </c>
      <c r="I160" s="64">
        <f>SUM(H$4:H159)</f>
        <v>85.849747093190203</v>
      </c>
      <c r="J160" s="35">
        <f>Level!M160*VLOOKUP(A160,Plants!$C$4:$X$47,22)*24</f>
        <v>648000</v>
      </c>
      <c r="K160" s="239">
        <f t="shared" si="38"/>
        <v>2286037</v>
      </c>
      <c r="L160" s="239">
        <f>SUM($K$4:K160)</f>
        <v>134429351</v>
      </c>
      <c r="M160" s="239">
        <f t="shared" si="39"/>
        <v>769500</v>
      </c>
      <c r="N160" s="239">
        <f>SUM($M$4:M160)</f>
        <v>45076428</v>
      </c>
      <c r="O160">
        <f>ROUNDUP(MIN(50,ROUNDUP(A160/3,0),Level!M160)*Plants!Q$4*0.005,0)</f>
        <v>1</v>
      </c>
      <c r="P160">
        <f>ROUNDUP(MAX(4,MIN(A160,VLOOKUP(A160,Level!$A$4:$M$203,13))*MIN(4,ROUNDUP(VLOOKUP(A160,Background!$C$3:$D$52,2)/5,0)))*VLOOKUP(A160,Plants!$C$4:$AJ$53,30)*0.025,0)</f>
        <v>195</v>
      </c>
      <c r="Q160">
        <f t="shared" si="40"/>
        <v>98.5</v>
      </c>
      <c r="R160">
        <f>ROUND(MIN(50,ROUNDUP(A160/3,0),Level!M160)*Plants!R$4,0)</f>
        <v>250</v>
      </c>
      <c r="S160" s="153">
        <f>ROUNDUP(MAX(4,MIN(A160,VLOOKUP(A160,Level!$A$4:$M$203,13))*MIN(4,ROUNDUP(VLOOKUP(A160,Background!$C$3:$D$52,2)/5,0)))*VLOOKUP(A160,Plants!$C$4:$AJ$53,31)*1.25,0)</f>
        <v>221250</v>
      </c>
      <c r="T160" s="153">
        <f t="shared" si="41"/>
        <v>110750</v>
      </c>
      <c r="U160">
        <f>SUM($K$4:K160)</f>
        <v>134429351</v>
      </c>
      <c r="V160">
        <f>VLOOKUP(A160,Garden!$B$4:$P$19,15)</f>
        <v>15970400</v>
      </c>
      <c r="W160">
        <f>VLOOKUP(A160,Plots!$B$4:$U$39,20)</f>
        <v>27071200</v>
      </c>
      <c r="X160">
        <f>VLOOKUP(A160,'Decoration Background'!$A$2:$H$200,8)</f>
        <v>79345347</v>
      </c>
      <c r="Y160">
        <f t="shared" si="34"/>
        <v>12042404</v>
      </c>
      <c r="Z160" s="158">
        <f t="shared" si="35"/>
        <v>0.91041834308937486</v>
      </c>
      <c r="AA160">
        <f t="shared" si="36"/>
        <v>-17418010</v>
      </c>
      <c r="AB160" s="170">
        <f>MAX(0,(-Y160)/VLOOKUP($A160,Payment!$A$39:$G$239,7)*100)</f>
        <v>0</v>
      </c>
      <c r="AC160" s="138">
        <f t="shared" si="42"/>
        <v>1583.4554545454546</v>
      </c>
      <c r="AD160">
        <f t="shared" si="37"/>
        <v>37209</v>
      </c>
      <c r="AE160">
        <f t="shared" si="43"/>
        <v>0</v>
      </c>
      <c r="AF160" s="79">
        <f t="shared" si="44"/>
        <v>117.6</v>
      </c>
    </row>
    <row r="161" spans="1:32">
      <c r="A161" s="36">
        <v>158</v>
      </c>
      <c r="B161" s="69">
        <f>Level!B162-Level!B161</f>
        <v>86500</v>
      </c>
      <c r="C161" s="73">
        <f>Level!M161*VLOOKUP(A161,Plants!$C$4:$AH$47,32)*24+(27/Level!T161)</f>
        <v>5539.1197049525808</v>
      </c>
      <c r="D161" s="62">
        <f t="shared" si="45"/>
        <v>15.616199794826516</v>
      </c>
      <c r="E161" s="65">
        <f>SUM(D$4:D160)</f>
        <v>1183.6857087304681</v>
      </c>
      <c r="F161" s="205">
        <f>Level!M161*VLOOKUP(A161,Plants!$C$4:$AI$47,33)*24*1.15+IF(VLOOKUP(A161,Goals!$AO$4:$AO$120,1)=A161,VLOOKUP(A161,Goals!$AO$4:$AQ$120,3)/D161,0)+VLOOKUP(A161,Level!$A$4:$C$203,3)/D161</f>
        <v>148100.97471022129</v>
      </c>
      <c r="G161" s="71">
        <f>Level!M161*VLOOKUP(A161,Plants!$C$4:$X$47,21)*24</f>
        <v>72000</v>
      </c>
      <c r="H161" s="63">
        <f t="shared" si="46"/>
        <v>1.2013888888888888</v>
      </c>
      <c r="I161" s="64">
        <f>SUM(H$4:H160)</f>
        <v>87.037247093190203</v>
      </c>
      <c r="J161" s="35">
        <f>Level!M161*VLOOKUP(A161,Plants!$C$4:$X$47,22)*24</f>
        <v>648000</v>
      </c>
      <c r="K161" s="239">
        <f t="shared" si="38"/>
        <v>2312774</v>
      </c>
      <c r="L161" s="239">
        <f>SUM($K$4:K161)</f>
        <v>136742125</v>
      </c>
      <c r="M161" s="239">
        <f t="shared" si="39"/>
        <v>778500</v>
      </c>
      <c r="N161" s="239">
        <f>SUM($M$4:M161)</f>
        <v>45854928</v>
      </c>
      <c r="O161">
        <f>ROUNDUP(MIN(50,ROUNDUP(A161/3,0),Level!M161)*Plants!Q$4*0.005,0)</f>
        <v>1</v>
      </c>
      <c r="P161">
        <f>ROUNDUP(MAX(4,MIN(A161,VLOOKUP(A161,Level!$A$4:$M$203,13))*MIN(4,ROUNDUP(VLOOKUP(A161,Background!$C$3:$D$52,2)/5,0)))*VLOOKUP(A161,Plants!$C$4:$AJ$53,30)*0.025,0)</f>
        <v>195</v>
      </c>
      <c r="Q161">
        <f t="shared" si="40"/>
        <v>98.5</v>
      </c>
      <c r="R161">
        <f>ROUND(MIN(50,ROUNDUP(A161/3,0),Level!M161)*Plants!R$4,0)</f>
        <v>250</v>
      </c>
      <c r="S161" s="153">
        <f>ROUNDUP(MAX(4,MIN(A161,VLOOKUP(A161,Level!$A$4:$M$203,13))*MIN(4,ROUNDUP(VLOOKUP(A161,Background!$C$3:$D$52,2)/5,0)))*VLOOKUP(A161,Plants!$C$4:$AJ$53,31)*1.25,0)</f>
        <v>221250</v>
      </c>
      <c r="T161" s="153">
        <f t="shared" si="41"/>
        <v>110750</v>
      </c>
      <c r="U161">
        <f>SUM($K$4:K161)</f>
        <v>136742125</v>
      </c>
      <c r="V161">
        <f>VLOOKUP(A161,Garden!$B$4:$P$19,15)</f>
        <v>15970400</v>
      </c>
      <c r="W161">
        <f>VLOOKUP(A161,Plots!$B$4:$U$39,20)</f>
        <v>27071200</v>
      </c>
      <c r="X161">
        <f>VLOOKUP(A161,'Decoration Background'!$A$2:$H$200,8)</f>
        <v>80505816</v>
      </c>
      <c r="Y161">
        <f t="shared" si="34"/>
        <v>13194709</v>
      </c>
      <c r="Z161" s="158">
        <f t="shared" si="35"/>
        <v>0.90350662606713184</v>
      </c>
      <c r="AA161">
        <f t="shared" si="36"/>
        <v>-17418010</v>
      </c>
      <c r="AB161" s="170">
        <f>MAX(0,(-Y161)/VLOOKUP($A161,Payment!$A$39:$G$239,7)*100)</f>
        <v>0</v>
      </c>
      <c r="AC161" s="138">
        <f t="shared" si="42"/>
        <v>1583.4554545454546</v>
      </c>
      <c r="AD161">
        <f t="shared" si="37"/>
        <v>37683</v>
      </c>
      <c r="AE161">
        <f t="shared" si="43"/>
        <v>0</v>
      </c>
      <c r="AF161" s="79">
        <f t="shared" si="44"/>
        <v>117.6</v>
      </c>
    </row>
    <row r="162" spans="1:32">
      <c r="A162" s="36">
        <v>159</v>
      </c>
      <c r="B162" s="69">
        <f>Level!B163-Level!B162</f>
        <v>87500</v>
      </c>
      <c r="C162" s="73">
        <f>Level!M162*VLOOKUP(A162,Plants!$C$4:$AH$47,32)*24+(27/Level!T162)</f>
        <v>5539.1197049525808</v>
      </c>
      <c r="D162" s="62">
        <f t="shared" si="45"/>
        <v>15.796733896500809</v>
      </c>
      <c r="E162" s="65">
        <f>SUM(D$4:D161)</f>
        <v>1199.3019085252947</v>
      </c>
      <c r="F162" s="205">
        <f>Level!M162*VLOOKUP(A162,Plants!$C$4:$AI$47,33)*24*1.15+IF(VLOOKUP(A162,Goals!$AO$4:$AO$120,1)=A162,VLOOKUP(A162,Goals!$AO$4:$AQ$120,3)/D162,0)+VLOOKUP(A162,Level!$A$4:$C$203,3)/D162</f>
        <v>148100.97471022129</v>
      </c>
      <c r="G162" s="71">
        <f>Level!M162*VLOOKUP(A162,Plants!$C$4:$X$47,21)*24</f>
        <v>72000</v>
      </c>
      <c r="H162" s="63">
        <f t="shared" si="46"/>
        <v>1.2152777777777777</v>
      </c>
      <c r="I162" s="64">
        <f>SUM(H$4:H161)</f>
        <v>88.238635982079089</v>
      </c>
      <c r="J162" s="35">
        <f>Level!M162*VLOOKUP(A162,Plants!$C$4:$X$47,22)*24</f>
        <v>648000</v>
      </c>
      <c r="K162" s="239">
        <f t="shared" si="38"/>
        <v>2339512</v>
      </c>
      <c r="L162" s="239">
        <f>SUM($K$4:K162)</f>
        <v>139081637</v>
      </c>
      <c r="M162" s="239">
        <f t="shared" si="39"/>
        <v>787500</v>
      </c>
      <c r="N162" s="239">
        <f>SUM($M$4:M162)</f>
        <v>46642428</v>
      </c>
      <c r="O162">
        <f>ROUNDUP(MIN(50,ROUNDUP(A162/3,0),Level!M162)*Plants!Q$4*0.005,0)</f>
        <v>1</v>
      </c>
      <c r="P162">
        <f>ROUNDUP(MAX(4,MIN(A162,VLOOKUP(A162,Level!$A$4:$M$203,13))*MIN(4,ROUNDUP(VLOOKUP(A162,Background!$C$3:$D$52,2)/5,0)))*VLOOKUP(A162,Plants!$C$4:$AJ$53,30)*0.025,0)</f>
        <v>195</v>
      </c>
      <c r="Q162">
        <f t="shared" si="40"/>
        <v>98.5</v>
      </c>
      <c r="R162">
        <f>ROUND(MIN(50,ROUNDUP(A162/3,0),Level!M162)*Plants!R$4,0)</f>
        <v>250</v>
      </c>
      <c r="S162" s="153">
        <f>ROUNDUP(MAX(4,MIN(A162,VLOOKUP(A162,Level!$A$4:$M$203,13))*MIN(4,ROUNDUP(VLOOKUP(A162,Background!$C$3:$D$52,2)/5,0)))*VLOOKUP(A162,Plants!$C$4:$AJ$53,31)*1.25,0)</f>
        <v>221250</v>
      </c>
      <c r="T162" s="153">
        <f t="shared" si="41"/>
        <v>110750</v>
      </c>
      <c r="U162">
        <f>SUM($K$4:K162)</f>
        <v>139081637</v>
      </c>
      <c r="V162">
        <f>VLOOKUP(A162,Garden!$B$4:$P$19,15)</f>
        <v>15970400</v>
      </c>
      <c r="W162">
        <f>VLOOKUP(A162,Plots!$B$4:$U$39,20)</f>
        <v>27071200</v>
      </c>
      <c r="X162">
        <f>VLOOKUP(A162,'Decoration Background'!$A$2:$H$200,8)</f>
        <v>81677235</v>
      </c>
      <c r="Y162">
        <f t="shared" si="34"/>
        <v>14362802</v>
      </c>
      <c r="Z162" s="158">
        <f t="shared" si="35"/>
        <v>0.89673114071845439</v>
      </c>
      <c r="AA162">
        <f t="shared" si="36"/>
        <v>-17418010</v>
      </c>
      <c r="AB162" s="170">
        <f>MAX(0,(-Y162)/VLOOKUP($A162,Payment!$A$39:$G$239,7)*100)</f>
        <v>0</v>
      </c>
      <c r="AC162" s="138">
        <f t="shared" si="42"/>
        <v>1583.4554545454546</v>
      </c>
      <c r="AD162">
        <f t="shared" si="37"/>
        <v>38160</v>
      </c>
      <c r="AE162">
        <f t="shared" si="43"/>
        <v>0</v>
      </c>
      <c r="AF162" s="79">
        <f t="shared" si="44"/>
        <v>117.6</v>
      </c>
    </row>
    <row r="163" spans="1:32">
      <c r="A163" s="36">
        <v>160</v>
      </c>
      <c r="B163" s="69">
        <f>Level!B164-Level!B163</f>
        <v>88500</v>
      </c>
      <c r="C163" s="73">
        <f>Level!M163*VLOOKUP(A163,Plants!$C$4:$AH$47,32)*24+(27/Level!T163)</f>
        <v>5539.1197049525808</v>
      </c>
      <c r="D163" s="62">
        <f t="shared" si="45"/>
        <v>15.977267998175105</v>
      </c>
      <c r="E163" s="65">
        <f>SUM(D$4:D162)</f>
        <v>1215.0986424217956</v>
      </c>
      <c r="F163" s="205">
        <f>Level!M163*VLOOKUP(A163,Plants!$C$4:$AI$47,33)*24*1.15+IF(VLOOKUP(A163,Goals!$AO$4:$AO$120,1)=A163,VLOOKUP(A163,Goals!$AO$4:$AQ$120,3)/D163,0)+VLOOKUP(A163,Level!$A$4:$C$203,3)/D163</f>
        <v>148100.97471022129</v>
      </c>
      <c r="G163" s="71">
        <f>Level!M163*VLOOKUP(A163,Plants!$C$4:$X$47,21)*24</f>
        <v>72000</v>
      </c>
      <c r="H163" s="63">
        <f t="shared" si="46"/>
        <v>1.2291666666666667</v>
      </c>
      <c r="I163" s="64">
        <f>SUM(H$4:H162)</f>
        <v>89.45391375985686</v>
      </c>
      <c r="J163" s="35">
        <f>Level!M163*VLOOKUP(A163,Plants!$C$4:$X$47,22)*24</f>
        <v>648000</v>
      </c>
      <c r="K163" s="239">
        <f t="shared" si="38"/>
        <v>2366249</v>
      </c>
      <c r="L163" s="239">
        <f>SUM($K$4:K163)</f>
        <v>141447886</v>
      </c>
      <c r="M163" s="239">
        <f t="shared" si="39"/>
        <v>796500</v>
      </c>
      <c r="N163" s="239">
        <f>SUM($M$4:M163)</f>
        <v>47438928</v>
      </c>
      <c r="O163">
        <f>ROUNDUP(MIN(50,ROUNDUP(A163/3,0),Level!M163)*Plants!Q$4*0.005,0)</f>
        <v>1</v>
      </c>
      <c r="P163">
        <f>ROUNDUP(MAX(4,MIN(A163,VLOOKUP(A163,Level!$A$4:$M$203,13))*MIN(4,ROUNDUP(VLOOKUP(A163,Background!$C$3:$D$52,2)/5,0)))*VLOOKUP(A163,Plants!$C$4:$AJ$53,30)*0.025,0)</f>
        <v>195</v>
      </c>
      <c r="Q163">
        <f t="shared" si="40"/>
        <v>98.5</v>
      </c>
      <c r="R163">
        <f>ROUND(MIN(50,ROUNDUP(A163/3,0),Level!M163)*Plants!R$4,0)</f>
        <v>250</v>
      </c>
      <c r="S163" s="153">
        <f>ROUNDUP(MAX(4,MIN(A163,VLOOKUP(A163,Level!$A$4:$M$203,13))*MIN(4,ROUNDUP(VLOOKUP(A163,Background!$C$3:$D$52,2)/5,0)))*VLOOKUP(A163,Plants!$C$4:$AJ$53,31)*1.25,0)</f>
        <v>221250</v>
      </c>
      <c r="T163" s="153">
        <f t="shared" si="41"/>
        <v>110750</v>
      </c>
      <c r="U163">
        <f>SUM($K$4:K163)</f>
        <v>141447886</v>
      </c>
      <c r="V163">
        <f>VLOOKUP(A163,Garden!$B$4:$P$19,15)</f>
        <v>15970400</v>
      </c>
      <c r="W163">
        <f>VLOOKUP(A163,Plots!$B$4:$U$39,20)</f>
        <v>27071200</v>
      </c>
      <c r="X163">
        <f>VLOOKUP(A163,'Decoration Background'!$A$2:$H$200,8)</f>
        <v>82860054</v>
      </c>
      <c r="Y163">
        <f t="shared" si="34"/>
        <v>15546232</v>
      </c>
      <c r="Z163" s="158">
        <f t="shared" si="35"/>
        <v>0.89009215733347902</v>
      </c>
      <c r="AA163">
        <f t="shared" si="36"/>
        <v>-17418010</v>
      </c>
      <c r="AB163" s="170">
        <f>MAX(0,(-Y163)/VLOOKUP($A163,Payment!$A$39:$G$239,7)*100)</f>
        <v>0</v>
      </c>
      <c r="AC163" s="138">
        <f t="shared" si="42"/>
        <v>1583.4554545454546</v>
      </c>
      <c r="AD163">
        <f t="shared" si="37"/>
        <v>38640</v>
      </c>
      <c r="AE163">
        <f t="shared" si="43"/>
        <v>0</v>
      </c>
      <c r="AF163" s="79">
        <f t="shared" si="44"/>
        <v>117.6</v>
      </c>
    </row>
    <row r="164" spans="1:32">
      <c r="A164" s="36">
        <v>161</v>
      </c>
      <c r="B164" s="69">
        <f>Level!B165-Level!B164</f>
        <v>89500</v>
      </c>
      <c r="C164" s="73">
        <f>Level!M164*VLOOKUP(A164,Plants!$C$4:$AH$47,32)*24+(27/Level!T164)</f>
        <v>5539.1197049525808</v>
      </c>
      <c r="D164" s="62">
        <f t="shared" si="45"/>
        <v>16.157802099849402</v>
      </c>
      <c r="E164" s="65">
        <f>SUM(D$4:D163)</f>
        <v>1231.0759104199708</v>
      </c>
      <c r="F164" s="205">
        <f>Level!M164*VLOOKUP(A164,Plants!$C$4:$AI$47,33)*24*1.15+IF(VLOOKUP(A164,Goals!$AO$4:$AO$120,1)=A164,VLOOKUP(A164,Goals!$AO$4:$AQ$120,3)/D164,0)+VLOOKUP(A164,Level!$A$4:$C$203,3)/D164</f>
        <v>148100.97471022129</v>
      </c>
      <c r="G164" s="71">
        <f>Level!M164*VLOOKUP(A164,Plants!$C$4:$X$47,21)*24</f>
        <v>72000</v>
      </c>
      <c r="H164" s="63">
        <f t="shared" si="46"/>
        <v>1.2430555555555556</v>
      </c>
      <c r="I164" s="64">
        <f>SUM(H$4:H163)</f>
        <v>90.683080426523532</v>
      </c>
      <c r="J164" s="35">
        <f>Level!M164*VLOOKUP(A164,Plants!$C$4:$X$47,22)*24</f>
        <v>648000</v>
      </c>
      <c r="K164" s="239">
        <f t="shared" si="38"/>
        <v>2392986</v>
      </c>
      <c r="L164" s="239">
        <f>SUM($K$4:K164)</f>
        <v>143840872</v>
      </c>
      <c r="M164" s="239">
        <f t="shared" si="39"/>
        <v>805500</v>
      </c>
      <c r="N164" s="239">
        <f>SUM($M$4:M164)</f>
        <v>48244428</v>
      </c>
      <c r="O164">
        <f>ROUNDUP(MIN(50,ROUNDUP(A164/3,0),Level!M164)*Plants!Q$4*0.005,0)</f>
        <v>1</v>
      </c>
      <c r="P164">
        <f>ROUNDUP(MAX(4,MIN(A164,VLOOKUP(A164,Level!$A$4:$M$203,13))*MIN(4,ROUNDUP(VLOOKUP(A164,Background!$C$3:$D$52,2)/5,0)))*VLOOKUP(A164,Plants!$C$4:$AJ$53,30)*0.025,0)</f>
        <v>195</v>
      </c>
      <c r="Q164">
        <f t="shared" si="40"/>
        <v>98.5</v>
      </c>
      <c r="R164">
        <f>ROUND(MIN(50,ROUNDUP(A164/3,0),Level!M164)*Plants!R$4,0)</f>
        <v>250</v>
      </c>
      <c r="S164" s="153">
        <f>ROUNDUP(MAX(4,MIN(A164,VLOOKUP(A164,Level!$A$4:$M$203,13))*MIN(4,ROUNDUP(VLOOKUP(A164,Background!$C$3:$D$52,2)/5,0)))*VLOOKUP(A164,Plants!$C$4:$AJ$53,31)*1.25,0)</f>
        <v>221250</v>
      </c>
      <c r="T164" s="153">
        <f t="shared" si="41"/>
        <v>110750</v>
      </c>
      <c r="U164">
        <f>SUM($K$4:K164)</f>
        <v>143840872</v>
      </c>
      <c r="V164">
        <f>VLOOKUP(A164,Garden!$B$4:$P$19,15)</f>
        <v>15970400</v>
      </c>
      <c r="W164">
        <f>VLOOKUP(A164,Plots!$B$4:$U$39,20)</f>
        <v>27071200</v>
      </c>
      <c r="X164">
        <f>VLOOKUP(A164,'Decoration Background'!$A$2:$H$200,8)</f>
        <v>84054723</v>
      </c>
      <c r="Y164">
        <f t="shared" ref="Y164:Y195" si="47">U164-SUM(V164:X164)</f>
        <v>16744549</v>
      </c>
      <c r="Z164" s="158">
        <f t="shared" ref="Z164:Z195" si="48">SUM(V164:X164)/U164</f>
        <v>0.88358976995078287</v>
      </c>
      <c r="AA164">
        <f t="shared" ref="AA164:AA195" si="49">MIN(0,IF(Y164&lt;AA163,Y164,AA163))</f>
        <v>-17418010</v>
      </c>
      <c r="AB164" s="170">
        <f>MAX(0,(-Y164)/VLOOKUP($A164,Payment!$A$39:$G$239,7)*100)</f>
        <v>0</v>
      </c>
      <c r="AC164" s="138">
        <f t="shared" si="42"/>
        <v>1583.4554545454546</v>
      </c>
      <c r="AD164">
        <f t="shared" ref="AD164:AD196" si="50">A164*(A164+1)*3/2</f>
        <v>39123</v>
      </c>
      <c r="AE164">
        <f t="shared" si="43"/>
        <v>0</v>
      </c>
      <c r="AF164" s="79">
        <f t="shared" si="44"/>
        <v>117.6</v>
      </c>
    </row>
    <row r="165" spans="1:32">
      <c r="A165" s="36">
        <v>162</v>
      </c>
      <c r="B165" s="69">
        <f>Level!B166-Level!B165</f>
        <v>90500</v>
      </c>
      <c r="C165" s="73">
        <f>Level!M165*VLOOKUP(A165,Plants!$C$4:$AH$47,32)*24+(27/Level!T165)</f>
        <v>5539.1197049525808</v>
      </c>
      <c r="D165" s="62">
        <f t="shared" si="45"/>
        <v>16.338336201523695</v>
      </c>
      <c r="E165" s="65">
        <f>SUM(D$4:D164)</f>
        <v>1247.2337125198203</v>
      </c>
      <c r="F165" s="205">
        <f>Level!M165*VLOOKUP(A165,Plants!$C$4:$AI$47,33)*24*1.15+IF(VLOOKUP(A165,Goals!$AO$4:$AO$120,1)=A165,VLOOKUP(A165,Goals!$AO$4:$AQ$120,3)/D165,0)+VLOOKUP(A165,Level!$A$4:$C$203,3)/D165</f>
        <v>148100.97471022129</v>
      </c>
      <c r="G165" s="71">
        <f>Level!M165*VLOOKUP(A165,Plants!$C$4:$X$47,21)*24</f>
        <v>72000</v>
      </c>
      <c r="H165" s="63">
        <f t="shared" si="46"/>
        <v>1.2569444444444444</v>
      </c>
      <c r="I165" s="64">
        <f>SUM(H$4:H164)</f>
        <v>91.926135982079089</v>
      </c>
      <c r="J165" s="35">
        <f>Level!M165*VLOOKUP(A165,Plants!$C$4:$X$47,22)*24</f>
        <v>648000</v>
      </c>
      <c r="K165" s="239">
        <f t="shared" si="38"/>
        <v>2419724</v>
      </c>
      <c r="L165" s="239">
        <f>SUM($K$4:K165)</f>
        <v>146260596</v>
      </c>
      <c r="M165" s="239">
        <f t="shared" si="39"/>
        <v>814500</v>
      </c>
      <c r="N165" s="239">
        <f>SUM($M$4:M165)</f>
        <v>49058928</v>
      </c>
      <c r="O165">
        <f>ROUNDUP(MIN(50,ROUNDUP(A165/3,0),Level!M165)*Plants!Q$4*0.005,0)</f>
        <v>1</v>
      </c>
      <c r="P165">
        <f>ROUNDUP(MAX(4,MIN(A165,VLOOKUP(A165,Level!$A$4:$M$203,13))*MIN(4,ROUNDUP(VLOOKUP(A165,Background!$C$3:$D$52,2)/5,0)))*VLOOKUP(A165,Plants!$C$4:$AJ$53,30)*0.025,0)</f>
        <v>195</v>
      </c>
      <c r="Q165">
        <f t="shared" si="40"/>
        <v>98.5</v>
      </c>
      <c r="R165">
        <f>ROUND(MIN(50,ROUNDUP(A165/3,0),Level!M165)*Plants!R$4,0)</f>
        <v>250</v>
      </c>
      <c r="S165" s="153">
        <f>ROUNDUP(MAX(4,MIN(A165,VLOOKUP(A165,Level!$A$4:$M$203,13))*MIN(4,ROUNDUP(VLOOKUP(A165,Background!$C$3:$D$52,2)/5,0)))*VLOOKUP(A165,Plants!$C$4:$AJ$53,31)*1.25,0)</f>
        <v>221250</v>
      </c>
      <c r="T165" s="153">
        <f t="shared" si="41"/>
        <v>110750</v>
      </c>
      <c r="U165">
        <f>SUM($K$4:K165)</f>
        <v>146260596</v>
      </c>
      <c r="V165">
        <f>VLOOKUP(A165,Garden!$B$4:$P$19,15)</f>
        <v>15970400</v>
      </c>
      <c r="W165">
        <f>VLOOKUP(A165,Plots!$B$4:$U$39,20)</f>
        <v>27071200</v>
      </c>
      <c r="X165">
        <f>VLOOKUP(A165,'Decoration Background'!$A$2:$H$200,8)</f>
        <v>85261692</v>
      </c>
      <c r="Y165">
        <f t="shared" si="47"/>
        <v>17957304</v>
      </c>
      <c r="Z165" s="158">
        <f t="shared" si="48"/>
        <v>0.87722391066969263</v>
      </c>
      <c r="AA165">
        <f t="shared" si="49"/>
        <v>-17418010</v>
      </c>
      <c r="AB165" s="170">
        <f>MAX(0,(-Y165)/VLOOKUP($A165,Payment!$A$39:$G$239,7)*100)</f>
        <v>0</v>
      </c>
      <c r="AC165" s="138">
        <f t="shared" si="42"/>
        <v>1583.4554545454546</v>
      </c>
      <c r="AD165">
        <f t="shared" si="50"/>
        <v>39609</v>
      </c>
      <c r="AE165">
        <f t="shared" si="43"/>
        <v>0</v>
      </c>
      <c r="AF165" s="79">
        <f t="shared" si="44"/>
        <v>117.6</v>
      </c>
    </row>
    <row r="166" spans="1:32">
      <c r="A166" s="36">
        <v>163</v>
      </c>
      <c r="B166" s="69">
        <f>Level!B167-Level!B166</f>
        <v>91500</v>
      </c>
      <c r="C166" s="73">
        <f>Level!M166*VLOOKUP(A166,Plants!$C$4:$AH$47,32)*24+(27/Level!T166)</f>
        <v>5539.1197049525808</v>
      </c>
      <c r="D166" s="62">
        <f t="shared" si="45"/>
        <v>16.518870303197989</v>
      </c>
      <c r="E166" s="65">
        <f>SUM(D$4:D165)</f>
        <v>1263.5720487213439</v>
      </c>
      <c r="F166" s="205">
        <f>Level!M166*VLOOKUP(A166,Plants!$C$4:$AI$47,33)*24*1.15+IF(VLOOKUP(A166,Goals!$AO$4:$AO$120,1)=A166,VLOOKUP(A166,Goals!$AO$4:$AQ$120,3)/D166,0)+VLOOKUP(A166,Level!$A$4:$C$203,3)/D166</f>
        <v>148100.97471022129</v>
      </c>
      <c r="G166" s="71">
        <f>Level!M166*VLOOKUP(A166,Plants!$C$4:$X$47,21)*24</f>
        <v>72000</v>
      </c>
      <c r="H166" s="63">
        <f t="shared" si="46"/>
        <v>1.2708333333333333</v>
      </c>
      <c r="I166" s="64">
        <f>SUM(H$4:H165)</f>
        <v>93.183080426523532</v>
      </c>
      <c r="J166" s="35">
        <f>Level!M166*VLOOKUP(A166,Plants!$C$4:$X$47,22)*24</f>
        <v>648000</v>
      </c>
      <c r="K166" s="239">
        <f t="shared" si="38"/>
        <v>2446461</v>
      </c>
      <c r="L166" s="239">
        <f>SUM($K$4:K166)</f>
        <v>148707057</v>
      </c>
      <c r="M166" s="239">
        <f t="shared" si="39"/>
        <v>823500</v>
      </c>
      <c r="N166" s="239">
        <f>SUM($M$4:M166)</f>
        <v>49882428</v>
      </c>
      <c r="O166">
        <f>ROUNDUP(MIN(50,ROUNDUP(A166/3,0),Level!M166)*Plants!Q$4*0.005,0)</f>
        <v>1</v>
      </c>
      <c r="P166">
        <f>ROUNDUP(MAX(4,MIN(A166,VLOOKUP(A166,Level!$A$4:$M$203,13))*MIN(4,ROUNDUP(VLOOKUP(A166,Background!$C$3:$D$52,2)/5,0)))*VLOOKUP(A166,Plants!$C$4:$AJ$53,30)*0.025,0)</f>
        <v>195</v>
      </c>
      <c r="Q166">
        <f t="shared" si="40"/>
        <v>98.5</v>
      </c>
      <c r="R166">
        <f>ROUND(MIN(50,ROUNDUP(A166/3,0),Level!M166)*Plants!R$4,0)</f>
        <v>250</v>
      </c>
      <c r="S166" s="153">
        <f>ROUNDUP(MAX(4,MIN(A166,VLOOKUP(A166,Level!$A$4:$M$203,13))*MIN(4,ROUNDUP(VLOOKUP(A166,Background!$C$3:$D$52,2)/5,0)))*VLOOKUP(A166,Plants!$C$4:$AJ$53,31)*1.25,0)</f>
        <v>221250</v>
      </c>
      <c r="T166" s="153">
        <f t="shared" si="41"/>
        <v>110750</v>
      </c>
      <c r="U166">
        <f>SUM($K$4:K166)</f>
        <v>148707057</v>
      </c>
      <c r="V166">
        <f>VLOOKUP(A166,Garden!$B$4:$P$19,15)</f>
        <v>15970400</v>
      </c>
      <c r="W166">
        <f>VLOOKUP(A166,Plots!$B$4:$U$39,20)</f>
        <v>27071200</v>
      </c>
      <c r="X166">
        <f>VLOOKUP(A166,'Decoration Background'!$A$2:$H$200,8)</f>
        <v>86481411</v>
      </c>
      <c r="Y166">
        <f t="shared" si="47"/>
        <v>19184046</v>
      </c>
      <c r="Z166" s="158">
        <f t="shared" si="48"/>
        <v>0.8709943805827588</v>
      </c>
      <c r="AA166">
        <f t="shared" si="49"/>
        <v>-17418010</v>
      </c>
      <c r="AB166" s="170">
        <f>MAX(0,(-Y166)/VLOOKUP($A166,Payment!$A$39:$G$239,7)*100)</f>
        <v>0</v>
      </c>
      <c r="AC166" s="138">
        <f t="shared" si="42"/>
        <v>1583.4554545454546</v>
      </c>
      <c r="AD166">
        <f t="shared" si="50"/>
        <v>40098</v>
      </c>
      <c r="AE166">
        <f t="shared" si="43"/>
        <v>0</v>
      </c>
      <c r="AF166" s="79">
        <f t="shared" si="44"/>
        <v>117.6</v>
      </c>
    </row>
    <row r="167" spans="1:32">
      <c r="A167" s="36">
        <v>164</v>
      </c>
      <c r="B167" s="69">
        <f>Level!B168-Level!B167</f>
        <v>92500</v>
      </c>
      <c r="C167" s="73">
        <f>Level!M167*VLOOKUP(A167,Plants!$C$4:$AH$47,32)*24+(27/Level!T167)</f>
        <v>5539.1197049525808</v>
      </c>
      <c r="D167" s="62">
        <f t="shared" si="45"/>
        <v>16.699404404872286</v>
      </c>
      <c r="E167" s="65">
        <f>SUM(D$4:D166)</f>
        <v>1280.0909190245418</v>
      </c>
      <c r="F167" s="205">
        <f>Level!M167*VLOOKUP(A167,Plants!$C$4:$AI$47,33)*24*1.15+IF(VLOOKUP(A167,Goals!$AO$4:$AO$120,1)=A167,VLOOKUP(A167,Goals!$AO$4:$AQ$120,3)/D167,0)+VLOOKUP(A167,Level!$A$4:$C$203,3)/D167</f>
        <v>148100.97471022129</v>
      </c>
      <c r="G167" s="71">
        <f>Level!M167*VLOOKUP(A167,Plants!$C$4:$X$47,21)*24</f>
        <v>72000</v>
      </c>
      <c r="H167" s="63">
        <f t="shared" si="46"/>
        <v>1.2847222222222223</v>
      </c>
      <c r="I167" s="64">
        <f>SUM(H$4:H166)</f>
        <v>94.45391375985686</v>
      </c>
      <c r="J167" s="35">
        <f>Level!M167*VLOOKUP(A167,Plants!$C$4:$X$47,22)*24</f>
        <v>648000</v>
      </c>
      <c r="K167" s="239">
        <f t="shared" si="38"/>
        <v>2473198</v>
      </c>
      <c r="L167" s="239">
        <f>SUM($K$4:K167)</f>
        <v>151180255</v>
      </c>
      <c r="M167" s="239">
        <f t="shared" si="39"/>
        <v>832500</v>
      </c>
      <c r="N167" s="239">
        <f>SUM($M$4:M167)</f>
        <v>50714928</v>
      </c>
      <c r="O167">
        <f>ROUNDUP(MIN(50,ROUNDUP(A167/3,0),Level!M167)*Plants!Q$4*0.005,0)</f>
        <v>1</v>
      </c>
      <c r="P167">
        <f>ROUNDUP(MAX(4,MIN(A167,VLOOKUP(A167,Level!$A$4:$M$203,13))*MIN(4,ROUNDUP(VLOOKUP(A167,Background!$C$3:$D$52,2)/5,0)))*VLOOKUP(A167,Plants!$C$4:$AJ$53,30)*0.025,0)</f>
        <v>195</v>
      </c>
      <c r="Q167">
        <f t="shared" si="40"/>
        <v>98.5</v>
      </c>
      <c r="R167">
        <f>ROUND(MIN(50,ROUNDUP(A167/3,0),Level!M167)*Plants!R$4,0)</f>
        <v>250</v>
      </c>
      <c r="S167" s="153">
        <f>ROUNDUP(MAX(4,MIN(A167,VLOOKUP(A167,Level!$A$4:$M$203,13))*MIN(4,ROUNDUP(VLOOKUP(A167,Background!$C$3:$D$52,2)/5,0)))*VLOOKUP(A167,Plants!$C$4:$AJ$53,31)*1.25,0)</f>
        <v>221250</v>
      </c>
      <c r="T167" s="153">
        <f t="shared" si="41"/>
        <v>110750</v>
      </c>
      <c r="U167">
        <f>SUM($K$4:K167)</f>
        <v>151180255</v>
      </c>
      <c r="V167">
        <f>VLOOKUP(A167,Garden!$B$4:$P$19,15)</f>
        <v>15970400</v>
      </c>
      <c r="W167">
        <f>VLOOKUP(A167,Plots!$B$4:$U$39,20)</f>
        <v>27071200</v>
      </c>
      <c r="X167">
        <f>VLOOKUP(A167,'Decoration Background'!$A$2:$H$200,8)</f>
        <v>87714330</v>
      </c>
      <c r="Y167">
        <f t="shared" si="47"/>
        <v>20424325</v>
      </c>
      <c r="Z167" s="158">
        <f t="shared" si="48"/>
        <v>0.86490084303667825</v>
      </c>
      <c r="AA167">
        <f t="shared" si="49"/>
        <v>-17418010</v>
      </c>
      <c r="AB167" s="170">
        <f>MAX(0,(-Y167)/VLOOKUP($A167,Payment!$A$39:$G$239,7)*100)</f>
        <v>0</v>
      </c>
      <c r="AC167" s="138">
        <f t="shared" si="42"/>
        <v>1583.4554545454546</v>
      </c>
      <c r="AD167">
        <f t="shared" si="50"/>
        <v>40590</v>
      </c>
      <c r="AE167">
        <f t="shared" si="43"/>
        <v>0</v>
      </c>
      <c r="AF167" s="79">
        <f t="shared" si="44"/>
        <v>117.6</v>
      </c>
    </row>
    <row r="168" spans="1:32">
      <c r="A168" s="36">
        <v>165</v>
      </c>
      <c r="B168" s="69">
        <f>Level!B169-Level!B168</f>
        <v>93500</v>
      </c>
      <c r="C168" s="73">
        <f>Level!M168*VLOOKUP(A168,Plants!$C$4:$AH$47,32)*24+(27/Level!T168)</f>
        <v>5539.1197049525808</v>
      </c>
      <c r="D168" s="62">
        <f t="shared" si="45"/>
        <v>16.87993850654658</v>
      </c>
      <c r="E168" s="65">
        <f>SUM(D$4:D167)</f>
        <v>1296.790323429414</v>
      </c>
      <c r="F168" s="205">
        <f>Level!M168*VLOOKUP(A168,Plants!$C$4:$AI$47,33)*24*1.15+IF(VLOOKUP(A168,Goals!$AO$4:$AO$120,1)=A168,VLOOKUP(A168,Goals!$AO$4:$AQ$120,3)/D168,0)+VLOOKUP(A168,Level!$A$4:$C$203,3)/D168</f>
        <v>148100.97471022129</v>
      </c>
      <c r="G168" s="71">
        <f>Level!M168*VLOOKUP(A168,Plants!$C$4:$X$47,21)*24</f>
        <v>72000</v>
      </c>
      <c r="H168" s="63">
        <f t="shared" si="46"/>
        <v>1.2986111111111112</v>
      </c>
      <c r="I168" s="64">
        <f>SUM(H$4:H167)</f>
        <v>95.738635982079089</v>
      </c>
      <c r="J168" s="35">
        <f>Level!M168*VLOOKUP(A168,Plants!$C$4:$X$47,22)*24</f>
        <v>648000</v>
      </c>
      <c r="K168" s="239">
        <f t="shared" si="38"/>
        <v>2499935</v>
      </c>
      <c r="L168" s="239">
        <f>SUM($K$4:K168)</f>
        <v>153680190</v>
      </c>
      <c r="M168" s="239">
        <f t="shared" si="39"/>
        <v>841500</v>
      </c>
      <c r="N168" s="239">
        <f>SUM($M$4:M168)</f>
        <v>51556428</v>
      </c>
      <c r="O168">
        <f>ROUNDUP(MIN(50,ROUNDUP(A168/3,0),Level!M168)*Plants!Q$4*0.005,0)</f>
        <v>1</v>
      </c>
      <c r="P168">
        <f>ROUNDUP(MAX(4,MIN(A168,VLOOKUP(A168,Level!$A$4:$M$203,13))*MIN(4,ROUNDUP(VLOOKUP(A168,Background!$C$3:$D$52,2)/5,0)))*VLOOKUP(A168,Plants!$C$4:$AJ$53,30)*0.025,0)</f>
        <v>195</v>
      </c>
      <c r="Q168">
        <f t="shared" si="40"/>
        <v>98.5</v>
      </c>
      <c r="R168">
        <f>ROUND(MIN(50,ROUNDUP(A168/3,0),Level!M168)*Plants!R$4,0)</f>
        <v>250</v>
      </c>
      <c r="S168" s="153">
        <f>ROUNDUP(MAX(4,MIN(A168,VLOOKUP(A168,Level!$A$4:$M$203,13))*MIN(4,ROUNDUP(VLOOKUP(A168,Background!$C$3:$D$52,2)/5,0)))*VLOOKUP(A168,Plants!$C$4:$AJ$53,31)*1.25,0)</f>
        <v>221250</v>
      </c>
      <c r="T168" s="153">
        <f t="shared" si="41"/>
        <v>110750</v>
      </c>
      <c r="U168">
        <f>SUM($K$4:K168)</f>
        <v>153680190</v>
      </c>
      <c r="V168">
        <f>VLOOKUP(A168,Garden!$B$4:$P$19,15)</f>
        <v>15970400</v>
      </c>
      <c r="W168">
        <f>VLOOKUP(A168,Plots!$B$4:$U$39,20)</f>
        <v>27071200</v>
      </c>
      <c r="X168">
        <f>VLOOKUP(A168,'Decoration Background'!$A$2:$H$200,8)</f>
        <v>88960899</v>
      </c>
      <c r="Y168">
        <f t="shared" si="47"/>
        <v>21677691</v>
      </c>
      <c r="Z168" s="158">
        <f t="shared" si="48"/>
        <v>0.8589428409738431</v>
      </c>
      <c r="AA168">
        <f t="shared" si="49"/>
        <v>-17418010</v>
      </c>
      <c r="AB168" s="170">
        <f>MAX(0,(-Y168)/VLOOKUP($A168,Payment!$A$39:$G$239,7)*100)</f>
        <v>0</v>
      </c>
      <c r="AC168" s="138">
        <f t="shared" si="42"/>
        <v>1583.4554545454546</v>
      </c>
      <c r="AD168">
        <f t="shared" si="50"/>
        <v>41085</v>
      </c>
      <c r="AE168">
        <f t="shared" si="43"/>
        <v>0</v>
      </c>
      <c r="AF168" s="79">
        <f t="shared" si="44"/>
        <v>117.6</v>
      </c>
    </row>
    <row r="169" spans="1:32">
      <c r="A169" s="36">
        <v>166</v>
      </c>
      <c r="B169" s="69">
        <f>Level!B170-Level!B169</f>
        <v>94500</v>
      </c>
      <c r="C169" s="73">
        <f>Level!M169*VLOOKUP(A169,Plants!$C$4:$AH$47,32)*24+(27/Level!T169)</f>
        <v>5539.1197049525808</v>
      </c>
      <c r="D169" s="62">
        <f t="shared" si="45"/>
        <v>17.060472608220874</v>
      </c>
      <c r="E169" s="65">
        <f>SUM(D$4:D168)</f>
        <v>1313.6702619359605</v>
      </c>
      <c r="F169" s="205">
        <f>Level!M169*VLOOKUP(A169,Plants!$C$4:$AI$47,33)*24*1.15+IF(VLOOKUP(A169,Goals!$AO$4:$AO$120,1)=A169,VLOOKUP(A169,Goals!$AO$4:$AQ$120,3)/D169,0)+VLOOKUP(A169,Level!$A$4:$C$203,3)/D169</f>
        <v>148100.97471022129</v>
      </c>
      <c r="G169" s="71">
        <f>Level!M169*VLOOKUP(A169,Plants!$C$4:$X$47,21)*24</f>
        <v>72000</v>
      </c>
      <c r="H169" s="63">
        <f t="shared" si="46"/>
        <v>1.3125</v>
      </c>
      <c r="I169" s="64">
        <f>SUM(H$4:H168)</f>
        <v>97.037247093190203</v>
      </c>
      <c r="J169" s="35">
        <f>Level!M169*VLOOKUP(A169,Plants!$C$4:$X$47,22)*24</f>
        <v>648000</v>
      </c>
      <c r="K169" s="239">
        <f t="shared" si="38"/>
        <v>2526673</v>
      </c>
      <c r="L169" s="239">
        <f>SUM($K$4:K169)</f>
        <v>156206863</v>
      </c>
      <c r="M169" s="239">
        <f t="shared" si="39"/>
        <v>850500</v>
      </c>
      <c r="N169" s="239">
        <f>SUM($M$4:M169)</f>
        <v>52406928</v>
      </c>
      <c r="O169">
        <f>ROUNDUP(MIN(50,ROUNDUP(A169/3,0),Level!M169)*Plants!Q$4*0.005,0)</f>
        <v>1</v>
      </c>
      <c r="P169">
        <f>ROUNDUP(MAX(4,MIN(A169,VLOOKUP(A169,Level!$A$4:$M$203,13))*MIN(4,ROUNDUP(VLOOKUP(A169,Background!$C$3:$D$52,2)/5,0)))*VLOOKUP(A169,Plants!$C$4:$AJ$53,30)*0.025,0)</f>
        <v>195</v>
      </c>
      <c r="Q169">
        <f t="shared" si="40"/>
        <v>98.5</v>
      </c>
      <c r="R169">
        <f>ROUND(MIN(50,ROUNDUP(A169/3,0),Level!M169)*Plants!R$4,0)</f>
        <v>250</v>
      </c>
      <c r="S169" s="153">
        <f>ROUNDUP(MAX(4,MIN(A169,VLOOKUP(A169,Level!$A$4:$M$203,13))*MIN(4,ROUNDUP(VLOOKUP(A169,Background!$C$3:$D$52,2)/5,0)))*VLOOKUP(A169,Plants!$C$4:$AJ$53,31)*1.25,0)</f>
        <v>221250</v>
      </c>
      <c r="T169" s="153">
        <f t="shared" si="41"/>
        <v>110750</v>
      </c>
      <c r="U169">
        <f>SUM($K$4:K169)</f>
        <v>156206863</v>
      </c>
      <c r="V169">
        <f>VLOOKUP(A169,Garden!$B$4:$P$19,15)</f>
        <v>15970400</v>
      </c>
      <c r="W169">
        <f>VLOOKUP(A169,Plots!$B$4:$U$39,20)</f>
        <v>27071200</v>
      </c>
      <c r="X169">
        <f>VLOOKUP(A169,'Decoration Background'!$A$2:$H$200,8)</f>
        <v>90221568</v>
      </c>
      <c r="Y169">
        <f t="shared" si="47"/>
        <v>22943695</v>
      </c>
      <c r="Z169" s="158">
        <f t="shared" si="48"/>
        <v>0.85311980178489344</v>
      </c>
      <c r="AA169">
        <f t="shared" si="49"/>
        <v>-17418010</v>
      </c>
      <c r="AB169" s="170">
        <f>MAX(0,(-Y169)/VLOOKUP($A169,Payment!$A$39:$G$239,7)*100)</f>
        <v>0</v>
      </c>
      <c r="AC169" s="138">
        <f t="shared" si="42"/>
        <v>1583.4554545454546</v>
      </c>
      <c r="AD169">
        <f t="shared" si="50"/>
        <v>41583</v>
      </c>
      <c r="AE169">
        <f t="shared" si="43"/>
        <v>0</v>
      </c>
      <c r="AF169" s="79">
        <f t="shared" si="44"/>
        <v>117.6</v>
      </c>
    </row>
    <row r="170" spans="1:32">
      <c r="A170" s="36">
        <v>167</v>
      </c>
      <c r="B170" s="69">
        <f>Level!B171-Level!B170</f>
        <v>95500</v>
      </c>
      <c r="C170" s="73">
        <f>Level!M170*VLOOKUP(A170,Plants!$C$4:$AH$47,32)*24+(27/Level!T170)</f>
        <v>5539.1197049525808</v>
      </c>
      <c r="D170" s="62">
        <f t="shared" si="45"/>
        <v>17.241006709895171</v>
      </c>
      <c r="E170" s="65">
        <f>SUM(D$4:D169)</f>
        <v>1330.7307345441814</v>
      </c>
      <c r="F170" s="205">
        <f>Level!M170*VLOOKUP(A170,Plants!$C$4:$AI$47,33)*24*1.15+IF(VLOOKUP(A170,Goals!$AO$4:$AO$120,1)=A170,VLOOKUP(A170,Goals!$AO$4:$AQ$120,3)/D170,0)+VLOOKUP(A170,Level!$A$4:$C$203,3)/D170</f>
        <v>148100.97471022129</v>
      </c>
      <c r="G170" s="71">
        <f>Level!M170*VLOOKUP(A170,Plants!$C$4:$X$47,21)*24</f>
        <v>72000</v>
      </c>
      <c r="H170" s="63">
        <f t="shared" si="46"/>
        <v>1.3263888888888888</v>
      </c>
      <c r="I170" s="64">
        <f>SUM(H$4:H169)</f>
        <v>98.349747093190203</v>
      </c>
      <c r="J170" s="35">
        <f>Level!M170*VLOOKUP(A170,Plants!$C$4:$X$47,22)*24</f>
        <v>648000</v>
      </c>
      <c r="K170" s="239">
        <f t="shared" si="38"/>
        <v>2553410</v>
      </c>
      <c r="L170" s="239">
        <f>SUM($K$4:K170)</f>
        <v>158760273</v>
      </c>
      <c r="M170" s="239">
        <f t="shared" si="39"/>
        <v>859500</v>
      </c>
      <c r="N170" s="239">
        <f>SUM($M$4:M170)</f>
        <v>53266428</v>
      </c>
      <c r="O170">
        <f>ROUNDUP(MIN(50,ROUNDUP(A170/3,0),Level!M170)*Plants!Q$4*0.005,0)</f>
        <v>1</v>
      </c>
      <c r="P170">
        <f>ROUNDUP(MAX(4,MIN(A170,VLOOKUP(A170,Level!$A$4:$M$203,13))*MIN(4,ROUNDUP(VLOOKUP(A170,Background!$C$3:$D$52,2)/5,0)))*VLOOKUP(A170,Plants!$C$4:$AJ$53,30)*0.025,0)</f>
        <v>195</v>
      </c>
      <c r="Q170">
        <f t="shared" si="40"/>
        <v>98.5</v>
      </c>
      <c r="R170">
        <f>ROUND(MIN(50,ROUNDUP(A170/3,0),Level!M170)*Plants!R$4,0)</f>
        <v>250</v>
      </c>
      <c r="S170" s="153">
        <f>ROUNDUP(MAX(4,MIN(A170,VLOOKUP(A170,Level!$A$4:$M$203,13))*MIN(4,ROUNDUP(VLOOKUP(A170,Background!$C$3:$D$52,2)/5,0)))*VLOOKUP(A170,Plants!$C$4:$AJ$53,31)*1.25,0)</f>
        <v>221250</v>
      </c>
      <c r="T170" s="153">
        <f t="shared" si="41"/>
        <v>110750</v>
      </c>
      <c r="U170">
        <f>SUM($K$4:K170)</f>
        <v>158760273</v>
      </c>
      <c r="V170">
        <f>VLOOKUP(A170,Garden!$B$4:$P$19,15)</f>
        <v>15970400</v>
      </c>
      <c r="W170">
        <f>VLOOKUP(A170,Plots!$B$4:$U$39,20)</f>
        <v>27071200</v>
      </c>
      <c r="X170">
        <f>VLOOKUP(A170,'Decoration Background'!$A$2:$H$200,8)</f>
        <v>91496787</v>
      </c>
      <c r="Y170">
        <f t="shared" si="47"/>
        <v>24221886</v>
      </c>
      <c r="Z170" s="158">
        <f t="shared" si="48"/>
        <v>0.84743106356336384</v>
      </c>
      <c r="AA170">
        <f t="shared" si="49"/>
        <v>-17418010</v>
      </c>
      <c r="AB170" s="170">
        <f>MAX(0,(-Y170)/VLOOKUP($A170,Payment!$A$39:$G$239,7)*100)</f>
        <v>0</v>
      </c>
      <c r="AC170" s="138">
        <f t="shared" si="42"/>
        <v>1583.4554545454546</v>
      </c>
      <c r="AD170">
        <f t="shared" si="50"/>
        <v>42084</v>
      </c>
      <c r="AE170">
        <f t="shared" si="43"/>
        <v>0</v>
      </c>
      <c r="AF170" s="79">
        <f t="shared" si="44"/>
        <v>117.6</v>
      </c>
    </row>
    <row r="171" spans="1:32">
      <c r="A171" s="36">
        <v>168</v>
      </c>
      <c r="B171" s="69">
        <f>Level!B172-Level!B171</f>
        <v>96500</v>
      </c>
      <c r="C171" s="73">
        <f>Level!M171*VLOOKUP(A171,Plants!$C$4:$AH$47,32)*24+(27/Level!T171)</f>
        <v>5539.1197049525808</v>
      </c>
      <c r="D171" s="62">
        <f t="shared" si="45"/>
        <v>17.421540811569464</v>
      </c>
      <c r="E171" s="65">
        <f>SUM(D$4:D170)</f>
        <v>1347.9717412540765</v>
      </c>
      <c r="F171" s="205">
        <f>Level!M171*VLOOKUP(A171,Plants!$C$4:$AI$47,33)*24*1.15+IF(VLOOKUP(A171,Goals!$AO$4:$AO$120,1)=A171,VLOOKUP(A171,Goals!$AO$4:$AQ$120,3)/D171,0)+VLOOKUP(A171,Level!$A$4:$C$203,3)/D171</f>
        <v>148100.97471022129</v>
      </c>
      <c r="G171" s="71">
        <f>Level!M171*VLOOKUP(A171,Plants!$C$4:$X$47,21)*24</f>
        <v>72000</v>
      </c>
      <c r="H171" s="63">
        <f t="shared" si="46"/>
        <v>1.3402777777777777</v>
      </c>
      <c r="I171" s="64">
        <f>SUM(H$4:H170)</f>
        <v>99.676135982079089</v>
      </c>
      <c r="J171" s="35">
        <f>Level!M171*VLOOKUP(A171,Plants!$C$4:$X$47,22)*24</f>
        <v>648000</v>
      </c>
      <c r="K171" s="239">
        <f t="shared" si="38"/>
        <v>2580147</v>
      </c>
      <c r="L171" s="239">
        <f>SUM($K$4:K171)</f>
        <v>161340420</v>
      </c>
      <c r="M171" s="239">
        <f t="shared" si="39"/>
        <v>868500</v>
      </c>
      <c r="N171" s="239">
        <f>SUM($M$4:M171)</f>
        <v>54134928</v>
      </c>
      <c r="O171">
        <f>ROUNDUP(MIN(50,ROUNDUP(A171/3,0),Level!M171)*Plants!Q$4*0.005,0)</f>
        <v>1</v>
      </c>
      <c r="P171">
        <f>ROUNDUP(MAX(4,MIN(A171,VLOOKUP(A171,Level!$A$4:$M$203,13))*MIN(4,ROUNDUP(VLOOKUP(A171,Background!$C$3:$D$52,2)/5,0)))*VLOOKUP(A171,Plants!$C$4:$AJ$53,30)*0.025,0)</f>
        <v>195</v>
      </c>
      <c r="Q171">
        <f t="shared" si="40"/>
        <v>98.5</v>
      </c>
      <c r="R171">
        <f>ROUND(MIN(50,ROUNDUP(A171/3,0),Level!M171)*Plants!R$4,0)</f>
        <v>250</v>
      </c>
      <c r="S171" s="153">
        <f>ROUNDUP(MAX(4,MIN(A171,VLOOKUP(A171,Level!$A$4:$M$203,13))*MIN(4,ROUNDUP(VLOOKUP(A171,Background!$C$3:$D$52,2)/5,0)))*VLOOKUP(A171,Plants!$C$4:$AJ$53,31)*1.25,0)</f>
        <v>221250</v>
      </c>
      <c r="T171" s="153">
        <f t="shared" si="41"/>
        <v>110750</v>
      </c>
      <c r="U171">
        <f>SUM($K$4:K171)</f>
        <v>161340420</v>
      </c>
      <c r="V171">
        <f>VLOOKUP(A171,Garden!$B$4:$P$19,15)</f>
        <v>15970400</v>
      </c>
      <c r="W171">
        <f>VLOOKUP(A171,Plots!$B$4:$U$39,20)</f>
        <v>27071200</v>
      </c>
      <c r="X171">
        <f>VLOOKUP(A171,'Decoration Background'!$A$2:$H$200,8)</f>
        <v>92787006</v>
      </c>
      <c r="Y171">
        <f t="shared" si="47"/>
        <v>25511814</v>
      </c>
      <c r="Z171" s="158">
        <f t="shared" si="48"/>
        <v>0.84187586718814789</v>
      </c>
      <c r="AA171">
        <f t="shared" si="49"/>
        <v>-17418010</v>
      </c>
      <c r="AB171" s="170">
        <f>MAX(0,(-Y171)/VLOOKUP($A171,Payment!$A$39:$G$239,7)*100)</f>
        <v>0</v>
      </c>
      <c r="AC171" s="138">
        <f t="shared" si="42"/>
        <v>1583.4554545454546</v>
      </c>
      <c r="AD171">
        <f t="shared" si="50"/>
        <v>42588</v>
      </c>
      <c r="AE171">
        <f t="shared" si="43"/>
        <v>0</v>
      </c>
      <c r="AF171" s="79">
        <f t="shared" si="44"/>
        <v>117.6</v>
      </c>
    </row>
    <row r="172" spans="1:32">
      <c r="A172" s="36">
        <v>169</v>
      </c>
      <c r="B172" s="69">
        <f>Level!B173-Level!B172</f>
        <v>97500</v>
      </c>
      <c r="C172" s="73">
        <f>Level!M172*VLOOKUP(A172,Plants!$C$4:$AH$47,32)*24+(27/Level!T172)</f>
        <v>5539.1197049525808</v>
      </c>
      <c r="D172" s="62">
        <f t="shared" si="45"/>
        <v>17.602074913243762</v>
      </c>
      <c r="E172" s="65">
        <f>SUM(D$4:D171)</f>
        <v>1365.393282065646</v>
      </c>
      <c r="F172" s="205">
        <f>Level!M172*VLOOKUP(A172,Plants!$C$4:$AI$47,33)*24*1.15+IF(VLOOKUP(A172,Goals!$AO$4:$AO$120,1)=A172,VLOOKUP(A172,Goals!$AO$4:$AQ$120,3)/D172,0)+VLOOKUP(A172,Level!$A$4:$C$203,3)/D172</f>
        <v>148100.97471022129</v>
      </c>
      <c r="G172" s="71">
        <f>Level!M172*VLOOKUP(A172,Plants!$C$4:$X$47,21)*24</f>
        <v>72000</v>
      </c>
      <c r="H172" s="63">
        <f t="shared" si="46"/>
        <v>1.3541666666666667</v>
      </c>
      <c r="I172" s="64">
        <f>SUM(H$4:H171)</f>
        <v>101.01641375985686</v>
      </c>
      <c r="J172" s="35">
        <f>Level!M172*VLOOKUP(A172,Plants!$C$4:$X$47,22)*24</f>
        <v>648000</v>
      </c>
      <c r="K172" s="239">
        <f t="shared" si="38"/>
        <v>2606884</v>
      </c>
      <c r="L172" s="239">
        <f>SUM($K$4:K172)</f>
        <v>163947304</v>
      </c>
      <c r="M172" s="239">
        <f t="shared" si="39"/>
        <v>877500</v>
      </c>
      <c r="N172" s="239">
        <f>SUM($M$4:M172)</f>
        <v>55012428</v>
      </c>
      <c r="O172">
        <f>ROUNDUP(MIN(50,ROUNDUP(A172/3,0),Level!M172)*Plants!Q$4*0.005,0)</f>
        <v>1</v>
      </c>
      <c r="P172">
        <f>ROUNDUP(MAX(4,MIN(A172,VLOOKUP(A172,Level!$A$4:$M$203,13))*MIN(4,ROUNDUP(VLOOKUP(A172,Background!$C$3:$D$52,2)/5,0)))*VLOOKUP(A172,Plants!$C$4:$AJ$53,30)*0.025,0)</f>
        <v>195</v>
      </c>
      <c r="Q172">
        <f t="shared" si="40"/>
        <v>98.5</v>
      </c>
      <c r="R172">
        <f>ROUND(MIN(50,ROUNDUP(A172/3,0),Level!M172)*Plants!R$4,0)</f>
        <v>250</v>
      </c>
      <c r="S172" s="153">
        <f>ROUNDUP(MAX(4,MIN(A172,VLOOKUP(A172,Level!$A$4:$M$203,13))*MIN(4,ROUNDUP(VLOOKUP(A172,Background!$C$3:$D$52,2)/5,0)))*VLOOKUP(A172,Plants!$C$4:$AJ$53,31)*1.25,0)</f>
        <v>221250</v>
      </c>
      <c r="T172" s="153">
        <f t="shared" si="41"/>
        <v>110750</v>
      </c>
      <c r="U172">
        <f>SUM($K$4:K172)</f>
        <v>163947304</v>
      </c>
      <c r="V172">
        <f>VLOOKUP(A172,Garden!$B$4:$P$19,15)</f>
        <v>15970400</v>
      </c>
      <c r="W172">
        <f>VLOOKUP(A172,Plots!$B$4:$U$39,20)</f>
        <v>27071200</v>
      </c>
      <c r="X172">
        <f>VLOOKUP(A172,'Decoration Background'!$A$2:$H$200,8)</f>
        <v>94092675</v>
      </c>
      <c r="Y172">
        <f t="shared" si="47"/>
        <v>26813029</v>
      </c>
      <c r="Z172" s="158">
        <f t="shared" si="48"/>
        <v>0.83645337040735968</v>
      </c>
      <c r="AA172">
        <f t="shared" si="49"/>
        <v>-17418010</v>
      </c>
      <c r="AB172" s="170">
        <f>MAX(0,(-Y172)/VLOOKUP($A172,Payment!$A$39:$G$239,7)*100)</f>
        <v>0</v>
      </c>
      <c r="AC172" s="138">
        <f t="shared" si="42"/>
        <v>1583.4554545454546</v>
      </c>
      <c r="AD172">
        <f t="shared" si="50"/>
        <v>43095</v>
      </c>
      <c r="AE172">
        <f t="shared" si="43"/>
        <v>0</v>
      </c>
      <c r="AF172" s="79">
        <f t="shared" si="44"/>
        <v>117.6</v>
      </c>
    </row>
    <row r="173" spans="1:32">
      <c r="A173" s="36">
        <v>170</v>
      </c>
      <c r="B173" s="69">
        <f>Level!B174-Level!B173</f>
        <v>98500</v>
      </c>
      <c r="C173" s="73">
        <f>Level!M173*VLOOKUP(A173,Plants!$C$4:$AH$47,32)*24+(27/Level!T173)</f>
        <v>5539.1197049525808</v>
      </c>
      <c r="D173" s="62">
        <f t="shared" si="45"/>
        <v>17.782609014918055</v>
      </c>
      <c r="E173" s="65">
        <f>SUM(D$4:D172)</f>
        <v>1382.9953569788897</v>
      </c>
      <c r="F173" s="205">
        <f>Level!M173*VLOOKUP(A173,Plants!$C$4:$AI$47,33)*24*1.15+IF(VLOOKUP(A173,Goals!$AO$4:$AO$120,1)=A173,VLOOKUP(A173,Goals!$AO$4:$AQ$120,3)/D173,0)+VLOOKUP(A173,Level!$A$4:$C$203,3)/D173</f>
        <v>148100.97471022129</v>
      </c>
      <c r="G173" s="71">
        <f>Level!M173*VLOOKUP(A173,Plants!$C$4:$X$47,21)*24</f>
        <v>72000</v>
      </c>
      <c r="H173" s="63">
        <f t="shared" si="46"/>
        <v>1.3680555555555556</v>
      </c>
      <c r="I173" s="64">
        <f>SUM(H$4:H172)</f>
        <v>102.37058042652353</v>
      </c>
      <c r="J173" s="35">
        <f>Level!M173*VLOOKUP(A173,Plants!$C$4:$X$47,22)*24</f>
        <v>648000</v>
      </c>
      <c r="K173" s="239">
        <f t="shared" si="38"/>
        <v>2633622</v>
      </c>
      <c r="L173" s="239">
        <f>SUM($K$4:K173)</f>
        <v>166580926</v>
      </c>
      <c r="M173" s="239">
        <f t="shared" si="39"/>
        <v>886500</v>
      </c>
      <c r="N173" s="239">
        <f>SUM($M$4:M173)</f>
        <v>55898928</v>
      </c>
      <c r="O173">
        <f>ROUNDUP(MIN(50,ROUNDUP(A173/3,0),Level!M173)*Plants!Q$4*0.005,0)</f>
        <v>1</v>
      </c>
      <c r="P173">
        <f>ROUNDUP(MAX(4,MIN(A173,VLOOKUP(A173,Level!$A$4:$M$203,13))*MIN(4,ROUNDUP(VLOOKUP(A173,Background!$C$3:$D$52,2)/5,0)))*VLOOKUP(A173,Plants!$C$4:$AJ$53,30)*0.025,0)</f>
        <v>195</v>
      </c>
      <c r="Q173">
        <f t="shared" si="40"/>
        <v>98.5</v>
      </c>
      <c r="R173">
        <f>ROUND(MIN(50,ROUNDUP(A173/3,0),Level!M173)*Plants!R$4,0)</f>
        <v>250</v>
      </c>
      <c r="S173" s="153">
        <f>ROUNDUP(MAX(4,MIN(A173,VLOOKUP(A173,Level!$A$4:$M$203,13))*MIN(4,ROUNDUP(VLOOKUP(A173,Background!$C$3:$D$52,2)/5,0)))*VLOOKUP(A173,Plants!$C$4:$AJ$53,31)*1.25,0)</f>
        <v>221250</v>
      </c>
      <c r="T173" s="153">
        <f t="shared" si="41"/>
        <v>110750</v>
      </c>
      <c r="U173">
        <f>SUM($K$4:K173)</f>
        <v>166580926</v>
      </c>
      <c r="V173">
        <f>VLOOKUP(A173,Garden!$B$4:$P$19,15)</f>
        <v>15970400</v>
      </c>
      <c r="W173">
        <f>VLOOKUP(A173,Plots!$B$4:$U$39,20)</f>
        <v>27071200</v>
      </c>
      <c r="X173">
        <f>VLOOKUP(A173,'Decoration Background'!$A$2:$H$200,8)</f>
        <v>95414244</v>
      </c>
      <c r="Y173">
        <f t="shared" si="47"/>
        <v>28125082</v>
      </c>
      <c r="Z173" s="158">
        <f t="shared" si="48"/>
        <v>0.83116265063864514</v>
      </c>
      <c r="AA173">
        <f t="shared" si="49"/>
        <v>-17418010</v>
      </c>
      <c r="AB173" s="170">
        <f>MAX(0,(-Y173)/VLOOKUP($A173,Payment!$A$39:$G$239,7)*100)</f>
        <v>0</v>
      </c>
      <c r="AC173" s="138">
        <f t="shared" si="42"/>
        <v>1583.4554545454546</v>
      </c>
      <c r="AD173">
        <f t="shared" si="50"/>
        <v>43605</v>
      </c>
      <c r="AE173">
        <f t="shared" si="43"/>
        <v>0</v>
      </c>
      <c r="AF173" s="79">
        <f t="shared" si="44"/>
        <v>117.6</v>
      </c>
    </row>
    <row r="174" spans="1:32">
      <c r="A174" s="36">
        <v>171</v>
      </c>
      <c r="B174" s="69">
        <f>Level!B175-Level!B174</f>
        <v>99500</v>
      </c>
      <c r="C174" s="73">
        <f>Level!M174*VLOOKUP(A174,Plants!$C$4:$AH$47,32)*24+(27/Level!T174)</f>
        <v>5539.1197049525808</v>
      </c>
      <c r="D174" s="62">
        <f t="shared" si="45"/>
        <v>17.963143116592349</v>
      </c>
      <c r="E174" s="65">
        <f>SUM(D$4:D173)</f>
        <v>1400.7779659938078</v>
      </c>
      <c r="F174" s="205">
        <f>Level!M174*VLOOKUP(A174,Plants!$C$4:$AI$47,33)*24*1.15+IF(VLOOKUP(A174,Goals!$AO$4:$AO$120,1)=A174,VLOOKUP(A174,Goals!$AO$4:$AQ$120,3)/D174,0)+VLOOKUP(A174,Level!$A$4:$C$203,3)/D174</f>
        <v>148100.97471022129</v>
      </c>
      <c r="G174" s="71">
        <f>Level!M174*VLOOKUP(A174,Plants!$C$4:$X$47,21)*24</f>
        <v>72000</v>
      </c>
      <c r="H174" s="63">
        <f t="shared" si="46"/>
        <v>1.3819444444444444</v>
      </c>
      <c r="I174" s="64">
        <f>SUM(H$4:H173)</f>
        <v>103.73863598207909</v>
      </c>
      <c r="J174" s="35">
        <f>Level!M174*VLOOKUP(A174,Plants!$C$4:$X$47,22)*24</f>
        <v>648000</v>
      </c>
      <c r="K174" s="239">
        <f t="shared" si="38"/>
        <v>2660359</v>
      </c>
      <c r="L174" s="239">
        <f>SUM($K$4:K174)</f>
        <v>169241285</v>
      </c>
      <c r="M174" s="239">
        <f t="shared" si="39"/>
        <v>895500</v>
      </c>
      <c r="N174" s="239">
        <f>SUM($M$4:M174)</f>
        <v>56794428</v>
      </c>
      <c r="O174">
        <f>ROUNDUP(MIN(50,ROUNDUP(A174/3,0),Level!M174)*Plants!Q$4*0.005,0)</f>
        <v>1</v>
      </c>
      <c r="P174">
        <f>ROUNDUP(MAX(4,MIN(A174,VLOOKUP(A174,Level!$A$4:$M$203,13))*MIN(4,ROUNDUP(VLOOKUP(A174,Background!$C$3:$D$52,2)/5,0)))*VLOOKUP(A174,Plants!$C$4:$AJ$53,30)*0.025,0)</f>
        <v>195</v>
      </c>
      <c r="Q174">
        <f t="shared" si="40"/>
        <v>98.5</v>
      </c>
      <c r="R174">
        <f>ROUND(MIN(50,ROUNDUP(A174/3,0),Level!M174)*Plants!R$4,0)</f>
        <v>250</v>
      </c>
      <c r="S174" s="153">
        <f>ROUNDUP(MAX(4,MIN(A174,VLOOKUP(A174,Level!$A$4:$M$203,13))*MIN(4,ROUNDUP(VLOOKUP(A174,Background!$C$3:$D$52,2)/5,0)))*VLOOKUP(A174,Plants!$C$4:$AJ$53,31)*1.25,0)</f>
        <v>221250</v>
      </c>
      <c r="T174" s="153">
        <f t="shared" si="41"/>
        <v>110750</v>
      </c>
      <c r="U174">
        <f>SUM($K$4:K174)</f>
        <v>169241285</v>
      </c>
      <c r="V174">
        <f>VLOOKUP(A174,Garden!$B$4:$P$19,15)</f>
        <v>15970400</v>
      </c>
      <c r="W174">
        <f>VLOOKUP(A174,Plots!$B$4:$U$39,20)</f>
        <v>27071200</v>
      </c>
      <c r="X174">
        <f>VLOOKUP(A174,'Decoration Background'!$A$2:$H$200,8)</f>
        <v>96752163</v>
      </c>
      <c r="Y174">
        <f t="shared" si="47"/>
        <v>29447522</v>
      </c>
      <c r="Z174" s="158">
        <f t="shared" si="48"/>
        <v>0.82600272740779535</v>
      </c>
      <c r="AA174">
        <f t="shared" si="49"/>
        <v>-17418010</v>
      </c>
      <c r="AB174" s="170">
        <f>MAX(0,(-Y174)/VLOOKUP($A174,Payment!$A$39:$G$239,7)*100)</f>
        <v>0</v>
      </c>
      <c r="AC174" s="138">
        <f t="shared" si="42"/>
        <v>1583.4554545454546</v>
      </c>
      <c r="AD174">
        <f t="shared" si="50"/>
        <v>44118</v>
      </c>
      <c r="AE174">
        <f t="shared" si="43"/>
        <v>0</v>
      </c>
      <c r="AF174" s="79">
        <f t="shared" si="44"/>
        <v>117.6</v>
      </c>
    </row>
    <row r="175" spans="1:32">
      <c r="A175" s="36">
        <v>172</v>
      </c>
      <c r="B175" s="69">
        <f>Level!B176-Level!B175</f>
        <v>100500</v>
      </c>
      <c r="C175" s="73">
        <f>Level!M175*VLOOKUP(A175,Plants!$C$4:$AH$47,32)*24+(27/Level!T175)</f>
        <v>5539.1197049525808</v>
      </c>
      <c r="D175" s="62">
        <f t="shared" si="45"/>
        <v>18.143677218266646</v>
      </c>
      <c r="E175" s="65">
        <f>SUM(D$4:D174)</f>
        <v>1418.7411091104002</v>
      </c>
      <c r="F175" s="205">
        <f>Level!M175*VLOOKUP(A175,Plants!$C$4:$AI$47,33)*24*1.15+IF(VLOOKUP(A175,Goals!$AO$4:$AO$120,1)=A175,VLOOKUP(A175,Goals!$AO$4:$AQ$120,3)/D175,0)+VLOOKUP(A175,Level!$A$4:$C$203,3)/D175</f>
        <v>148100.97471022129</v>
      </c>
      <c r="G175" s="71">
        <f>Level!M175*VLOOKUP(A175,Plants!$C$4:$X$47,21)*24</f>
        <v>72000</v>
      </c>
      <c r="H175" s="63">
        <f t="shared" si="46"/>
        <v>1.3958333333333333</v>
      </c>
      <c r="I175" s="64">
        <f>SUM(H$4:H174)</f>
        <v>105.12058042652353</v>
      </c>
      <c r="J175" s="35">
        <f>Level!M175*VLOOKUP(A175,Plants!$C$4:$X$47,22)*24</f>
        <v>648000</v>
      </c>
      <c r="K175" s="239">
        <f t="shared" si="38"/>
        <v>2687096</v>
      </c>
      <c r="L175" s="239">
        <f>SUM($K$4:K175)</f>
        <v>171928381</v>
      </c>
      <c r="M175" s="239">
        <f t="shared" si="39"/>
        <v>904500</v>
      </c>
      <c r="N175" s="239">
        <f>SUM($M$4:M175)</f>
        <v>57698928</v>
      </c>
      <c r="O175">
        <f>ROUNDUP(MIN(50,ROUNDUP(A175/3,0),Level!M175)*Plants!Q$4*0.005,0)</f>
        <v>1</v>
      </c>
      <c r="P175">
        <f>ROUNDUP(MAX(4,MIN(A175,VLOOKUP(A175,Level!$A$4:$M$203,13))*MIN(4,ROUNDUP(VLOOKUP(A175,Background!$C$3:$D$52,2)/5,0)))*VLOOKUP(A175,Plants!$C$4:$AJ$53,30)*0.025,0)</f>
        <v>195</v>
      </c>
      <c r="Q175">
        <f t="shared" si="40"/>
        <v>98.5</v>
      </c>
      <c r="R175">
        <f>ROUND(MIN(50,ROUNDUP(A175/3,0),Level!M175)*Plants!R$4,0)</f>
        <v>250</v>
      </c>
      <c r="S175" s="153">
        <f>ROUNDUP(MAX(4,MIN(A175,VLOOKUP(A175,Level!$A$4:$M$203,13))*MIN(4,ROUNDUP(VLOOKUP(A175,Background!$C$3:$D$52,2)/5,0)))*VLOOKUP(A175,Plants!$C$4:$AJ$53,31)*1.25,0)</f>
        <v>221250</v>
      </c>
      <c r="T175" s="153">
        <f t="shared" si="41"/>
        <v>110750</v>
      </c>
      <c r="U175">
        <f>SUM($K$4:K175)</f>
        <v>171928381</v>
      </c>
      <c r="V175">
        <f>VLOOKUP(A175,Garden!$B$4:$P$19,15)</f>
        <v>15970400</v>
      </c>
      <c r="W175">
        <f>VLOOKUP(A175,Plots!$B$4:$U$39,20)</f>
        <v>27071200</v>
      </c>
      <c r="X175">
        <f>VLOOKUP(A175,'Decoration Background'!$A$2:$H$200,8)</f>
        <v>98106882</v>
      </c>
      <c r="Y175">
        <f t="shared" si="47"/>
        <v>30779899</v>
      </c>
      <c r="Z175" s="158">
        <f t="shared" si="48"/>
        <v>0.82097255368210553</v>
      </c>
      <c r="AA175">
        <f t="shared" si="49"/>
        <v>-17418010</v>
      </c>
      <c r="AB175" s="170">
        <f>MAX(0,(-Y175)/VLOOKUP($A175,Payment!$A$39:$G$239,7)*100)</f>
        <v>0</v>
      </c>
      <c r="AC175" s="138">
        <f t="shared" si="42"/>
        <v>1583.4554545454546</v>
      </c>
      <c r="AD175">
        <f t="shared" si="50"/>
        <v>44634</v>
      </c>
      <c r="AE175">
        <f t="shared" si="43"/>
        <v>0</v>
      </c>
      <c r="AF175" s="79">
        <f t="shared" si="44"/>
        <v>117.6</v>
      </c>
    </row>
    <row r="176" spans="1:32">
      <c r="A176" s="36">
        <v>173</v>
      </c>
      <c r="B176" s="69">
        <f>Level!B177-Level!B176</f>
        <v>102000</v>
      </c>
      <c r="C176" s="73">
        <f>Level!M176*VLOOKUP(A176,Plants!$C$4:$AH$47,32)*24+(27/Level!T176)</f>
        <v>5539.1197049525808</v>
      </c>
      <c r="D176" s="62">
        <f t="shared" si="45"/>
        <v>18.414478370778088</v>
      </c>
      <c r="E176" s="65">
        <f>SUM(D$4:D175)</f>
        <v>1436.8847863286669</v>
      </c>
      <c r="F176" s="205">
        <f>Level!M176*VLOOKUP(A176,Plants!$C$4:$AI$47,33)*24*1.15+IF(VLOOKUP(A176,Goals!$AO$4:$AO$120,1)=A176,VLOOKUP(A176,Goals!$AO$4:$AQ$120,3)/D176,0)+VLOOKUP(A176,Level!$A$4:$C$203,3)/D176</f>
        <v>148100.97471022129</v>
      </c>
      <c r="G176" s="71">
        <f>Level!M176*VLOOKUP(A176,Plants!$C$4:$X$47,21)*24</f>
        <v>72000</v>
      </c>
      <c r="H176" s="63">
        <f t="shared" si="46"/>
        <v>1.4166666666666667</v>
      </c>
      <c r="I176" s="64">
        <f>SUM(H$4:H175)</f>
        <v>106.51641375985686</v>
      </c>
      <c r="J176" s="35">
        <f>Level!M176*VLOOKUP(A176,Plants!$C$4:$X$47,22)*24</f>
        <v>648000</v>
      </c>
      <c r="K176" s="239">
        <f t="shared" si="38"/>
        <v>2727202</v>
      </c>
      <c r="L176" s="239">
        <f>SUM($K$4:K176)</f>
        <v>174655583</v>
      </c>
      <c r="M176" s="239">
        <f t="shared" si="39"/>
        <v>918000</v>
      </c>
      <c r="N176" s="239">
        <f>SUM($M$4:M176)</f>
        <v>58616928</v>
      </c>
      <c r="O176">
        <f>ROUNDUP(MIN(50,ROUNDUP(A176/3,0),Level!M176)*Plants!Q$4*0.005,0)</f>
        <v>1</v>
      </c>
      <c r="P176">
        <f>ROUNDUP(MAX(4,MIN(A176,VLOOKUP(A176,Level!$A$4:$M$203,13))*MIN(4,ROUNDUP(VLOOKUP(A176,Background!$C$3:$D$52,2)/5,0)))*VLOOKUP(A176,Plants!$C$4:$AJ$53,30)*0.025,0)</f>
        <v>195</v>
      </c>
      <c r="Q176">
        <f t="shared" si="40"/>
        <v>98.5</v>
      </c>
      <c r="R176">
        <f>ROUND(MIN(50,ROUNDUP(A176/3,0),Level!M176)*Plants!R$4,0)</f>
        <v>250</v>
      </c>
      <c r="S176" s="153">
        <f>ROUNDUP(MAX(4,MIN(A176,VLOOKUP(A176,Level!$A$4:$M$203,13))*MIN(4,ROUNDUP(VLOOKUP(A176,Background!$C$3:$D$52,2)/5,0)))*VLOOKUP(A176,Plants!$C$4:$AJ$53,31)*1.25,0)</f>
        <v>221250</v>
      </c>
      <c r="T176" s="153">
        <f t="shared" si="41"/>
        <v>110750</v>
      </c>
      <c r="U176">
        <f>SUM($K$4:K176)</f>
        <v>174655583</v>
      </c>
      <c r="V176">
        <f>VLOOKUP(A176,Garden!$B$4:$P$19,15)</f>
        <v>15970400</v>
      </c>
      <c r="W176">
        <f>VLOOKUP(A176,Plots!$B$4:$U$39,20)</f>
        <v>27071200</v>
      </c>
      <c r="X176">
        <f>VLOOKUP(A176,'Decoration Background'!$A$2:$H$200,8)</f>
        <v>99478851</v>
      </c>
      <c r="Y176">
        <f t="shared" si="47"/>
        <v>32135132</v>
      </c>
      <c r="Z176" s="158">
        <f t="shared" si="48"/>
        <v>0.81600856126082155</v>
      </c>
      <c r="AA176">
        <f t="shared" si="49"/>
        <v>-17418010</v>
      </c>
      <c r="AB176" s="170">
        <f>MAX(0,(-Y176)/VLOOKUP($A176,Payment!$A$39:$G$239,7)*100)</f>
        <v>0</v>
      </c>
      <c r="AC176" s="138">
        <f t="shared" si="42"/>
        <v>1583.4554545454546</v>
      </c>
      <c r="AD176">
        <f t="shared" si="50"/>
        <v>45153</v>
      </c>
      <c r="AE176">
        <f t="shared" si="43"/>
        <v>0</v>
      </c>
      <c r="AF176" s="79">
        <f t="shared" si="44"/>
        <v>117.6</v>
      </c>
    </row>
    <row r="177" spans="1:32">
      <c r="A177" s="36">
        <v>174</v>
      </c>
      <c r="B177" s="69">
        <f>Level!B178-Level!B177</f>
        <v>103500</v>
      </c>
      <c r="C177" s="73">
        <f>Level!M177*VLOOKUP(A177,Plants!$C$4:$AH$47,32)*24+(27/Level!T177)</f>
        <v>5539.1197049525808</v>
      </c>
      <c r="D177" s="62">
        <f t="shared" si="45"/>
        <v>18.68527952328953</v>
      </c>
      <c r="E177" s="65">
        <f>SUM(D$4:D176)</f>
        <v>1455.2992646994451</v>
      </c>
      <c r="F177" s="205">
        <f>Level!M177*VLOOKUP(A177,Plants!$C$4:$AI$47,33)*24*1.15+IF(VLOOKUP(A177,Goals!$AO$4:$AO$120,1)=A177,VLOOKUP(A177,Goals!$AO$4:$AQ$120,3)/D177,0)+VLOOKUP(A177,Level!$A$4:$C$203,3)/D177</f>
        <v>148100.97471022129</v>
      </c>
      <c r="G177" s="71">
        <f>Level!M177*VLOOKUP(A177,Plants!$C$4:$X$47,21)*24</f>
        <v>72000</v>
      </c>
      <c r="H177" s="63">
        <f t="shared" si="46"/>
        <v>1.4375</v>
      </c>
      <c r="I177" s="64">
        <f>SUM(H$4:H176)</f>
        <v>107.93308042652353</v>
      </c>
      <c r="J177" s="35">
        <f>Level!M177*VLOOKUP(A177,Plants!$C$4:$X$47,22)*24</f>
        <v>648000</v>
      </c>
      <c r="K177" s="239">
        <f t="shared" si="38"/>
        <v>2767308</v>
      </c>
      <c r="L177" s="239">
        <f>SUM($K$4:K177)</f>
        <v>177422891</v>
      </c>
      <c r="M177" s="239">
        <f t="shared" si="39"/>
        <v>931500</v>
      </c>
      <c r="N177" s="239">
        <f>SUM($M$4:M177)</f>
        <v>59548428</v>
      </c>
      <c r="O177">
        <f>ROUNDUP(MIN(50,ROUNDUP(A177/3,0),Level!M177)*Plants!Q$4*0.005,0)</f>
        <v>1</v>
      </c>
      <c r="P177">
        <f>ROUNDUP(MAX(4,MIN(A177,VLOOKUP(A177,Level!$A$4:$M$203,13))*MIN(4,ROUNDUP(VLOOKUP(A177,Background!$C$3:$D$52,2)/5,0)))*VLOOKUP(A177,Plants!$C$4:$AJ$53,30)*0.025,0)</f>
        <v>195</v>
      </c>
      <c r="Q177">
        <f t="shared" si="40"/>
        <v>98.5</v>
      </c>
      <c r="R177">
        <f>ROUND(MIN(50,ROUNDUP(A177/3,0),Level!M177)*Plants!R$4,0)</f>
        <v>250</v>
      </c>
      <c r="S177" s="153">
        <f>ROUNDUP(MAX(4,MIN(A177,VLOOKUP(A177,Level!$A$4:$M$203,13))*MIN(4,ROUNDUP(VLOOKUP(A177,Background!$C$3:$D$52,2)/5,0)))*VLOOKUP(A177,Plants!$C$4:$AJ$53,31)*1.25,0)</f>
        <v>221250</v>
      </c>
      <c r="T177" s="153">
        <f t="shared" si="41"/>
        <v>110750</v>
      </c>
      <c r="U177">
        <f>SUM($K$4:K177)</f>
        <v>177422891</v>
      </c>
      <c r="V177">
        <f>VLOOKUP(A177,Garden!$B$4:$P$19,15)</f>
        <v>15970400</v>
      </c>
      <c r="W177">
        <f>VLOOKUP(A177,Plots!$B$4:$U$39,20)</f>
        <v>27071200</v>
      </c>
      <c r="X177">
        <f>VLOOKUP(A177,'Decoration Background'!$A$2:$H$200,8)</f>
        <v>100868520</v>
      </c>
      <c r="Y177">
        <f t="shared" si="47"/>
        <v>33512771</v>
      </c>
      <c r="Z177" s="158">
        <f t="shared" si="48"/>
        <v>0.81111360089381024</v>
      </c>
      <c r="AA177">
        <f t="shared" si="49"/>
        <v>-17418010</v>
      </c>
      <c r="AB177" s="170">
        <f>MAX(0,(-Y177)/VLOOKUP($A177,Payment!$A$39:$G$239,7)*100)</f>
        <v>0</v>
      </c>
      <c r="AC177" s="138">
        <f t="shared" si="42"/>
        <v>1583.4554545454546</v>
      </c>
      <c r="AD177">
        <f t="shared" si="50"/>
        <v>45675</v>
      </c>
      <c r="AE177">
        <f t="shared" si="43"/>
        <v>0</v>
      </c>
      <c r="AF177" s="79">
        <f t="shared" si="44"/>
        <v>117.6</v>
      </c>
    </row>
    <row r="178" spans="1:32">
      <c r="A178" s="36">
        <v>175</v>
      </c>
      <c r="B178" s="69">
        <f>Level!B179-Level!B178</f>
        <v>105000</v>
      </c>
      <c r="C178" s="73">
        <f>Level!M178*VLOOKUP(A178,Plants!$C$4:$AH$47,32)*24+(27/Level!T178)</f>
        <v>5539.1197049525808</v>
      </c>
      <c r="D178" s="62">
        <f t="shared" si="45"/>
        <v>18.956080675800973</v>
      </c>
      <c r="E178" s="65">
        <f>SUM(D$4:D177)</f>
        <v>1473.9845442227347</v>
      </c>
      <c r="F178" s="205">
        <f>Level!M178*VLOOKUP(A178,Plants!$C$4:$AI$47,33)*24*1.15+IF(VLOOKUP(A178,Goals!$AO$4:$AO$120,1)=A178,VLOOKUP(A178,Goals!$AO$4:$AQ$120,3)/D178,0)+VLOOKUP(A178,Level!$A$4:$C$203,3)/D178</f>
        <v>148100.97471022129</v>
      </c>
      <c r="G178" s="71">
        <f>Level!M178*VLOOKUP(A178,Plants!$C$4:$X$47,21)*24</f>
        <v>72000</v>
      </c>
      <c r="H178" s="63">
        <f t="shared" si="46"/>
        <v>1.4583333333333333</v>
      </c>
      <c r="I178" s="64">
        <f>SUM(H$4:H177)</f>
        <v>109.37058042652353</v>
      </c>
      <c r="J178" s="35">
        <f>Level!M178*VLOOKUP(A178,Plants!$C$4:$X$47,22)*24</f>
        <v>648000</v>
      </c>
      <c r="K178" s="239">
        <f t="shared" si="38"/>
        <v>2807414</v>
      </c>
      <c r="L178" s="239">
        <f>SUM($K$4:K178)</f>
        <v>180230305</v>
      </c>
      <c r="M178" s="239">
        <f t="shared" si="39"/>
        <v>945000</v>
      </c>
      <c r="N178" s="239">
        <f>SUM($M$4:M178)</f>
        <v>60493428</v>
      </c>
      <c r="O178">
        <f>ROUNDUP(MIN(50,ROUNDUP(A178/3,0),Level!M178)*Plants!Q$4*0.005,0)</f>
        <v>1</v>
      </c>
      <c r="P178">
        <f>ROUNDUP(MAX(4,MIN(A178,VLOOKUP(A178,Level!$A$4:$M$203,13))*MIN(4,ROUNDUP(VLOOKUP(A178,Background!$C$3:$D$52,2)/5,0)))*VLOOKUP(A178,Plants!$C$4:$AJ$53,30)*0.025,0)</f>
        <v>195</v>
      </c>
      <c r="Q178">
        <f t="shared" si="40"/>
        <v>98.5</v>
      </c>
      <c r="R178">
        <f>ROUND(MIN(50,ROUNDUP(A178/3,0),Level!M178)*Plants!R$4,0)</f>
        <v>250</v>
      </c>
      <c r="S178" s="153">
        <f>ROUNDUP(MAX(4,MIN(A178,VLOOKUP(A178,Level!$A$4:$M$203,13))*MIN(4,ROUNDUP(VLOOKUP(A178,Background!$C$3:$D$52,2)/5,0)))*VLOOKUP(A178,Plants!$C$4:$AJ$53,31)*1.25,0)</f>
        <v>221250</v>
      </c>
      <c r="T178" s="153">
        <f t="shared" si="41"/>
        <v>110750</v>
      </c>
      <c r="U178">
        <f>SUM($K$4:K178)</f>
        <v>180230305</v>
      </c>
      <c r="V178">
        <f>VLOOKUP(A178,Garden!$B$4:$P$19,15)</f>
        <v>15970400</v>
      </c>
      <c r="W178">
        <f>VLOOKUP(A178,Plots!$B$4:$U$39,20)</f>
        <v>27071200</v>
      </c>
      <c r="X178">
        <f>VLOOKUP(A178,'Decoration Background'!$A$2:$H$200,8)</f>
        <v>102276339</v>
      </c>
      <c r="Y178">
        <f t="shared" si="47"/>
        <v>34912366</v>
      </c>
      <c r="Z178" s="158">
        <f t="shared" si="48"/>
        <v>0.80629025734601067</v>
      </c>
      <c r="AA178">
        <f t="shared" si="49"/>
        <v>-17418010</v>
      </c>
      <c r="AB178" s="170">
        <f>MAX(0,(-Y178)/VLOOKUP($A178,Payment!$A$39:$G$239,7)*100)</f>
        <v>0</v>
      </c>
      <c r="AC178" s="138">
        <f t="shared" si="42"/>
        <v>1583.4554545454546</v>
      </c>
      <c r="AD178">
        <f t="shared" si="50"/>
        <v>46200</v>
      </c>
      <c r="AE178">
        <f t="shared" si="43"/>
        <v>0</v>
      </c>
      <c r="AF178" s="79">
        <f t="shared" si="44"/>
        <v>117.6</v>
      </c>
    </row>
    <row r="179" spans="1:32">
      <c r="A179" s="36">
        <v>176</v>
      </c>
      <c r="B179" s="69">
        <f>Level!B180-Level!B179</f>
        <v>106500</v>
      </c>
      <c r="C179" s="73">
        <f>Level!M179*VLOOKUP(A179,Plants!$C$4:$AH$47,32)*24+(27/Level!T179)</f>
        <v>5539.1197049525808</v>
      </c>
      <c r="D179" s="62">
        <f t="shared" si="45"/>
        <v>19.226881828312415</v>
      </c>
      <c r="E179" s="65">
        <f>SUM(D$4:D178)</f>
        <v>1492.9406248985356</v>
      </c>
      <c r="F179" s="205">
        <f>Level!M179*VLOOKUP(A179,Plants!$C$4:$AI$47,33)*24*1.15+IF(VLOOKUP(A179,Goals!$AO$4:$AO$120,1)=A179,VLOOKUP(A179,Goals!$AO$4:$AQ$120,3)/D179,0)+VLOOKUP(A179,Level!$A$4:$C$203,3)/D179</f>
        <v>148100.97471022129</v>
      </c>
      <c r="G179" s="71">
        <f>Level!M179*VLOOKUP(A179,Plants!$C$4:$X$47,21)*24</f>
        <v>72000</v>
      </c>
      <c r="H179" s="63">
        <f t="shared" si="46"/>
        <v>1.4791666666666667</v>
      </c>
      <c r="I179" s="64">
        <f>SUM(H$4:H178)</f>
        <v>110.82891375985686</v>
      </c>
      <c r="J179" s="35">
        <f>Level!M179*VLOOKUP(A179,Plants!$C$4:$X$47,22)*24</f>
        <v>648000</v>
      </c>
      <c r="K179" s="239">
        <f t="shared" si="38"/>
        <v>2847520</v>
      </c>
      <c r="L179" s="239">
        <f>SUM($K$4:K179)</f>
        <v>183077825</v>
      </c>
      <c r="M179" s="239">
        <f t="shared" si="39"/>
        <v>958500</v>
      </c>
      <c r="N179" s="239">
        <f>SUM($M$4:M179)</f>
        <v>61451928</v>
      </c>
      <c r="O179">
        <f>ROUNDUP(MIN(50,ROUNDUP(A179/3,0),Level!M179)*Plants!Q$4*0.005,0)</f>
        <v>1</v>
      </c>
      <c r="P179">
        <f>ROUNDUP(MAX(4,MIN(A179,VLOOKUP(A179,Level!$A$4:$M$203,13))*MIN(4,ROUNDUP(VLOOKUP(A179,Background!$C$3:$D$52,2)/5,0)))*VLOOKUP(A179,Plants!$C$4:$AJ$53,30)*0.025,0)</f>
        <v>195</v>
      </c>
      <c r="Q179">
        <f t="shared" si="40"/>
        <v>98.5</v>
      </c>
      <c r="R179">
        <f>ROUND(MIN(50,ROUNDUP(A179/3,0),Level!M179)*Plants!R$4,0)</f>
        <v>250</v>
      </c>
      <c r="S179" s="153">
        <f>ROUNDUP(MAX(4,MIN(A179,VLOOKUP(A179,Level!$A$4:$M$203,13))*MIN(4,ROUNDUP(VLOOKUP(A179,Background!$C$3:$D$52,2)/5,0)))*VLOOKUP(A179,Plants!$C$4:$AJ$53,31)*1.25,0)</f>
        <v>221250</v>
      </c>
      <c r="T179" s="153">
        <f t="shared" si="41"/>
        <v>110750</v>
      </c>
      <c r="U179">
        <f>SUM($K$4:K179)</f>
        <v>183077825</v>
      </c>
      <c r="V179">
        <f>VLOOKUP(A179,Garden!$B$4:$P$19,15)</f>
        <v>15970400</v>
      </c>
      <c r="W179">
        <f>VLOOKUP(A179,Plots!$B$4:$U$39,20)</f>
        <v>27071200</v>
      </c>
      <c r="X179">
        <f>VLOOKUP(A179,'Decoration Background'!$A$2:$H$200,8)</f>
        <v>103702758</v>
      </c>
      <c r="Y179">
        <f t="shared" si="47"/>
        <v>36333467</v>
      </c>
      <c r="Z179" s="158">
        <f t="shared" si="48"/>
        <v>0.80154086383755108</v>
      </c>
      <c r="AA179">
        <f t="shared" si="49"/>
        <v>-17418010</v>
      </c>
      <c r="AB179" s="170">
        <f>MAX(0,(-Y179)/VLOOKUP($A179,Payment!$A$39:$G$239,7)*100)</f>
        <v>0</v>
      </c>
      <c r="AC179" s="138">
        <f t="shared" si="42"/>
        <v>1583.4554545454546</v>
      </c>
      <c r="AD179">
        <f t="shared" si="50"/>
        <v>46728</v>
      </c>
      <c r="AE179">
        <f t="shared" si="43"/>
        <v>0</v>
      </c>
      <c r="AF179" s="79">
        <f t="shared" si="44"/>
        <v>117.6</v>
      </c>
    </row>
    <row r="180" spans="1:32">
      <c r="A180" s="36">
        <v>177</v>
      </c>
      <c r="B180" s="69">
        <f>Level!B181-Level!B180</f>
        <v>108000</v>
      </c>
      <c r="C180" s="73">
        <f>Level!M180*VLOOKUP(A180,Plants!$C$4:$AH$47,32)*24+(27/Level!T180)</f>
        <v>5539.1197049525808</v>
      </c>
      <c r="D180" s="62">
        <f t="shared" si="45"/>
        <v>19.497682980823857</v>
      </c>
      <c r="E180" s="65">
        <f>SUM(D$4:D179)</f>
        <v>1512.1675067268479</v>
      </c>
      <c r="F180" s="205">
        <f>Level!M180*VLOOKUP(A180,Plants!$C$4:$AI$47,33)*24*1.15+IF(VLOOKUP(A180,Goals!$AO$4:$AO$120,1)=A180,VLOOKUP(A180,Goals!$AO$4:$AQ$120,3)/D180,0)+VLOOKUP(A180,Level!$A$4:$C$203,3)/D180</f>
        <v>148100.97471022129</v>
      </c>
      <c r="G180" s="71">
        <f>Level!M180*VLOOKUP(A180,Plants!$C$4:$X$47,21)*24</f>
        <v>72000</v>
      </c>
      <c r="H180" s="63">
        <f t="shared" si="46"/>
        <v>1.5</v>
      </c>
      <c r="I180" s="64">
        <f>SUM(H$4:H179)</f>
        <v>112.30808042652353</v>
      </c>
      <c r="J180" s="35">
        <f>Level!M180*VLOOKUP(A180,Plants!$C$4:$X$47,22)*24</f>
        <v>648000</v>
      </c>
      <c r="K180" s="239">
        <f t="shared" si="38"/>
        <v>2887626</v>
      </c>
      <c r="L180" s="239">
        <f>SUM($K$4:K180)</f>
        <v>185965451</v>
      </c>
      <c r="M180" s="239">
        <f t="shared" si="39"/>
        <v>972000</v>
      </c>
      <c r="N180" s="239">
        <f>SUM($M$4:M180)</f>
        <v>62423928</v>
      </c>
      <c r="O180">
        <f>ROUNDUP(MIN(50,ROUNDUP(A180/3,0),Level!M180)*Plants!Q$4*0.005,0)</f>
        <v>1</v>
      </c>
      <c r="P180">
        <f>ROUNDUP(MAX(4,MIN(A180,VLOOKUP(A180,Level!$A$4:$M$203,13))*MIN(4,ROUNDUP(VLOOKUP(A180,Background!$C$3:$D$52,2)/5,0)))*VLOOKUP(A180,Plants!$C$4:$AJ$53,30)*0.025,0)</f>
        <v>195</v>
      </c>
      <c r="Q180">
        <f t="shared" si="40"/>
        <v>98.5</v>
      </c>
      <c r="R180">
        <f>ROUND(MIN(50,ROUNDUP(A180/3,0),Level!M180)*Plants!R$4,0)</f>
        <v>250</v>
      </c>
      <c r="S180" s="153">
        <f>ROUNDUP(MAX(4,MIN(A180,VLOOKUP(A180,Level!$A$4:$M$203,13))*MIN(4,ROUNDUP(VLOOKUP(A180,Background!$C$3:$D$52,2)/5,0)))*VLOOKUP(A180,Plants!$C$4:$AJ$53,31)*1.25,0)</f>
        <v>221250</v>
      </c>
      <c r="T180" s="153">
        <f t="shared" si="41"/>
        <v>110750</v>
      </c>
      <c r="U180">
        <f>SUM($K$4:K180)</f>
        <v>185965451</v>
      </c>
      <c r="V180">
        <f>VLOOKUP(A180,Garden!$B$4:$P$19,15)</f>
        <v>15970400</v>
      </c>
      <c r="W180">
        <f>VLOOKUP(A180,Plots!$B$4:$U$39,20)</f>
        <v>27071200</v>
      </c>
      <c r="X180">
        <f>VLOOKUP(A180,'Decoration Background'!$A$2:$H$200,8)</f>
        <v>105148227</v>
      </c>
      <c r="Y180">
        <f t="shared" si="47"/>
        <v>37775624</v>
      </c>
      <c r="Z180" s="158">
        <f t="shared" si="48"/>
        <v>0.79686751599897987</v>
      </c>
      <c r="AA180">
        <f t="shared" si="49"/>
        <v>-17418010</v>
      </c>
      <c r="AB180" s="170">
        <f>MAX(0,(-Y180)/VLOOKUP($A180,Payment!$A$39:$G$239,7)*100)</f>
        <v>0</v>
      </c>
      <c r="AC180" s="138">
        <f t="shared" si="42"/>
        <v>1583.4554545454546</v>
      </c>
      <c r="AD180">
        <f t="shared" si="50"/>
        <v>47259</v>
      </c>
      <c r="AE180">
        <f t="shared" si="43"/>
        <v>0</v>
      </c>
      <c r="AF180" s="79">
        <f t="shared" si="44"/>
        <v>117.6</v>
      </c>
    </row>
    <row r="181" spans="1:32">
      <c r="A181" s="36">
        <v>178</v>
      </c>
      <c r="B181" s="69">
        <f>Level!B182-Level!B181</f>
        <v>109500</v>
      </c>
      <c r="C181" s="73">
        <f>Level!M181*VLOOKUP(A181,Plants!$C$4:$AH$47,32)*24+(27/Level!T181)</f>
        <v>5539.1197049525808</v>
      </c>
      <c r="D181" s="62">
        <f t="shared" si="45"/>
        <v>19.768484133335299</v>
      </c>
      <c r="E181" s="65">
        <f>SUM(D$4:D180)</f>
        <v>1531.6651897076717</v>
      </c>
      <c r="F181" s="205">
        <f>Level!M181*VLOOKUP(A181,Plants!$C$4:$AI$47,33)*24*1.15+IF(VLOOKUP(A181,Goals!$AO$4:$AO$120,1)=A181,VLOOKUP(A181,Goals!$AO$4:$AQ$120,3)/D181,0)+VLOOKUP(A181,Level!$A$4:$C$203,3)/D181</f>
        <v>148100.97471022129</v>
      </c>
      <c r="G181" s="71">
        <f>Level!M181*VLOOKUP(A181,Plants!$C$4:$X$47,21)*24</f>
        <v>72000</v>
      </c>
      <c r="H181" s="63">
        <f t="shared" si="46"/>
        <v>1.5208333333333333</v>
      </c>
      <c r="I181" s="64">
        <f>SUM(H$4:H180)</f>
        <v>113.80808042652353</v>
      </c>
      <c r="J181" s="35">
        <f>Level!M181*VLOOKUP(A181,Plants!$C$4:$X$47,22)*24</f>
        <v>648000</v>
      </c>
      <c r="K181" s="239">
        <f t="shared" si="38"/>
        <v>2927732</v>
      </c>
      <c r="L181" s="239">
        <f>SUM($K$4:K181)</f>
        <v>188893183</v>
      </c>
      <c r="M181" s="239">
        <f t="shared" si="39"/>
        <v>985500</v>
      </c>
      <c r="N181" s="239">
        <f>SUM($M$4:M181)</f>
        <v>63409428</v>
      </c>
      <c r="O181">
        <f>ROUNDUP(MIN(50,ROUNDUP(A181/3,0),Level!M181)*Plants!Q$4*0.005,0)</f>
        <v>1</v>
      </c>
      <c r="P181">
        <f>ROUNDUP(MAX(4,MIN(A181,VLOOKUP(A181,Level!$A$4:$M$203,13))*MIN(4,ROUNDUP(VLOOKUP(A181,Background!$C$3:$D$52,2)/5,0)))*VLOOKUP(A181,Plants!$C$4:$AJ$53,30)*0.025,0)</f>
        <v>195</v>
      </c>
      <c r="Q181">
        <f t="shared" si="40"/>
        <v>98.5</v>
      </c>
      <c r="R181">
        <f>ROUND(MIN(50,ROUNDUP(A181/3,0),Level!M181)*Plants!R$4,0)</f>
        <v>250</v>
      </c>
      <c r="S181" s="153">
        <f>ROUNDUP(MAX(4,MIN(A181,VLOOKUP(A181,Level!$A$4:$M$203,13))*MIN(4,ROUNDUP(VLOOKUP(A181,Background!$C$3:$D$52,2)/5,0)))*VLOOKUP(A181,Plants!$C$4:$AJ$53,31)*1.25,0)</f>
        <v>221250</v>
      </c>
      <c r="T181" s="153">
        <f t="shared" si="41"/>
        <v>110750</v>
      </c>
      <c r="U181">
        <f>SUM($K$4:K181)</f>
        <v>188893183</v>
      </c>
      <c r="V181">
        <f>VLOOKUP(A181,Garden!$B$4:$P$19,15)</f>
        <v>15970400</v>
      </c>
      <c r="W181">
        <f>VLOOKUP(A181,Plots!$B$4:$U$39,20)</f>
        <v>27071200</v>
      </c>
      <c r="X181">
        <f>VLOOKUP(A181,'Decoration Background'!$A$2:$H$200,8)</f>
        <v>106613196</v>
      </c>
      <c r="Y181">
        <f t="shared" si="47"/>
        <v>39238387</v>
      </c>
      <c r="Z181" s="158">
        <f t="shared" si="48"/>
        <v>0.79227208532983429</v>
      </c>
      <c r="AA181">
        <f t="shared" si="49"/>
        <v>-17418010</v>
      </c>
      <c r="AB181" s="170">
        <f>MAX(0,(-Y181)/VLOOKUP($A181,Payment!$A$39:$G$239,7)*100)</f>
        <v>0</v>
      </c>
      <c r="AC181" s="138">
        <f t="shared" si="42"/>
        <v>1583.4554545454546</v>
      </c>
      <c r="AD181">
        <f t="shared" si="50"/>
        <v>47793</v>
      </c>
      <c r="AE181">
        <f t="shared" si="43"/>
        <v>0</v>
      </c>
      <c r="AF181" s="79">
        <f t="shared" si="44"/>
        <v>117.6</v>
      </c>
    </row>
    <row r="182" spans="1:32">
      <c r="A182" s="36">
        <v>179</v>
      </c>
      <c r="B182" s="69">
        <f>Level!B183-Level!B182</f>
        <v>111000</v>
      </c>
      <c r="C182" s="73">
        <f>Level!M182*VLOOKUP(A182,Plants!$C$4:$AH$47,32)*24+(27/Level!T182)</f>
        <v>5539.1197049525808</v>
      </c>
      <c r="D182" s="62">
        <f t="shared" si="45"/>
        <v>20.039285285846741</v>
      </c>
      <c r="E182" s="65">
        <f>SUM(D$4:D181)</f>
        <v>1551.433673841007</v>
      </c>
      <c r="F182" s="205">
        <f>Level!M182*VLOOKUP(A182,Plants!$C$4:$AI$47,33)*24*1.15+IF(VLOOKUP(A182,Goals!$AO$4:$AO$120,1)=A182,VLOOKUP(A182,Goals!$AO$4:$AQ$120,3)/D182,0)+VLOOKUP(A182,Level!$A$4:$C$203,3)/D182</f>
        <v>148100.97471022129</v>
      </c>
      <c r="G182" s="71">
        <f>Level!M182*VLOOKUP(A182,Plants!$C$4:$X$47,21)*24</f>
        <v>72000</v>
      </c>
      <c r="H182" s="63">
        <f t="shared" si="46"/>
        <v>1.5416666666666667</v>
      </c>
      <c r="I182" s="64">
        <f>SUM(H$4:H181)</f>
        <v>115.32891375985686</v>
      </c>
      <c r="J182" s="35">
        <f>Level!M182*VLOOKUP(A182,Plants!$C$4:$X$47,22)*24</f>
        <v>648000</v>
      </c>
      <c r="K182" s="239">
        <f t="shared" si="38"/>
        <v>2967838</v>
      </c>
      <c r="L182" s="239">
        <f>SUM($K$4:K182)</f>
        <v>191861021</v>
      </c>
      <c r="M182" s="239">
        <f t="shared" si="39"/>
        <v>999000</v>
      </c>
      <c r="N182" s="239">
        <f>SUM($M$4:M182)</f>
        <v>64408428</v>
      </c>
      <c r="O182">
        <f>ROUNDUP(MIN(50,ROUNDUP(A182/3,0),Level!M182)*Plants!Q$4*0.005,0)</f>
        <v>1</v>
      </c>
      <c r="P182">
        <f>ROUNDUP(MAX(4,MIN(A182,VLOOKUP(A182,Level!$A$4:$M$203,13))*MIN(4,ROUNDUP(VLOOKUP(A182,Background!$C$3:$D$52,2)/5,0)))*VLOOKUP(A182,Plants!$C$4:$AJ$53,30)*0.025,0)</f>
        <v>195</v>
      </c>
      <c r="Q182">
        <f t="shared" si="40"/>
        <v>98.5</v>
      </c>
      <c r="R182">
        <f>ROUND(MIN(50,ROUNDUP(A182/3,0),Level!M182)*Plants!R$4,0)</f>
        <v>250</v>
      </c>
      <c r="S182" s="153">
        <f>ROUNDUP(MAX(4,MIN(A182,VLOOKUP(A182,Level!$A$4:$M$203,13))*MIN(4,ROUNDUP(VLOOKUP(A182,Background!$C$3:$D$52,2)/5,0)))*VLOOKUP(A182,Plants!$C$4:$AJ$53,31)*1.25,0)</f>
        <v>221250</v>
      </c>
      <c r="T182" s="153">
        <f t="shared" si="41"/>
        <v>110750</v>
      </c>
      <c r="U182">
        <f>SUM($K$4:K182)</f>
        <v>191861021</v>
      </c>
      <c r="V182">
        <f>VLOOKUP(A182,Garden!$B$4:$P$19,15)</f>
        <v>15970400</v>
      </c>
      <c r="W182">
        <f>VLOOKUP(A182,Plots!$B$4:$U$39,20)</f>
        <v>27071200</v>
      </c>
      <c r="X182">
        <f>VLOOKUP(A182,'Decoration Background'!$A$2:$H$200,8)</f>
        <v>108098115</v>
      </c>
      <c r="Y182">
        <f t="shared" si="47"/>
        <v>40721306</v>
      </c>
      <c r="Z182" s="158">
        <f t="shared" si="48"/>
        <v>0.78775623215306456</v>
      </c>
      <c r="AA182">
        <f t="shared" si="49"/>
        <v>-17418010</v>
      </c>
      <c r="AB182" s="170">
        <f>MAX(0,(-Y182)/VLOOKUP($A182,Payment!$A$39:$G$239,7)*100)</f>
        <v>0</v>
      </c>
      <c r="AC182" s="138">
        <f t="shared" si="42"/>
        <v>1583.4554545454546</v>
      </c>
      <c r="AD182">
        <f t="shared" si="50"/>
        <v>48330</v>
      </c>
      <c r="AE182">
        <f t="shared" si="43"/>
        <v>0</v>
      </c>
      <c r="AF182" s="79">
        <f t="shared" si="44"/>
        <v>117.6</v>
      </c>
    </row>
    <row r="183" spans="1:32">
      <c r="A183" s="36">
        <v>180</v>
      </c>
      <c r="B183" s="69">
        <f>Level!B184-Level!B183</f>
        <v>112500</v>
      </c>
      <c r="C183" s="73">
        <f>Level!M183*VLOOKUP(A183,Plants!$C$4:$AH$47,32)*24+(27/Level!T183)</f>
        <v>5539.1197049525808</v>
      </c>
      <c r="D183" s="62">
        <f t="shared" si="45"/>
        <v>20.310086438358184</v>
      </c>
      <c r="E183" s="65">
        <f>SUM(D$4:D182)</f>
        <v>1571.4729591268538</v>
      </c>
      <c r="F183" s="205">
        <f>Level!M183*VLOOKUP(A183,Plants!$C$4:$AI$47,33)*24*1.15+IF(VLOOKUP(A183,Goals!$AO$4:$AO$120,1)=A183,VLOOKUP(A183,Goals!$AO$4:$AQ$120,3)/D183,0)+VLOOKUP(A183,Level!$A$4:$C$203,3)/D183</f>
        <v>148100.97471022129</v>
      </c>
      <c r="G183" s="71">
        <f>Level!M183*VLOOKUP(A183,Plants!$C$4:$X$47,21)*24</f>
        <v>72000</v>
      </c>
      <c r="H183" s="63">
        <f t="shared" si="46"/>
        <v>1.5625</v>
      </c>
      <c r="I183" s="64">
        <f>SUM(H$4:H182)</f>
        <v>116.87058042652353</v>
      </c>
      <c r="J183" s="35">
        <f>Level!M183*VLOOKUP(A183,Plants!$C$4:$X$47,22)*24</f>
        <v>648000</v>
      </c>
      <c r="K183" s="239">
        <f t="shared" si="38"/>
        <v>3007944</v>
      </c>
      <c r="L183" s="239">
        <f>SUM($K$4:K183)</f>
        <v>194868965</v>
      </c>
      <c r="M183" s="239">
        <f t="shared" si="39"/>
        <v>1012500</v>
      </c>
      <c r="N183" s="239">
        <f>SUM($M$4:M183)</f>
        <v>65420928</v>
      </c>
      <c r="O183">
        <f>ROUNDUP(MIN(50,ROUNDUP(A183/3,0),Level!M183)*Plants!Q$4*0.005,0)</f>
        <v>1</v>
      </c>
      <c r="P183">
        <f>ROUNDUP(MAX(4,MIN(A183,VLOOKUP(A183,Level!$A$4:$M$203,13))*MIN(4,ROUNDUP(VLOOKUP(A183,Background!$C$3:$D$52,2)/5,0)))*VLOOKUP(A183,Plants!$C$4:$AJ$53,30)*0.025,0)</f>
        <v>195</v>
      </c>
      <c r="Q183">
        <f t="shared" si="40"/>
        <v>98.5</v>
      </c>
      <c r="R183">
        <f>ROUND(MIN(50,ROUNDUP(A183/3,0),Level!M183)*Plants!R$4,0)</f>
        <v>250</v>
      </c>
      <c r="S183" s="153">
        <f>ROUNDUP(MAX(4,MIN(A183,VLOOKUP(A183,Level!$A$4:$M$203,13))*MIN(4,ROUNDUP(VLOOKUP(A183,Background!$C$3:$D$52,2)/5,0)))*VLOOKUP(A183,Plants!$C$4:$AJ$53,31)*1.25,0)</f>
        <v>221250</v>
      </c>
      <c r="T183" s="153">
        <f t="shared" si="41"/>
        <v>110750</v>
      </c>
      <c r="U183">
        <f>SUM($K$4:K183)</f>
        <v>194868965</v>
      </c>
      <c r="V183">
        <f>VLOOKUP(A183,Garden!$B$4:$P$19,15)</f>
        <v>15970400</v>
      </c>
      <c r="W183">
        <f>VLOOKUP(A183,Plots!$B$4:$U$39,20)</f>
        <v>27071200</v>
      </c>
      <c r="X183">
        <f>VLOOKUP(A183,'Decoration Background'!$A$2:$H$200,8)</f>
        <v>109603434</v>
      </c>
      <c r="Y183">
        <f t="shared" si="47"/>
        <v>42223931</v>
      </c>
      <c r="Z183" s="158">
        <f t="shared" si="48"/>
        <v>0.78332141806161903</v>
      </c>
      <c r="AA183">
        <f t="shared" si="49"/>
        <v>-17418010</v>
      </c>
      <c r="AB183" s="170">
        <f>MAX(0,(-Y183)/VLOOKUP($A183,Payment!$A$39:$G$239,7)*100)</f>
        <v>0</v>
      </c>
      <c r="AC183" s="138">
        <f t="shared" si="42"/>
        <v>1583.4554545454546</v>
      </c>
      <c r="AD183">
        <f t="shared" si="50"/>
        <v>48870</v>
      </c>
      <c r="AE183">
        <f t="shared" si="43"/>
        <v>0</v>
      </c>
      <c r="AF183" s="79">
        <f t="shared" si="44"/>
        <v>117.6</v>
      </c>
    </row>
    <row r="184" spans="1:32">
      <c r="A184" s="36">
        <v>181</v>
      </c>
      <c r="B184" s="69">
        <f>Level!B185-Level!B184</f>
        <v>114000</v>
      </c>
      <c r="C184" s="73">
        <f>Level!M184*VLOOKUP(A184,Plants!$C$4:$AH$47,32)*24+(27/Level!T184)</f>
        <v>5539.1197049525808</v>
      </c>
      <c r="D184" s="62">
        <f t="shared" si="45"/>
        <v>20.580887590869626</v>
      </c>
      <c r="E184" s="65">
        <f>SUM(D$4:D183)</f>
        <v>1591.783045565212</v>
      </c>
      <c r="F184" s="205">
        <f>Level!M184*VLOOKUP(A184,Plants!$C$4:$AI$47,33)*24*1.15+IF(VLOOKUP(A184,Goals!$AO$4:$AO$120,1)=A184,VLOOKUP(A184,Goals!$AO$4:$AQ$120,3)/D184,0)+VLOOKUP(A184,Level!$A$4:$C$203,3)/D184</f>
        <v>148100.97471022129</v>
      </c>
      <c r="G184" s="71">
        <f>Level!M184*VLOOKUP(A184,Plants!$C$4:$X$47,21)*24</f>
        <v>72000</v>
      </c>
      <c r="H184" s="63">
        <f t="shared" si="46"/>
        <v>1.5833333333333333</v>
      </c>
      <c r="I184" s="64">
        <f>SUM(H$4:H183)</f>
        <v>118.43308042652353</v>
      </c>
      <c r="J184" s="35">
        <f>Level!M184*VLOOKUP(A184,Plants!$C$4:$X$47,22)*24</f>
        <v>648000</v>
      </c>
      <c r="K184" s="239">
        <f t="shared" si="38"/>
        <v>3048050</v>
      </c>
      <c r="L184" s="239">
        <f>SUM($K$4:K184)</f>
        <v>197917015</v>
      </c>
      <c r="M184" s="239">
        <f t="shared" si="39"/>
        <v>1026000</v>
      </c>
      <c r="N184" s="239">
        <f>SUM($M$4:M184)</f>
        <v>66446928</v>
      </c>
      <c r="O184">
        <f>ROUNDUP(MIN(50,ROUNDUP(A184/3,0),Level!M184)*Plants!Q$4*0.005,0)</f>
        <v>1</v>
      </c>
      <c r="P184">
        <f>ROUNDUP(MAX(4,MIN(A184,VLOOKUP(A184,Level!$A$4:$M$203,13))*MIN(4,ROUNDUP(VLOOKUP(A184,Background!$C$3:$D$52,2)/5,0)))*VLOOKUP(A184,Plants!$C$4:$AJ$53,30)*0.025,0)</f>
        <v>195</v>
      </c>
      <c r="Q184">
        <f t="shared" si="40"/>
        <v>98.5</v>
      </c>
      <c r="R184">
        <f>ROUND(MIN(50,ROUNDUP(A184/3,0),Level!M184)*Plants!R$4,0)</f>
        <v>250</v>
      </c>
      <c r="S184" s="153">
        <f>ROUNDUP(MAX(4,MIN(A184,VLOOKUP(A184,Level!$A$4:$M$203,13))*MIN(4,ROUNDUP(VLOOKUP(A184,Background!$C$3:$D$52,2)/5,0)))*VLOOKUP(A184,Plants!$C$4:$AJ$53,31)*1.25,0)</f>
        <v>221250</v>
      </c>
      <c r="T184" s="153">
        <f t="shared" si="41"/>
        <v>110750</v>
      </c>
      <c r="U184">
        <f>SUM($K$4:K184)</f>
        <v>197917015</v>
      </c>
      <c r="V184">
        <f>VLOOKUP(A184,Garden!$B$4:$P$19,15)</f>
        <v>15970400</v>
      </c>
      <c r="W184">
        <f>VLOOKUP(A184,Plots!$B$4:$U$39,20)</f>
        <v>27071200</v>
      </c>
      <c r="X184">
        <f>VLOOKUP(A184,'Decoration Background'!$A$2:$H$200,8)</f>
        <v>111129603</v>
      </c>
      <c r="Y184">
        <f t="shared" si="47"/>
        <v>43745812</v>
      </c>
      <c r="Z184" s="158">
        <f t="shared" si="48"/>
        <v>0.77896891785680988</v>
      </c>
      <c r="AA184">
        <f t="shared" si="49"/>
        <v>-17418010</v>
      </c>
      <c r="AB184" s="170">
        <f>MAX(0,(-Y184)/VLOOKUP($A184,Payment!$A$39:$G$239,7)*100)</f>
        <v>0</v>
      </c>
      <c r="AC184" s="138">
        <f t="shared" si="42"/>
        <v>1583.4554545454546</v>
      </c>
      <c r="AD184">
        <f t="shared" si="50"/>
        <v>49413</v>
      </c>
      <c r="AE184">
        <f t="shared" si="43"/>
        <v>0</v>
      </c>
      <c r="AF184" s="79">
        <f t="shared" si="44"/>
        <v>117.6</v>
      </c>
    </row>
    <row r="185" spans="1:32">
      <c r="A185" s="36">
        <v>182</v>
      </c>
      <c r="B185" s="69">
        <f>Level!B186-Level!B185</f>
        <v>115500</v>
      </c>
      <c r="C185" s="73">
        <f>Level!M185*VLOOKUP(A185,Plants!$C$4:$AH$47,32)*24+(27/Level!T185)</f>
        <v>5539.1197049525808</v>
      </c>
      <c r="D185" s="62">
        <f t="shared" si="45"/>
        <v>20.851688743381068</v>
      </c>
      <c r="E185" s="65">
        <f>SUM(D$4:D184)</f>
        <v>1612.3639331560817</v>
      </c>
      <c r="F185" s="205">
        <f>Level!M185*VLOOKUP(A185,Plants!$C$4:$AI$47,33)*24*1.15+IF(VLOOKUP(A185,Goals!$AO$4:$AO$120,1)=A185,VLOOKUP(A185,Goals!$AO$4:$AQ$120,3)/D185,0)+VLOOKUP(A185,Level!$A$4:$C$203,3)/D185</f>
        <v>148100.97471022129</v>
      </c>
      <c r="G185" s="71">
        <f>Level!M185*VLOOKUP(A185,Plants!$C$4:$X$47,21)*24</f>
        <v>72000</v>
      </c>
      <c r="H185" s="63">
        <f t="shared" si="46"/>
        <v>1.6041666666666667</v>
      </c>
      <c r="I185" s="64">
        <f>SUM(H$4:H184)</f>
        <v>120.01641375985686</v>
      </c>
      <c r="J185" s="35">
        <f>Level!M185*VLOOKUP(A185,Plants!$C$4:$X$47,22)*24</f>
        <v>648000</v>
      </c>
      <c r="K185" s="239">
        <f t="shared" si="38"/>
        <v>3088155</v>
      </c>
      <c r="L185" s="239">
        <f>SUM($K$4:K185)</f>
        <v>201005170</v>
      </c>
      <c r="M185" s="239">
        <f t="shared" si="39"/>
        <v>1039500</v>
      </c>
      <c r="N185" s="239">
        <f>SUM($M$4:M185)</f>
        <v>67486428</v>
      </c>
      <c r="O185">
        <f>ROUNDUP(MIN(50,ROUNDUP(A185/3,0),Level!M185)*Plants!Q$4*0.005,0)</f>
        <v>1</v>
      </c>
      <c r="P185">
        <f>ROUNDUP(MAX(4,MIN(A185,VLOOKUP(A185,Level!$A$4:$M$203,13))*MIN(4,ROUNDUP(VLOOKUP(A185,Background!$C$3:$D$52,2)/5,0)))*VLOOKUP(A185,Plants!$C$4:$AJ$53,30)*0.025,0)</f>
        <v>195</v>
      </c>
      <c r="Q185">
        <f t="shared" si="40"/>
        <v>98.5</v>
      </c>
      <c r="R185">
        <f>ROUND(MIN(50,ROUNDUP(A185/3,0),Level!M185)*Plants!R$4,0)</f>
        <v>250</v>
      </c>
      <c r="S185" s="153">
        <f>ROUNDUP(MAX(4,MIN(A185,VLOOKUP(A185,Level!$A$4:$M$203,13))*MIN(4,ROUNDUP(VLOOKUP(A185,Background!$C$3:$D$52,2)/5,0)))*VLOOKUP(A185,Plants!$C$4:$AJ$53,31)*1.25,0)</f>
        <v>221250</v>
      </c>
      <c r="T185" s="153">
        <f t="shared" si="41"/>
        <v>110750</v>
      </c>
      <c r="U185">
        <f>SUM($K$4:K185)</f>
        <v>201005170</v>
      </c>
      <c r="V185">
        <f>VLOOKUP(A185,Garden!$B$4:$P$19,15)</f>
        <v>15970400</v>
      </c>
      <c r="W185">
        <f>VLOOKUP(A185,Plots!$B$4:$U$39,20)</f>
        <v>27071200</v>
      </c>
      <c r="X185">
        <f>VLOOKUP(A185,'Decoration Background'!$A$2:$H$200,8)</f>
        <v>112677072</v>
      </c>
      <c r="Y185">
        <f t="shared" si="47"/>
        <v>45286498</v>
      </c>
      <c r="Z185" s="158">
        <f t="shared" si="48"/>
        <v>0.77469983483509408</v>
      </c>
      <c r="AA185">
        <f t="shared" si="49"/>
        <v>-17418010</v>
      </c>
      <c r="AB185" s="170">
        <f>MAX(0,(-Y185)/VLOOKUP($A185,Payment!$A$39:$G$239,7)*100)</f>
        <v>0</v>
      </c>
      <c r="AC185" s="138">
        <f t="shared" si="42"/>
        <v>1583.4554545454546</v>
      </c>
      <c r="AD185">
        <f t="shared" si="50"/>
        <v>49959</v>
      </c>
      <c r="AE185">
        <f t="shared" si="43"/>
        <v>0</v>
      </c>
      <c r="AF185" s="79">
        <f t="shared" si="44"/>
        <v>117.6</v>
      </c>
    </row>
    <row r="186" spans="1:32">
      <c r="A186" s="36">
        <v>183</v>
      </c>
      <c r="B186" s="69">
        <f>Level!B187-Level!B186</f>
        <v>117000</v>
      </c>
      <c r="C186" s="73">
        <f>Level!M186*VLOOKUP(A186,Plants!$C$4:$AH$47,32)*24+(27/Level!T186)</f>
        <v>5539.1197049525808</v>
      </c>
      <c r="D186" s="62">
        <f t="shared" si="45"/>
        <v>21.12248989589251</v>
      </c>
      <c r="E186" s="65">
        <f>SUM(D$4:D185)</f>
        <v>1633.2156218994628</v>
      </c>
      <c r="F186" s="205">
        <f>Level!M186*VLOOKUP(A186,Plants!$C$4:$AI$47,33)*24*1.15+IF(VLOOKUP(A186,Goals!$AO$4:$AO$120,1)=A186,VLOOKUP(A186,Goals!$AO$4:$AQ$120,3)/D186,0)+VLOOKUP(A186,Level!$A$4:$C$203,3)/D186</f>
        <v>148100.97471022129</v>
      </c>
      <c r="G186" s="71">
        <f>Level!M186*VLOOKUP(A186,Plants!$C$4:$X$47,21)*24</f>
        <v>72000</v>
      </c>
      <c r="H186" s="63">
        <f t="shared" si="46"/>
        <v>1.625</v>
      </c>
      <c r="I186" s="64">
        <f>SUM(H$4:H185)</f>
        <v>121.62058042652353</v>
      </c>
      <c r="J186" s="35">
        <f>Level!M186*VLOOKUP(A186,Plants!$C$4:$X$47,22)*24</f>
        <v>648000</v>
      </c>
      <c r="K186" s="239">
        <f t="shared" si="38"/>
        <v>3128261</v>
      </c>
      <c r="L186" s="239">
        <f>SUM($K$4:K186)</f>
        <v>204133431</v>
      </c>
      <c r="M186" s="239">
        <f t="shared" si="39"/>
        <v>1053000</v>
      </c>
      <c r="N186" s="239">
        <f>SUM($M$4:M186)</f>
        <v>68539428</v>
      </c>
      <c r="O186">
        <f>ROUNDUP(MIN(50,ROUNDUP(A186/3,0),Level!M186)*Plants!Q$4*0.005,0)</f>
        <v>1</v>
      </c>
      <c r="P186">
        <f>ROUNDUP(MAX(4,MIN(A186,VLOOKUP(A186,Level!$A$4:$M$203,13))*MIN(4,ROUNDUP(VLOOKUP(A186,Background!$C$3:$D$52,2)/5,0)))*VLOOKUP(A186,Plants!$C$4:$AJ$53,30)*0.025,0)</f>
        <v>195</v>
      </c>
      <c r="Q186">
        <f t="shared" si="40"/>
        <v>98.5</v>
      </c>
      <c r="R186">
        <f>ROUND(MIN(50,ROUNDUP(A186/3,0),Level!M186)*Plants!R$4,0)</f>
        <v>250</v>
      </c>
      <c r="S186" s="153">
        <f>ROUNDUP(MAX(4,MIN(A186,VLOOKUP(A186,Level!$A$4:$M$203,13))*MIN(4,ROUNDUP(VLOOKUP(A186,Background!$C$3:$D$52,2)/5,0)))*VLOOKUP(A186,Plants!$C$4:$AJ$53,31)*1.25,0)</f>
        <v>221250</v>
      </c>
      <c r="T186" s="153">
        <f t="shared" si="41"/>
        <v>110750</v>
      </c>
      <c r="U186">
        <f>SUM($K$4:K186)</f>
        <v>204133431</v>
      </c>
      <c r="V186">
        <f>VLOOKUP(A186,Garden!$B$4:$P$19,15)</f>
        <v>15970400</v>
      </c>
      <c r="W186">
        <f>VLOOKUP(A186,Plots!$B$4:$U$39,20)</f>
        <v>27071200</v>
      </c>
      <c r="X186">
        <f>VLOOKUP(A186,'Decoration Background'!$A$2:$H$200,8)</f>
        <v>114246291</v>
      </c>
      <c r="Y186">
        <f t="shared" si="47"/>
        <v>46845540</v>
      </c>
      <c r="Z186" s="158">
        <f t="shared" si="48"/>
        <v>0.77051509999849066</v>
      </c>
      <c r="AA186">
        <f t="shared" si="49"/>
        <v>-17418010</v>
      </c>
      <c r="AB186" s="170">
        <f>MAX(0,(-Y186)/VLOOKUP($A186,Payment!$A$39:$G$239,7)*100)</f>
        <v>0</v>
      </c>
      <c r="AC186" s="138">
        <f t="shared" si="42"/>
        <v>1583.4554545454546</v>
      </c>
      <c r="AD186">
        <f t="shared" si="50"/>
        <v>50508</v>
      </c>
      <c r="AE186">
        <f t="shared" si="43"/>
        <v>0</v>
      </c>
      <c r="AF186" s="79">
        <f t="shared" si="44"/>
        <v>117.6</v>
      </c>
    </row>
    <row r="187" spans="1:32">
      <c r="A187" s="36">
        <v>184</v>
      </c>
      <c r="B187" s="69">
        <f>Level!B188-Level!B187</f>
        <v>118500</v>
      </c>
      <c r="C187" s="73">
        <f>Level!M187*VLOOKUP(A187,Plants!$C$4:$AH$47,32)*24+(27/Level!T187)</f>
        <v>5539.1197049525808</v>
      </c>
      <c r="D187" s="62">
        <f t="shared" si="45"/>
        <v>21.393291048403956</v>
      </c>
      <c r="E187" s="65">
        <f>SUM(D$4:D186)</f>
        <v>1654.3381117953554</v>
      </c>
      <c r="F187" s="205">
        <f>Level!M187*VLOOKUP(A187,Plants!$C$4:$AI$47,33)*24*1.15+IF(VLOOKUP(A187,Goals!$AO$4:$AO$120,1)=A187,VLOOKUP(A187,Goals!$AO$4:$AQ$120,3)/D187,0)+VLOOKUP(A187,Level!$A$4:$C$203,3)/D187</f>
        <v>148100.97471022129</v>
      </c>
      <c r="G187" s="71">
        <f>Level!M187*VLOOKUP(A187,Plants!$C$4:$X$47,21)*24</f>
        <v>72000</v>
      </c>
      <c r="H187" s="63">
        <f t="shared" si="46"/>
        <v>1.6458333333333333</v>
      </c>
      <c r="I187" s="64">
        <f>SUM(H$4:H186)</f>
        <v>123.24558042652353</v>
      </c>
      <c r="J187" s="35">
        <f>Level!M187*VLOOKUP(A187,Plants!$C$4:$X$47,22)*24</f>
        <v>648000</v>
      </c>
      <c r="K187" s="239">
        <f t="shared" si="38"/>
        <v>3168367</v>
      </c>
      <c r="L187" s="239">
        <f>SUM($K$4:K187)</f>
        <v>207301798</v>
      </c>
      <c r="M187" s="239">
        <f t="shared" si="39"/>
        <v>1066500</v>
      </c>
      <c r="N187" s="239">
        <f>SUM($M$4:M187)</f>
        <v>69605928</v>
      </c>
      <c r="O187">
        <f>ROUNDUP(MIN(50,ROUNDUP(A187/3,0),Level!M187)*Plants!Q$4*0.005,0)</f>
        <v>1</v>
      </c>
      <c r="P187">
        <f>ROUNDUP(MAX(4,MIN(A187,VLOOKUP(A187,Level!$A$4:$M$203,13))*MIN(4,ROUNDUP(VLOOKUP(A187,Background!$C$3:$D$52,2)/5,0)))*VLOOKUP(A187,Plants!$C$4:$AJ$53,30)*0.025,0)</f>
        <v>195</v>
      </c>
      <c r="Q187">
        <f t="shared" si="40"/>
        <v>98.5</v>
      </c>
      <c r="R187">
        <f>ROUND(MIN(50,ROUNDUP(A187/3,0),Level!M187)*Plants!R$4,0)</f>
        <v>250</v>
      </c>
      <c r="S187" s="153">
        <f>ROUNDUP(MAX(4,MIN(A187,VLOOKUP(A187,Level!$A$4:$M$203,13))*MIN(4,ROUNDUP(VLOOKUP(A187,Background!$C$3:$D$52,2)/5,0)))*VLOOKUP(A187,Plants!$C$4:$AJ$53,31)*1.25,0)</f>
        <v>221250</v>
      </c>
      <c r="T187" s="153">
        <f t="shared" si="41"/>
        <v>110750</v>
      </c>
      <c r="U187">
        <f>SUM($K$4:K187)</f>
        <v>207301798</v>
      </c>
      <c r="V187">
        <f>VLOOKUP(A187,Garden!$B$4:$P$19,15)</f>
        <v>15970400</v>
      </c>
      <c r="W187">
        <f>VLOOKUP(A187,Plots!$B$4:$U$39,20)</f>
        <v>27071200</v>
      </c>
      <c r="X187">
        <f>VLOOKUP(A187,'Decoration Background'!$A$2:$H$200,8)</f>
        <v>115837710</v>
      </c>
      <c r="Y187">
        <f t="shared" si="47"/>
        <v>48422488</v>
      </c>
      <c r="Z187" s="158">
        <f t="shared" si="48"/>
        <v>0.76641549437984136</v>
      </c>
      <c r="AA187">
        <f t="shared" si="49"/>
        <v>-17418010</v>
      </c>
      <c r="AB187" s="170">
        <f>MAX(0,(-Y187)/VLOOKUP($A187,Payment!$A$39:$G$239,7)*100)</f>
        <v>0</v>
      </c>
      <c r="AC187" s="138">
        <f t="shared" si="42"/>
        <v>1583.4554545454546</v>
      </c>
      <c r="AD187">
        <f t="shared" si="50"/>
        <v>51060</v>
      </c>
      <c r="AE187">
        <f t="shared" si="43"/>
        <v>0</v>
      </c>
      <c r="AF187" s="79">
        <f t="shared" si="44"/>
        <v>117.6</v>
      </c>
    </row>
    <row r="188" spans="1:32">
      <c r="A188" s="36">
        <v>185</v>
      </c>
      <c r="B188" s="69">
        <f>Level!B189-Level!B188</f>
        <v>120000</v>
      </c>
      <c r="C188" s="73">
        <f>Level!M188*VLOOKUP(A188,Plants!$C$4:$AH$47,32)*24+(27/Level!T188)</f>
        <v>5539.1197049525808</v>
      </c>
      <c r="D188" s="62">
        <f t="shared" si="45"/>
        <v>21.664092200915398</v>
      </c>
      <c r="E188" s="65">
        <f>SUM(D$4:D187)</f>
        <v>1675.7314028437593</v>
      </c>
      <c r="F188" s="205">
        <f>Level!M188*VLOOKUP(A188,Plants!$C$4:$AI$47,33)*24*1.15+IF(VLOOKUP(A188,Goals!$AO$4:$AO$120,1)=A188,VLOOKUP(A188,Goals!$AO$4:$AQ$120,3)/D188,0)+VLOOKUP(A188,Level!$A$4:$C$203,3)/D188</f>
        <v>148100.97471022129</v>
      </c>
      <c r="G188" s="71">
        <f>Level!M188*VLOOKUP(A188,Plants!$C$4:$X$47,21)*24</f>
        <v>72000</v>
      </c>
      <c r="H188" s="63">
        <f t="shared" si="46"/>
        <v>1.6666666666666667</v>
      </c>
      <c r="I188" s="64">
        <f>SUM(H$4:H187)</f>
        <v>124.89141375985686</v>
      </c>
      <c r="J188" s="35">
        <f>Level!M188*VLOOKUP(A188,Plants!$C$4:$X$47,22)*24</f>
        <v>648000</v>
      </c>
      <c r="K188" s="239">
        <f t="shared" si="38"/>
        <v>3208473</v>
      </c>
      <c r="L188" s="239">
        <f>SUM($K$4:K188)</f>
        <v>210510271</v>
      </c>
      <c r="M188" s="239">
        <f t="shared" si="39"/>
        <v>1080000</v>
      </c>
      <c r="N188" s="239">
        <f>SUM($M$4:M188)</f>
        <v>70685928</v>
      </c>
      <c r="O188">
        <f>ROUNDUP(MIN(50,ROUNDUP(A188/3,0),Level!M188)*Plants!Q$4*0.005,0)</f>
        <v>1</v>
      </c>
      <c r="P188">
        <f>ROUNDUP(MAX(4,MIN(A188,VLOOKUP(A188,Level!$A$4:$M$203,13))*MIN(4,ROUNDUP(VLOOKUP(A188,Background!$C$3:$D$52,2)/5,0)))*VLOOKUP(A188,Plants!$C$4:$AJ$53,30)*0.025,0)</f>
        <v>195</v>
      </c>
      <c r="Q188">
        <f t="shared" si="40"/>
        <v>98.5</v>
      </c>
      <c r="R188">
        <f>ROUND(MIN(50,ROUNDUP(A188/3,0),Level!M188)*Plants!R$4,0)</f>
        <v>250</v>
      </c>
      <c r="S188" s="153">
        <f>ROUNDUP(MAX(4,MIN(A188,VLOOKUP(A188,Level!$A$4:$M$203,13))*MIN(4,ROUNDUP(VLOOKUP(A188,Background!$C$3:$D$52,2)/5,0)))*VLOOKUP(A188,Plants!$C$4:$AJ$53,31)*1.25,0)</f>
        <v>221250</v>
      </c>
      <c r="T188" s="153">
        <f t="shared" si="41"/>
        <v>110750</v>
      </c>
      <c r="U188">
        <f>SUM($K$4:K188)</f>
        <v>210510271</v>
      </c>
      <c r="V188">
        <f>VLOOKUP(A188,Garden!$B$4:$P$19,15)</f>
        <v>15970400</v>
      </c>
      <c r="W188">
        <f>VLOOKUP(A188,Plots!$B$4:$U$39,20)</f>
        <v>27071200</v>
      </c>
      <c r="X188">
        <f>VLOOKUP(A188,'Decoration Background'!$A$2:$H$200,8)</f>
        <v>117451779</v>
      </c>
      <c r="Y188">
        <f t="shared" si="47"/>
        <v>50016892</v>
      </c>
      <c r="Z188" s="158">
        <f t="shared" si="48"/>
        <v>0.76240165497673029</v>
      </c>
      <c r="AA188">
        <f t="shared" si="49"/>
        <v>-17418010</v>
      </c>
      <c r="AB188" s="170">
        <f>MAX(0,(-Y188)/VLOOKUP($A188,Payment!$A$39:$G$239,7)*100)</f>
        <v>0</v>
      </c>
      <c r="AC188" s="138">
        <f t="shared" si="42"/>
        <v>1583.4554545454546</v>
      </c>
      <c r="AD188">
        <f t="shared" si="50"/>
        <v>51615</v>
      </c>
      <c r="AE188">
        <f t="shared" si="43"/>
        <v>0</v>
      </c>
      <c r="AF188" s="79">
        <f t="shared" si="44"/>
        <v>117.6</v>
      </c>
    </row>
    <row r="189" spans="1:32">
      <c r="A189" s="36">
        <v>186</v>
      </c>
      <c r="B189" s="69">
        <f>Level!B190-Level!B189</f>
        <v>121500</v>
      </c>
      <c r="C189" s="73">
        <f>Level!M189*VLOOKUP(A189,Plants!$C$4:$AH$47,32)*24+(27/Level!T189)</f>
        <v>5539.1197049525808</v>
      </c>
      <c r="D189" s="62">
        <f t="shared" si="45"/>
        <v>21.93489335342684</v>
      </c>
      <c r="E189" s="65">
        <f>SUM(D$4:D188)</f>
        <v>1697.3954950446746</v>
      </c>
      <c r="F189" s="205">
        <f>Level!M189*VLOOKUP(A189,Plants!$C$4:$AI$47,33)*24*1.15+IF(VLOOKUP(A189,Goals!$AO$4:$AO$120,1)=A189,VLOOKUP(A189,Goals!$AO$4:$AQ$120,3)/D189,0)+VLOOKUP(A189,Level!$A$4:$C$203,3)/D189</f>
        <v>148100.97471022129</v>
      </c>
      <c r="G189" s="71">
        <f>Level!M189*VLOOKUP(A189,Plants!$C$4:$X$47,21)*24</f>
        <v>72000</v>
      </c>
      <c r="H189" s="63">
        <f t="shared" si="46"/>
        <v>1.6875</v>
      </c>
      <c r="I189" s="64">
        <f>SUM(H$4:H188)</f>
        <v>126.55808042652353</v>
      </c>
      <c r="J189" s="35">
        <f>Level!M189*VLOOKUP(A189,Plants!$C$4:$X$47,22)*24</f>
        <v>648000</v>
      </c>
      <c r="K189" s="239">
        <f t="shared" si="38"/>
        <v>3248579</v>
      </c>
      <c r="L189" s="239">
        <f>SUM($K$4:K189)</f>
        <v>213758850</v>
      </c>
      <c r="M189" s="239">
        <f t="shared" si="39"/>
        <v>1093500</v>
      </c>
      <c r="N189" s="239">
        <f>SUM($M$4:M189)</f>
        <v>71779428</v>
      </c>
      <c r="O189">
        <f>ROUNDUP(MIN(50,ROUNDUP(A189/3,0),Level!M189)*Plants!Q$4*0.005,0)</f>
        <v>1</v>
      </c>
      <c r="P189">
        <f>ROUNDUP(MAX(4,MIN(A189,VLOOKUP(A189,Level!$A$4:$M$203,13))*MIN(4,ROUNDUP(VLOOKUP(A189,Background!$C$3:$D$52,2)/5,0)))*VLOOKUP(A189,Plants!$C$4:$AJ$53,30)*0.025,0)</f>
        <v>195</v>
      </c>
      <c r="Q189">
        <f t="shared" si="40"/>
        <v>98.5</v>
      </c>
      <c r="R189">
        <f>ROUND(MIN(50,ROUNDUP(A189/3,0),Level!M189)*Plants!R$4,0)</f>
        <v>250</v>
      </c>
      <c r="S189" s="153">
        <f>ROUNDUP(MAX(4,MIN(A189,VLOOKUP(A189,Level!$A$4:$M$203,13))*MIN(4,ROUNDUP(VLOOKUP(A189,Background!$C$3:$D$52,2)/5,0)))*VLOOKUP(A189,Plants!$C$4:$AJ$53,31)*1.25,0)</f>
        <v>221250</v>
      </c>
      <c r="T189" s="153">
        <f t="shared" si="41"/>
        <v>110750</v>
      </c>
      <c r="U189">
        <f>SUM($K$4:K189)</f>
        <v>213758850</v>
      </c>
      <c r="V189">
        <f>VLOOKUP(A189,Garden!$B$4:$P$19,15)</f>
        <v>15970400</v>
      </c>
      <c r="W189">
        <f>VLOOKUP(A189,Plots!$B$4:$U$39,20)</f>
        <v>27071200</v>
      </c>
      <c r="X189">
        <f>VLOOKUP(A189,'Decoration Background'!$A$2:$H$200,8)</f>
        <v>119088948</v>
      </c>
      <c r="Y189">
        <f t="shared" si="47"/>
        <v>51628302</v>
      </c>
      <c r="Z189" s="158">
        <f t="shared" si="48"/>
        <v>0.75847408423089846</v>
      </c>
      <c r="AA189">
        <f t="shared" si="49"/>
        <v>-17418010</v>
      </c>
      <c r="AB189" s="170">
        <f>MAX(0,(-Y189)/VLOOKUP($A189,Payment!$A$39:$G$239,7)*100)</f>
        <v>0</v>
      </c>
      <c r="AC189" s="138">
        <f t="shared" si="42"/>
        <v>1583.4554545454546</v>
      </c>
      <c r="AD189">
        <f t="shared" si="50"/>
        <v>52173</v>
      </c>
      <c r="AE189">
        <f t="shared" si="43"/>
        <v>0</v>
      </c>
      <c r="AF189" s="79">
        <f t="shared" si="44"/>
        <v>117.6</v>
      </c>
    </row>
    <row r="190" spans="1:32">
      <c r="A190" s="36">
        <v>187</v>
      </c>
      <c r="B190" s="69">
        <f>Level!B191-Level!B190</f>
        <v>123000</v>
      </c>
      <c r="C190" s="73">
        <f>Level!M190*VLOOKUP(A190,Plants!$C$4:$AH$47,32)*24+(27/Level!T190)</f>
        <v>5539.1197049525808</v>
      </c>
      <c r="D190" s="62">
        <f t="shared" si="45"/>
        <v>22.205694505938283</v>
      </c>
      <c r="E190" s="65">
        <f>SUM(D$4:D189)</f>
        <v>1719.3303883981014</v>
      </c>
      <c r="F190" s="205">
        <f>Level!M190*VLOOKUP(A190,Plants!$C$4:$AI$47,33)*24*1.15+IF(VLOOKUP(A190,Goals!$AO$4:$AO$120,1)=A190,VLOOKUP(A190,Goals!$AO$4:$AQ$120,3)/D190,0)+VLOOKUP(A190,Level!$A$4:$C$203,3)/D190</f>
        <v>148100.97471022129</v>
      </c>
      <c r="G190" s="71">
        <f>Level!M190*VLOOKUP(A190,Plants!$C$4:$X$47,21)*24</f>
        <v>72000</v>
      </c>
      <c r="H190" s="63">
        <f t="shared" si="46"/>
        <v>1.7083333333333333</v>
      </c>
      <c r="I190" s="64">
        <f>SUM(H$4:H189)</f>
        <v>128.24558042652353</v>
      </c>
      <c r="J190" s="35">
        <f>Level!M190*VLOOKUP(A190,Plants!$C$4:$X$47,22)*24</f>
        <v>648000</v>
      </c>
      <c r="K190" s="239">
        <f t="shared" si="38"/>
        <v>3288685</v>
      </c>
      <c r="L190" s="239">
        <f>SUM($K$4:K190)</f>
        <v>217047535</v>
      </c>
      <c r="M190" s="239">
        <f t="shared" si="39"/>
        <v>1107000</v>
      </c>
      <c r="N190" s="239">
        <f>SUM($M$4:M190)</f>
        <v>72886428</v>
      </c>
      <c r="O190">
        <f>ROUNDUP(MIN(50,ROUNDUP(A190/3,0),Level!M190)*Plants!Q$4*0.005,0)</f>
        <v>1</v>
      </c>
      <c r="P190">
        <f>ROUNDUP(MAX(4,MIN(A190,VLOOKUP(A190,Level!$A$4:$M$203,13))*MIN(4,ROUNDUP(VLOOKUP(A190,Background!$C$3:$D$52,2)/5,0)))*VLOOKUP(A190,Plants!$C$4:$AJ$53,30)*0.025,0)</f>
        <v>195</v>
      </c>
      <c r="Q190">
        <f t="shared" si="40"/>
        <v>98.5</v>
      </c>
      <c r="R190">
        <f>ROUND(MIN(50,ROUNDUP(A190/3,0),Level!M190)*Plants!R$4,0)</f>
        <v>250</v>
      </c>
      <c r="S190" s="153">
        <f>ROUNDUP(MAX(4,MIN(A190,VLOOKUP(A190,Level!$A$4:$M$203,13))*MIN(4,ROUNDUP(VLOOKUP(A190,Background!$C$3:$D$52,2)/5,0)))*VLOOKUP(A190,Plants!$C$4:$AJ$53,31)*1.25,0)</f>
        <v>221250</v>
      </c>
      <c r="T190" s="153">
        <f t="shared" si="41"/>
        <v>110750</v>
      </c>
      <c r="U190">
        <f>SUM($K$4:K190)</f>
        <v>217047535</v>
      </c>
      <c r="V190">
        <f>VLOOKUP(A190,Garden!$B$4:$P$19,15)</f>
        <v>15970400</v>
      </c>
      <c r="W190">
        <f>VLOOKUP(A190,Plots!$B$4:$U$39,20)</f>
        <v>27071200</v>
      </c>
      <c r="X190">
        <f>VLOOKUP(A190,'Decoration Background'!$A$2:$H$200,8)</f>
        <v>120749667</v>
      </c>
      <c r="Y190">
        <f t="shared" si="47"/>
        <v>53256268</v>
      </c>
      <c r="Z190" s="158">
        <f t="shared" si="48"/>
        <v>0.75463315904509121</v>
      </c>
      <c r="AA190">
        <f t="shared" si="49"/>
        <v>-17418010</v>
      </c>
      <c r="AB190" s="170">
        <f>MAX(0,(-Y190)/VLOOKUP($A190,Payment!$A$39:$G$239,7)*100)</f>
        <v>0</v>
      </c>
      <c r="AC190" s="138">
        <f t="shared" si="42"/>
        <v>1583.4554545454546</v>
      </c>
      <c r="AD190">
        <f t="shared" si="50"/>
        <v>52734</v>
      </c>
      <c r="AE190">
        <f t="shared" si="43"/>
        <v>0</v>
      </c>
      <c r="AF190" s="79">
        <f t="shared" si="44"/>
        <v>117.6</v>
      </c>
    </row>
    <row r="191" spans="1:32">
      <c r="A191" s="36">
        <v>188</v>
      </c>
      <c r="B191" s="69">
        <f>Level!B192-Level!B191</f>
        <v>124500</v>
      </c>
      <c r="C191" s="73">
        <f>Level!M191*VLOOKUP(A191,Plants!$C$4:$AH$47,32)*24+(27/Level!T191)</f>
        <v>5539.1197049525808</v>
      </c>
      <c r="D191" s="62">
        <f t="shared" si="45"/>
        <v>22.476495658449725</v>
      </c>
      <c r="E191" s="65">
        <f>SUM(D$4:D190)</f>
        <v>1741.5360829040396</v>
      </c>
      <c r="F191" s="205">
        <f>Level!M191*VLOOKUP(A191,Plants!$C$4:$AI$47,33)*24*1.15+IF(VLOOKUP(A191,Goals!$AO$4:$AO$120,1)=A191,VLOOKUP(A191,Goals!$AO$4:$AQ$120,3)/D191,0)+VLOOKUP(A191,Level!$A$4:$C$203,3)/D191</f>
        <v>148100.97471022129</v>
      </c>
      <c r="G191" s="71">
        <f>Level!M191*VLOOKUP(A191,Plants!$C$4:$X$47,21)*24</f>
        <v>72000</v>
      </c>
      <c r="H191" s="63">
        <f t="shared" si="46"/>
        <v>1.7291666666666667</v>
      </c>
      <c r="I191" s="64">
        <f>SUM(H$4:H190)</f>
        <v>129.95391375985687</v>
      </c>
      <c r="J191" s="35">
        <f>Level!M191*VLOOKUP(A191,Plants!$C$4:$X$47,22)*24</f>
        <v>648000</v>
      </c>
      <c r="K191" s="239">
        <f t="shared" si="38"/>
        <v>3328791</v>
      </c>
      <c r="L191" s="239">
        <f>SUM($K$4:K191)</f>
        <v>220376326</v>
      </c>
      <c r="M191" s="239">
        <f t="shared" si="39"/>
        <v>1120500</v>
      </c>
      <c r="N191" s="239">
        <f>SUM($M$4:M191)</f>
        <v>74006928</v>
      </c>
      <c r="O191">
        <f>ROUNDUP(MIN(50,ROUNDUP(A191/3,0),Level!M191)*Plants!Q$4*0.005,0)</f>
        <v>1</v>
      </c>
      <c r="P191">
        <f>ROUNDUP(MAX(4,MIN(A191,VLOOKUP(A191,Level!$A$4:$M$203,13))*MIN(4,ROUNDUP(VLOOKUP(A191,Background!$C$3:$D$52,2)/5,0)))*VLOOKUP(A191,Plants!$C$4:$AJ$53,30)*0.025,0)</f>
        <v>195</v>
      </c>
      <c r="Q191">
        <f t="shared" si="40"/>
        <v>98.5</v>
      </c>
      <c r="R191">
        <f>ROUND(MIN(50,ROUNDUP(A191/3,0),Level!M191)*Plants!R$4,0)</f>
        <v>250</v>
      </c>
      <c r="S191" s="153">
        <f>ROUNDUP(MAX(4,MIN(A191,VLOOKUP(A191,Level!$A$4:$M$203,13))*MIN(4,ROUNDUP(VLOOKUP(A191,Background!$C$3:$D$52,2)/5,0)))*VLOOKUP(A191,Plants!$C$4:$AJ$53,31)*1.25,0)</f>
        <v>221250</v>
      </c>
      <c r="T191" s="153">
        <f t="shared" si="41"/>
        <v>110750</v>
      </c>
      <c r="U191">
        <f>SUM($K$4:K191)</f>
        <v>220376326</v>
      </c>
      <c r="V191">
        <f>VLOOKUP(A191,Garden!$B$4:$P$19,15)</f>
        <v>15970400</v>
      </c>
      <c r="W191">
        <f>VLOOKUP(A191,Plots!$B$4:$U$39,20)</f>
        <v>27071200</v>
      </c>
      <c r="X191">
        <f>VLOOKUP(A191,'Decoration Background'!$A$2:$H$200,8)</f>
        <v>122434386</v>
      </c>
      <c r="Y191">
        <f t="shared" si="47"/>
        <v>54900340</v>
      </c>
      <c r="Z191" s="158">
        <f t="shared" si="48"/>
        <v>0.7508791393500226</v>
      </c>
      <c r="AA191">
        <f t="shared" si="49"/>
        <v>-17418010</v>
      </c>
      <c r="AB191" s="170">
        <f>MAX(0,(-Y191)/VLOOKUP($A191,Payment!$A$39:$G$239,7)*100)</f>
        <v>0</v>
      </c>
      <c r="AC191" s="138">
        <f t="shared" si="42"/>
        <v>1583.4554545454546</v>
      </c>
      <c r="AD191">
        <f t="shared" si="50"/>
        <v>53298</v>
      </c>
      <c r="AE191">
        <f t="shared" si="43"/>
        <v>0</v>
      </c>
      <c r="AF191" s="79">
        <f t="shared" si="44"/>
        <v>117.6</v>
      </c>
    </row>
    <row r="192" spans="1:32">
      <c r="A192" s="36">
        <v>189</v>
      </c>
      <c r="B192" s="69">
        <f>Level!B193-Level!B192</f>
        <v>126000</v>
      </c>
      <c r="C192" s="73">
        <f>Level!M192*VLOOKUP(A192,Plants!$C$4:$AH$47,32)*24+(27/Level!T192)</f>
        <v>5539.1197049525808</v>
      </c>
      <c r="D192" s="62">
        <f t="shared" si="45"/>
        <v>22.747296810961167</v>
      </c>
      <c r="E192" s="65">
        <f>SUM(D$4:D191)</f>
        <v>1764.0125785624894</v>
      </c>
      <c r="F192" s="205">
        <f>Level!M192*VLOOKUP(A192,Plants!$C$4:$AI$47,33)*24*1.15+IF(VLOOKUP(A192,Goals!$AO$4:$AO$120,1)=A192,VLOOKUP(A192,Goals!$AO$4:$AQ$120,3)/D192,0)+VLOOKUP(A192,Level!$A$4:$C$203,3)/D192</f>
        <v>148100.97471022129</v>
      </c>
      <c r="G192" s="71">
        <f>Level!M192*VLOOKUP(A192,Plants!$C$4:$X$47,21)*24</f>
        <v>72000</v>
      </c>
      <c r="H192" s="63">
        <f t="shared" si="46"/>
        <v>1.75</v>
      </c>
      <c r="I192" s="64">
        <f>SUM(H$4:H191)</f>
        <v>131.68308042652353</v>
      </c>
      <c r="J192" s="35">
        <f>Level!M192*VLOOKUP(A192,Plants!$C$4:$X$47,22)*24</f>
        <v>648000</v>
      </c>
      <c r="K192" s="239">
        <f t="shared" si="38"/>
        <v>3368897</v>
      </c>
      <c r="L192" s="239">
        <f>SUM($K$4:K192)</f>
        <v>223745223</v>
      </c>
      <c r="M192" s="239">
        <f t="shared" si="39"/>
        <v>1134000</v>
      </c>
      <c r="N192" s="239">
        <f>SUM($M$4:M192)</f>
        <v>75140928</v>
      </c>
      <c r="O192">
        <f>ROUNDUP(MIN(50,ROUNDUP(A192/3,0),Level!M192)*Plants!Q$4*0.005,0)</f>
        <v>1</v>
      </c>
      <c r="P192">
        <f>ROUNDUP(MAX(4,MIN(A192,VLOOKUP(A192,Level!$A$4:$M$203,13))*MIN(4,ROUNDUP(VLOOKUP(A192,Background!$C$3:$D$52,2)/5,0)))*VLOOKUP(A192,Plants!$C$4:$AJ$53,30)*0.025,0)</f>
        <v>195</v>
      </c>
      <c r="Q192">
        <f t="shared" si="40"/>
        <v>98.5</v>
      </c>
      <c r="R192">
        <f>ROUND(MIN(50,ROUNDUP(A192/3,0),Level!M192)*Plants!R$4,0)</f>
        <v>250</v>
      </c>
      <c r="S192" s="153">
        <f>ROUNDUP(MAX(4,MIN(A192,VLOOKUP(A192,Level!$A$4:$M$203,13))*MIN(4,ROUNDUP(VLOOKUP(A192,Background!$C$3:$D$52,2)/5,0)))*VLOOKUP(A192,Plants!$C$4:$AJ$53,31)*1.25,0)</f>
        <v>221250</v>
      </c>
      <c r="T192" s="153">
        <f t="shared" si="41"/>
        <v>110750</v>
      </c>
      <c r="U192">
        <f>SUM($K$4:K192)</f>
        <v>223745223</v>
      </c>
      <c r="V192">
        <f>VLOOKUP(A192,Garden!$B$4:$P$19,15)</f>
        <v>15970400</v>
      </c>
      <c r="W192">
        <f>VLOOKUP(A192,Plots!$B$4:$U$39,20)</f>
        <v>27071200</v>
      </c>
      <c r="X192">
        <f>VLOOKUP(A192,'Decoration Background'!$A$2:$H$200,8)</f>
        <v>124143555</v>
      </c>
      <c r="Y192">
        <f t="shared" si="47"/>
        <v>56560068</v>
      </c>
      <c r="Z192" s="158">
        <f t="shared" si="48"/>
        <v>0.7472121762349313</v>
      </c>
      <c r="AA192">
        <f t="shared" si="49"/>
        <v>-17418010</v>
      </c>
      <c r="AB192" s="170">
        <f>MAX(0,(-Y192)/VLOOKUP($A192,Payment!$A$39:$G$239,7)*100)</f>
        <v>0</v>
      </c>
      <c r="AC192" s="138">
        <f t="shared" si="42"/>
        <v>1583.4554545454546</v>
      </c>
      <c r="AD192">
        <f t="shared" si="50"/>
        <v>53865</v>
      </c>
      <c r="AE192">
        <f t="shared" si="43"/>
        <v>0</v>
      </c>
      <c r="AF192" s="79">
        <f t="shared" si="44"/>
        <v>117.6</v>
      </c>
    </row>
    <row r="193" spans="1:32">
      <c r="A193" s="36">
        <v>190</v>
      </c>
      <c r="B193" s="69">
        <f>Level!B194-Level!B193</f>
        <v>127500</v>
      </c>
      <c r="C193" s="73">
        <f>Level!M193*VLOOKUP(A193,Plants!$C$4:$AH$47,32)*24+(27/Level!T193)</f>
        <v>5539.1197049525808</v>
      </c>
      <c r="D193" s="62">
        <f t="shared" si="45"/>
        <v>23.018097963472609</v>
      </c>
      <c r="E193" s="65">
        <f>SUM(D$4:D192)</f>
        <v>1786.7598753734505</v>
      </c>
      <c r="F193" s="205">
        <f>Level!M193*VLOOKUP(A193,Plants!$C$4:$AI$47,33)*24*1.15+IF(VLOOKUP(A193,Goals!$AO$4:$AO$120,1)=A193,VLOOKUP(A193,Goals!$AO$4:$AQ$120,3)/D193,0)+VLOOKUP(A193,Level!$A$4:$C$203,3)/D193</f>
        <v>148100.97471022129</v>
      </c>
      <c r="G193" s="71">
        <f>Level!M193*VLOOKUP(A193,Plants!$C$4:$X$47,21)*24</f>
        <v>72000</v>
      </c>
      <c r="H193" s="63">
        <f t="shared" si="46"/>
        <v>1.7708333333333333</v>
      </c>
      <c r="I193" s="64">
        <f>SUM(H$4:H192)</f>
        <v>133.43308042652353</v>
      </c>
      <c r="J193" s="35">
        <f>Level!M193*VLOOKUP(A193,Plants!$C$4:$X$47,22)*24</f>
        <v>648000</v>
      </c>
      <c r="K193" s="239">
        <f t="shared" si="38"/>
        <v>3409003</v>
      </c>
      <c r="L193" s="239">
        <f>SUM($K$4:K193)</f>
        <v>227154226</v>
      </c>
      <c r="M193" s="239">
        <f t="shared" si="39"/>
        <v>1147500</v>
      </c>
      <c r="N193" s="239">
        <f>SUM($M$4:M193)</f>
        <v>76288428</v>
      </c>
      <c r="O193">
        <f>ROUNDUP(MIN(50,ROUNDUP(A193/3,0),Level!M193)*Plants!Q$4*0.005,0)</f>
        <v>1</v>
      </c>
      <c r="P193">
        <f>ROUNDUP(MAX(4,MIN(A193,VLOOKUP(A193,Level!$A$4:$M$203,13))*MIN(4,ROUNDUP(VLOOKUP(A193,Background!$C$3:$D$52,2)/5,0)))*VLOOKUP(A193,Plants!$C$4:$AJ$53,30)*0.025,0)</f>
        <v>195</v>
      </c>
      <c r="Q193">
        <f t="shared" si="40"/>
        <v>98.5</v>
      </c>
      <c r="R193">
        <f>ROUND(MIN(50,ROUNDUP(A193/3,0),Level!M193)*Plants!R$4,0)</f>
        <v>250</v>
      </c>
      <c r="S193" s="153">
        <f>ROUNDUP(MAX(4,MIN(A193,VLOOKUP(A193,Level!$A$4:$M$203,13))*MIN(4,ROUNDUP(VLOOKUP(A193,Background!$C$3:$D$52,2)/5,0)))*VLOOKUP(A193,Plants!$C$4:$AJ$53,31)*1.25,0)</f>
        <v>221250</v>
      </c>
      <c r="T193" s="153">
        <f t="shared" si="41"/>
        <v>110750</v>
      </c>
      <c r="U193">
        <f>SUM($K$4:K193)</f>
        <v>227154226</v>
      </c>
      <c r="V193">
        <f>VLOOKUP(A193,Garden!$B$4:$P$19,15)</f>
        <v>15970400</v>
      </c>
      <c r="W193">
        <f>VLOOKUP(A193,Plots!$B$4:$U$39,20)</f>
        <v>27071200</v>
      </c>
      <c r="X193">
        <f>VLOOKUP(A193,'Decoration Background'!$A$2:$H$200,8)</f>
        <v>125877624</v>
      </c>
      <c r="Y193">
        <f t="shared" si="47"/>
        <v>58235002</v>
      </c>
      <c r="Z193" s="158">
        <f t="shared" si="48"/>
        <v>0.74363231965580956</v>
      </c>
      <c r="AA193">
        <f t="shared" si="49"/>
        <v>-17418010</v>
      </c>
      <c r="AB193" s="170">
        <f>MAX(0,(-Y193)/VLOOKUP($A193,Payment!$A$39:$G$239,7)*100)</f>
        <v>0</v>
      </c>
      <c r="AC193" s="138">
        <f t="shared" si="42"/>
        <v>1583.4554545454546</v>
      </c>
      <c r="AD193">
        <f t="shared" si="50"/>
        <v>54435</v>
      </c>
      <c r="AE193">
        <f t="shared" si="43"/>
        <v>0</v>
      </c>
      <c r="AF193" s="79">
        <f t="shared" si="44"/>
        <v>117.6</v>
      </c>
    </row>
    <row r="194" spans="1:32">
      <c r="A194" s="36">
        <v>191</v>
      </c>
      <c r="B194" s="69">
        <f>Level!B195-Level!B194</f>
        <v>129000</v>
      </c>
      <c r="C194" s="73">
        <f>Level!M194*VLOOKUP(A194,Plants!$C$4:$AH$47,32)*24+(27/Level!T194)</f>
        <v>5539.1197049525808</v>
      </c>
      <c r="D194" s="62">
        <f t="shared" si="45"/>
        <v>23.288899115984051</v>
      </c>
      <c r="E194" s="65">
        <f>SUM(D$4:D193)</f>
        <v>1809.7779733369232</v>
      </c>
      <c r="F194" s="205">
        <f>Level!M194*VLOOKUP(A194,Plants!$C$4:$AI$47,33)*24*1.15+IF(VLOOKUP(A194,Goals!$AO$4:$AO$120,1)=A194,VLOOKUP(A194,Goals!$AO$4:$AQ$120,3)/D194,0)+VLOOKUP(A194,Level!$A$4:$C$203,3)/D194</f>
        <v>148100.97471022129</v>
      </c>
      <c r="G194" s="71">
        <f>Level!M194*VLOOKUP(A194,Plants!$C$4:$X$47,21)*24</f>
        <v>72000</v>
      </c>
      <c r="H194" s="63">
        <f t="shared" si="46"/>
        <v>1.7916666666666667</v>
      </c>
      <c r="I194" s="64">
        <f>SUM(H$4:H193)</f>
        <v>135.20391375985687</v>
      </c>
      <c r="J194" s="35">
        <f>Level!M194*VLOOKUP(A194,Plants!$C$4:$X$47,22)*24</f>
        <v>648000</v>
      </c>
      <c r="K194" s="239">
        <f t="shared" si="38"/>
        <v>3449109</v>
      </c>
      <c r="L194" s="239">
        <f>SUM($K$4:K194)</f>
        <v>230603335</v>
      </c>
      <c r="M194" s="239">
        <f t="shared" si="39"/>
        <v>1161000</v>
      </c>
      <c r="N194" s="239">
        <f>SUM($M$4:M194)</f>
        <v>77449428</v>
      </c>
      <c r="O194">
        <f>ROUNDUP(MIN(50,ROUNDUP(A194/3,0),Level!M194)*Plants!Q$4*0.005,0)</f>
        <v>1</v>
      </c>
      <c r="P194">
        <f>ROUNDUP(MAX(4,MIN(A194,VLOOKUP(A194,Level!$A$4:$M$203,13))*MIN(4,ROUNDUP(VLOOKUP(A194,Background!$C$3:$D$52,2)/5,0)))*VLOOKUP(A194,Plants!$C$4:$AJ$53,30)*0.025,0)</f>
        <v>195</v>
      </c>
      <c r="Q194">
        <f t="shared" si="40"/>
        <v>98.5</v>
      </c>
      <c r="R194">
        <f>ROUND(MIN(50,ROUNDUP(A194/3,0),Level!M194)*Plants!R$4,0)</f>
        <v>250</v>
      </c>
      <c r="S194" s="153">
        <f>ROUNDUP(MAX(4,MIN(A194,VLOOKUP(A194,Level!$A$4:$M$203,13))*MIN(4,ROUNDUP(VLOOKUP(A194,Background!$C$3:$D$52,2)/5,0)))*VLOOKUP(A194,Plants!$C$4:$AJ$53,31)*1.25,0)</f>
        <v>221250</v>
      </c>
      <c r="T194" s="153">
        <f t="shared" si="41"/>
        <v>110750</v>
      </c>
      <c r="U194">
        <f>SUM($K$4:K194)</f>
        <v>230603335</v>
      </c>
      <c r="V194">
        <f>VLOOKUP(A194,Garden!$B$4:$P$19,15)</f>
        <v>15970400</v>
      </c>
      <c r="W194">
        <f>VLOOKUP(A194,Plots!$B$4:$U$39,20)</f>
        <v>27071200</v>
      </c>
      <c r="X194">
        <f>VLOOKUP(A194,'Decoration Background'!$A$2:$H$200,8)</f>
        <v>127637043</v>
      </c>
      <c r="Y194">
        <f t="shared" si="47"/>
        <v>59924692</v>
      </c>
      <c r="Z194" s="158">
        <f t="shared" si="48"/>
        <v>0.74013952573582686</v>
      </c>
      <c r="AA194">
        <f t="shared" si="49"/>
        <v>-17418010</v>
      </c>
      <c r="AB194" s="170">
        <f>MAX(0,(-Y194)/VLOOKUP($A194,Payment!$A$39:$G$239,7)*100)</f>
        <v>0</v>
      </c>
      <c r="AC194" s="138">
        <f t="shared" si="42"/>
        <v>1583.4554545454546</v>
      </c>
      <c r="AD194">
        <f t="shared" si="50"/>
        <v>55008</v>
      </c>
      <c r="AE194">
        <f t="shared" si="43"/>
        <v>0</v>
      </c>
      <c r="AF194" s="79">
        <f t="shared" si="44"/>
        <v>117.6</v>
      </c>
    </row>
    <row r="195" spans="1:32">
      <c r="A195" s="36">
        <v>192</v>
      </c>
      <c r="B195" s="69">
        <f>Level!B196-Level!B195</f>
        <v>130500</v>
      </c>
      <c r="C195" s="73">
        <f>Level!M195*VLOOKUP(A195,Plants!$C$4:$AH$47,32)*24+(27/Level!T195)</f>
        <v>5539.1197049525808</v>
      </c>
      <c r="D195" s="62">
        <f t="shared" si="45"/>
        <v>23.559700268495494</v>
      </c>
      <c r="E195" s="65">
        <f>SUM(D$4:D194)</f>
        <v>1833.0668724529073</v>
      </c>
      <c r="F195" s="205">
        <f>Level!M195*VLOOKUP(A195,Plants!$C$4:$AI$47,33)*24*1.15+IF(VLOOKUP(A195,Goals!$AO$4:$AO$120,1)=A195,VLOOKUP(A195,Goals!$AO$4:$AQ$120,3)/D195,0)+VLOOKUP(A195,Level!$A$4:$C$203,3)/D195</f>
        <v>148100.97471022129</v>
      </c>
      <c r="G195" s="71">
        <f>Level!M195*VLOOKUP(A195,Plants!$C$4:$X$47,21)*24</f>
        <v>72000</v>
      </c>
      <c r="H195" s="63">
        <f t="shared" si="46"/>
        <v>1.8125</v>
      </c>
      <c r="I195" s="64">
        <f>SUM(H$4:H194)</f>
        <v>136.99558042652353</v>
      </c>
      <c r="J195" s="35">
        <f>Level!M195*VLOOKUP(A195,Plants!$C$4:$X$47,22)*24</f>
        <v>648000</v>
      </c>
      <c r="K195" s="239">
        <f t="shared" si="38"/>
        <v>3489215</v>
      </c>
      <c r="L195" s="239">
        <f>SUM($K$4:K195)</f>
        <v>234092550</v>
      </c>
      <c r="M195" s="239">
        <f t="shared" si="39"/>
        <v>1174500</v>
      </c>
      <c r="N195" s="239">
        <f>SUM($M$4:M195)</f>
        <v>78623928</v>
      </c>
      <c r="O195">
        <f>ROUNDUP(MIN(50,ROUNDUP(A195/3,0),Level!M195)*Plants!Q$4*0.005,0)</f>
        <v>1</v>
      </c>
      <c r="P195">
        <f>ROUNDUP(MAX(4,MIN(A195,VLOOKUP(A195,Level!$A$4:$M$203,13))*MIN(4,ROUNDUP(VLOOKUP(A195,Background!$C$3:$D$52,2)/5,0)))*VLOOKUP(A195,Plants!$C$4:$AJ$53,30)*0.025,0)</f>
        <v>195</v>
      </c>
      <c r="Q195">
        <f t="shared" si="40"/>
        <v>98.5</v>
      </c>
      <c r="R195">
        <f>ROUND(MIN(50,ROUNDUP(A195/3,0),Level!M195)*Plants!R$4,0)</f>
        <v>250</v>
      </c>
      <c r="S195" s="153">
        <f>ROUNDUP(MAX(4,MIN(A195,VLOOKUP(A195,Level!$A$4:$M$203,13))*MIN(4,ROUNDUP(VLOOKUP(A195,Background!$C$3:$D$52,2)/5,0)))*VLOOKUP(A195,Plants!$C$4:$AJ$53,31)*1.25,0)</f>
        <v>221250</v>
      </c>
      <c r="T195" s="153">
        <f t="shared" si="41"/>
        <v>110750</v>
      </c>
      <c r="U195">
        <f>SUM($K$4:K195)</f>
        <v>234092550</v>
      </c>
      <c r="V195">
        <f>VLOOKUP(A195,Garden!$B$4:$P$19,15)</f>
        <v>15970400</v>
      </c>
      <c r="W195">
        <f>VLOOKUP(A195,Plots!$B$4:$U$39,20)</f>
        <v>27071200</v>
      </c>
      <c r="X195">
        <f>VLOOKUP(A195,'Decoration Background'!$A$2:$H$200,8)</f>
        <v>129422262</v>
      </c>
      <c r="Y195">
        <f t="shared" si="47"/>
        <v>61628688</v>
      </c>
      <c r="Z195" s="158">
        <f t="shared" si="48"/>
        <v>0.73673366367276527</v>
      </c>
      <c r="AA195">
        <f t="shared" si="49"/>
        <v>-17418010</v>
      </c>
      <c r="AB195" s="170">
        <f>MAX(0,(-Y195)/VLOOKUP($A195,Payment!$A$39:$G$239,7)*100)</f>
        <v>0</v>
      </c>
      <c r="AC195" s="138">
        <f t="shared" si="42"/>
        <v>1583.4554545454546</v>
      </c>
      <c r="AD195">
        <f t="shared" si="50"/>
        <v>55584</v>
      </c>
      <c r="AE195">
        <f t="shared" si="43"/>
        <v>0</v>
      </c>
      <c r="AF195" s="79">
        <f t="shared" si="44"/>
        <v>117.6</v>
      </c>
    </row>
    <row r="196" spans="1:32">
      <c r="A196" s="36">
        <v>193</v>
      </c>
      <c r="B196" s="69">
        <f>Level!B197-Level!B196</f>
        <v>132000</v>
      </c>
      <c r="C196" s="73">
        <f>Level!M196*VLOOKUP(A196,Plants!$C$4:$AH$47,32)*24+(27/Level!T196)</f>
        <v>5539.1197049525808</v>
      </c>
      <c r="D196" s="62">
        <f t="shared" si="45"/>
        <v>23.830501421006936</v>
      </c>
      <c r="E196" s="65">
        <f>SUM(D$4:D195)</f>
        <v>1856.6265727214029</v>
      </c>
      <c r="F196" s="205">
        <f>Level!M196*VLOOKUP(A196,Plants!$C$4:$AI$47,33)*24*1.15+IF(VLOOKUP(A196,Goals!$AO$4:$AO$120,1)=A196,VLOOKUP(A196,Goals!$AO$4:$AQ$120,3)/D196,0)+VLOOKUP(A196,Level!$A$4:$C$203,3)/D196</f>
        <v>148100.97471022129</v>
      </c>
      <c r="G196" s="71">
        <f>Level!M196*VLOOKUP(A196,Plants!$C$4:$X$47,21)*24</f>
        <v>72000</v>
      </c>
      <c r="H196" s="63">
        <f t="shared" si="46"/>
        <v>1.8333333333333333</v>
      </c>
      <c r="I196" s="64">
        <f>SUM(H$4:H195)</f>
        <v>138.80808042652353</v>
      </c>
      <c r="J196" s="35">
        <f>Level!M196*VLOOKUP(A196,Plants!$C$4:$X$47,22)*24</f>
        <v>648000</v>
      </c>
      <c r="K196" s="239">
        <f t="shared" si="38"/>
        <v>3529320</v>
      </c>
      <c r="L196" s="239">
        <f>SUM($K$4:K196)</f>
        <v>237621870</v>
      </c>
      <c r="M196" s="239">
        <f t="shared" si="39"/>
        <v>1188000</v>
      </c>
      <c r="N196" s="239">
        <f>SUM($M$4:M196)</f>
        <v>79811928</v>
      </c>
      <c r="O196">
        <f>ROUNDUP(MIN(50,ROUNDUP(A196/3,0),Level!M196)*Plants!Q$4*0.005,0)</f>
        <v>1</v>
      </c>
      <c r="P196">
        <f>ROUNDUP(MAX(4,MIN(A196,VLOOKUP(A196,Level!$A$4:$M$203,13))*MIN(4,ROUNDUP(VLOOKUP(A196,Background!$C$3:$D$52,2)/5,0)))*VLOOKUP(A196,Plants!$C$4:$AJ$53,30)*0.025,0)</f>
        <v>195</v>
      </c>
      <c r="Q196">
        <f t="shared" si="40"/>
        <v>98.5</v>
      </c>
      <c r="R196">
        <f>ROUND(MIN(50,ROUNDUP(A196/3,0),Level!M196)*Plants!R$4,0)</f>
        <v>250</v>
      </c>
      <c r="S196" s="153">
        <f>ROUNDUP(MAX(4,MIN(A196,VLOOKUP(A196,Level!$A$4:$M$203,13))*MIN(4,ROUNDUP(VLOOKUP(A196,Background!$C$3:$D$52,2)/5,0)))*VLOOKUP(A196,Plants!$C$4:$AJ$53,31)*1.25,0)</f>
        <v>221250</v>
      </c>
      <c r="T196" s="153">
        <f t="shared" si="41"/>
        <v>110750</v>
      </c>
      <c r="U196">
        <f>SUM($K$4:K196)</f>
        <v>237621870</v>
      </c>
      <c r="V196">
        <f>VLOOKUP(A196,Garden!$B$4:$P$19,15)</f>
        <v>15970400</v>
      </c>
      <c r="W196">
        <f>VLOOKUP(A196,Plots!$B$4:$U$39,20)</f>
        <v>27071200</v>
      </c>
      <c r="X196">
        <f>VLOOKUP(A196,'Decoration Background'!$A$2:$H$200,8)</f>
        <v>131233731</v>
      </c>
      <c r="Y196">
        <f t="shared" ref="Y196:Y227" si="51">U196-SUM(V196:X196)</f>
        <v>63346539</v>
      </c>
      <c r="Z196" s="158">
        <f t="shared" ref="Z196:Z203" si="52">SUM(V196:X196)/U196</f>
        <v>0.73341452535492635</v>
      </c>
      <c r="AA196">
        <f t="shared" ref="AA196:AA203" si="53">MIN(0,IF(Y196&lt;AA195,Y196,AA195))</f>
        <v>-17418010</v>
      </c>
      <c r="AB196" s="170">
        <f>MAX(0,(-Y196)/VLOOKUP($A196,Payment!$A$39:$G$239,7)*100)</f>
        <v>0</v>
      </c>
      <c r="AC196" s="138">
        <f t="shared" si="42"/>
        <v>1583.4554545454546</v>
      </c>
      <c r="AD196">
        <f t="shared" si="50"/>
        <v>56163</v>
      </c>
      <c r="AE196">
        <f t="shared" si="43"/>
        <v>0</v>
      </c>
      <c r="AF196" s="79">
        <f t="shared" si="44"/>
        <v>117.6</v>
      </c>
    </row>
    <row r="197" spans="1:32">
      <c r="A197" s="36">
        <v>194</v>
      </c>
      <c r="B197" s="69">
        <f>Level!B198-Level!B197</f>
        <v>133500</v>
      </c>
      <c r="C197" s="73">
        <f>Level!M197*VLOOKUP(A197,Plants!$C$4:$AH$47,32)*24+(27/Level!T197)</f>
        <v>5539.1197049525808</v>
      </c>
      <c r="D197" s="62">
        <f t="shared" si="45"/>
        <v>24.101302573518378</v>
      </c>
      <c r="E197" s="65">
        <f>SUM(D$4:D196)</f>
        <v>1880.4570741424097</v>
      </c>
      <c r="F197" s="205">
        <f>Level!M197*VLOOKUP(A197,Plants!$C$4:$AI$47,33)*24*1.15+IF(VLOOKUP(A197,Goals!$AO$4:$AO$120,1)=A197,VLOOKUP(A197,Goals!$AO$4:$AQ$120,3)/D197,0)+VLOOKUP(A197,Level!$A$4:$C$203,3)/D197</f>
        <v>148100.97471022129</v>
      </c>
      <c r="G197" s="71">
        <f>Level!M197*VLOOKUP(A197,Plants!$C$4:$X$47,21)*24</f>
        <v>72000</v>
      </c>
      <c r="H197" s="63">
        <f t="shared" si="46"/>
        <v>1.8541666666666667</v>
      </c>
      <c r="I197" s="64">
        <f>SUM(H$4:H196)</f>
        <v>140.64141375985687</v>
      </c>
      <c r="J197" s="35">
        <f>Level!M197*VLOOKUP(A197,Plants!$C$4:$X$47,22)*24</f>
        <v>648000</v>
      </c>
      <c r="K197" s="239">
        <f t="shared" ref="K197:K203" si="54">ROUND(D197*F197,0)</f>
        <v>3569426</v>
      </c>
      <c r="L197" s="239">
        <f>SUM($K$4:K197)</f>
        <v>241191296</v>
      </c>
      <c r="M197" s="239">
        <f t="shared" ref="M197:M203" si="55">ROUND(H197*J197,0)</f>
        <v>1201500</v>
      </c>
      <c r="N197" s="239">
        <f>SUM($M$4:M197)</f>
        <v>81013428</v>
      </c>
      <c r="O197">
        <f>ROUNDUP(MIN(50,ROUNDUP(A197/3,0),Level!M197)*Plants!Q$4*0.005,0)</f>
        <v>1</v>
      </c>
      <c r="P197">
        <f>ROUNDUP(MAX(4,MIN(A197,VLOOKUP(A197,Level!$A$4:$M$203,13))*MIN(4,ROUNDUP(VLOOKUP(A197,Background!$C$3:$D$52,2)/5,0)))*VLOOKUP(A197,Plants!$C$4:$AJ$53,30)*0.025,0)</f>
        <v>195</v>
      </c>
      <c r="Q197">
        <f t="shared" ref="Q197:Q203" si="56">O197+P197/2</f>
        <v>98.5</v>
      </c>
      <c r="R197">
        <f>ROUND(MIN(50,ROUNDUP(A197/3,0),Level!M197)*Plants!R$4,0)</f>
        <v>250</v>
      </c>
      <c r="S197" s="153">
        <f>ROUNDUP(MAX(4,MIN(A197,VLOOKUP(A197,Level!$A$4:$M$203,13))*MIN(4,ROUNDUP(VLOOKUP(A197,Background!$C$3:$D$52,2)/5,0)))*VLOOKUP(A197,Plants!$C$4:$AJ$53,31)*1.25,0)</f>
        <v>221250</v>
      </c>
      <c r="T197" s="153">
        <f t="shared" ref="T197:T203" si="57">(R197+S197)/2</f>
        <v>110750</v>
      </c>
      <c r="U197">
        <f>SUM($K$4:K197)</f>
        <v>241191296</v>
      </c>
      <c r="V197">
        <f>VLOOKUP(A197,Garden!$B$4:$P$19,15)</f>
        <v>15970400</v>
      </c>
      <c r="W197">
        <f>VLOOKUP(A197,Plots!$B$4:$U$39,20)</f>
        <v>27071200</v>
      </c>
      <c r="X197">
        <f>VLOOKUP(A197,'Decoration Background'!$A$2:$H$200,8)</f>
        <v>133071900</v>
      </c>
      <c r="Y197">
        <f t="shared" si="51"/>
        <v>65077796</v>
      </c>
      <c r="Z197" s="158">
        <f t="shared" si="52"/>
        <v>0.73018182214999994</v>
      </c>
      <c r="AA197">
        <f t="shared" si="53"/>
        <v>-17418010</v>
      </c>
      <c r="AB197" s="170">
        <f>MAX(0,(-Y197)/VLOOKUP($A197,Payment!$A$39:$G$239,7)*100)</f>
        <v>0</v>
      </c>
      <c r="AC197" s="138">
        <f t="shared" ref="AC197:AC203" si="58">IF(AND(AB197&lt;AC196,ISNUMBER(AC196)),AC196,AB197)</f>
        <v>1583.4554545454546</v>
      </c>
      <c r="AD197">
        <f t="shared" ref="AD197:AD203" si="59">A197*(A197+1)*3/2</f>
        <v>56745</v>
      </c>
      <c r="AE197">
        <f t="shared" ref="AE197:AE203" si="60">IF(Y197&gt;=0,0,ROUND(-Y197/F197,1))</f>
        <v>0</v>
      </c>
      <c r="AF197" s="79">
        <f t="shared" ref="AF197:AF203" si="61">IF(AND(AE197&lt;AF196,ISNUMBER(AF196)),AF196,AE197)</f>
        <v>117.6</v>
      </c>
    </row>
    <row r="198" spans="1:32">
      <c r="A198" s="36">
        <v>195</v>
      </c>
      <c r="B198" s="69">
        <f>Level!B199-Level!B198</f>
        <v>135000</v>
      </c>
      <c r="C198" s="73">
        <f>Level!M198*VLOOKUP(A198,Plants!$C$4:$AH$47,32)*24+(27/Level!T198)</f>
        <v>5539.1197049525808</v>
      </c>
      <c r="D198" s="62">
        <f t="shared" ref="D198:D203" si="62">B198/C198</f>
        <v>24.37210372602982</v>
      </c>
      <c r="E198" s="65">
        <f>SUM(D$4:D197)</f>
        <v>1904.558376715928</v>
      </c>
      <c r="F198" s="205">
        <f>Level!M198*VLOOKUP(A198,Plants!$C$4:$AI$47,33)*24*1.15+IF(VLOOKUP(A198,Goals!$AO$4:$AO$120,1)=A198,VLOOKUP(A198,Goals!$AO$4:$AQ$120,3)/D198,0)+VLOOKUP(A198,Level!$A$4:$C$203,3)/D198</f>
        <v>148100.97471022129</v>
      </c>
      <c r="G198" s="71">
        <f>Level!M198*VLOOKUP(A198,Plants!$C$4:$X$47,21)*24</f>
        <v>72000</v>
      </c>
      <c r="H198" s="63">
        <f t="shared" ref="H198:H203" si="63">B198/G198</f>
        <v>1.875</v>
      </c>
      <c r="I198" s="64">
        <f>SUM(H$4:H197)</f>
        <v>142.49558042652353</v>
      </c>
      <c r="J198" s="35">
        <f>Level!M198*VLOOKUP(A198,Plants!$C$4:$X$47,22)*24</f>
        <v>648000</v>
      </c>
      <c r="K198" s="239">
        <f t="shared" si="54"/>
        <v>3609532</v>
      </c>
      <c r="L198" s="239">
        <f>SUM($K$4:K198)</f>
        <v>244800828</v>
      </c>
      <c r="M198" s="239">
        <f t="shared" si="55"/>
        <v>1215000</v>
      </c>
      <c r="N198" s="239">
        <f>SUM($M$4:M198)</f>
        <v>82228428</v>
      </c>
      <c r="O198">
        <f>ROUNDUP(MIN(50,ROUNDUP(A198/3,0),Level!M198)*Plants!Q$4*0.005,0)</f>
        <v>1</v>
      </c>
      <c r="P198">
        <f>ROUNDUP(MAX(4,MIN(A198,VLOOKUP(A198,Level!$A$4:$M$203,13))*MIN(4,ROUNDUP(VLOOKUP(A198,Background!$C$3:$D$52,2)/5,0)))*VLOOKUP(A198,Plants!$C$4:$AJ$53,30)*0.025,0)</f>
        <v>195</v>
      </c>
      <c r="Q198">
        <f t="shared" si="56"/>
        <v>98.5</v>
      </c>
      <c r="R198">
        <f>ROUND(MIN(50,ROUNDUP(A198/3,0),Level!M198)*Plants!R$4,0)</f>
        <v>250</v>
      </c>
      <c r="S198" s="153">
        <f>ROUNDUP(MAX(4,MIN(A198,VLOOKUP(A198,Level!$A$4:$M$203,13))*MIN(4,ROUNDUP(VLOOKUP(A198,Background!$C$3:$D$52,2)/5,0)))*VLOOKUP(A198,Plants!$C$4:$AJ$53,31)*1.25,0)</f>
        <v>221250</v>
      </c>
      <c r="T198" s="153">
        <f t="shared" si="57"/>
        <v>110750</v>
      </c>
      <c r="U198">
        <f>SUM($K$4:K198)</f>
        <v>244800828</v>
      </c>
      <c r="V198">
        <f>VLOOKUP(A198,Garden!$B$4:$P$19,15)</f>
        <v>15970400</v>
      </c>
      <c r="W198">
        <f>VLOOKUP(A198,Plots!$B$4:$U$39,20)</f>
        <v>27071200</v>
      </c>
      <c r="X198">
        <f>VLOOKUP(A198,'Decoration Background'!$A$2:$H$200,8)</f>
        <v>134937219</v>
      </c>
      <c r="Y198">
        <f t="shared" si="51"/>
        <v>66822009</v>
      </c>
      <c r="Z198" s="158">
        <f t="shared" si="52"/>
        <v>0.72703520022407764</v>
      </c>
      <c r="AA198">
        <f t="shared" si="53"/>
        <v>-17418010</v>
      </c>
      <c r="AB198" s="170">
        <f>MAX(0,(-Y198)/VLOOKUP($A198,Payment!$A$39:$G$239,7)*100)</f>
        <v>0</v>
      </c>
      <c r="AC198" s="138">
        <f t="shared" si="58"/>
        <v>1583.4554545454546</v>
      </c>
      <c r="AD198">
        <f t="shared" si="59"/>
        <v>57330</v>
      </c>
      <c r="AE198">
        <f t="shared" si="60"/>
        <v>0</v>
      </c>
      <c r="AF198" s="79">
        <f t="shared" si="61"/>
        <v>117.6</v>
      </c>
    </row>
    <row r="199" spans="1:32">
      <c r="A199" s="36">
        <v>196</v>
      </c>
      <c r="B199" s="69">
        <f>Level!B200-Level!B199</f>
        <v>136500</v>
      </c>
      <c r="C199" s="73">
        <f>Level!M199*VLOOKUP(A199,Plants!$C$4:$AH$47,32)*24+(27/Level!T199)</f>
        <v>5539.1197049525808</v>
      </c>
      <c r="D199" s="62">
        <f t="shared" si="62"/>
        <v>24.642904878541263</v>
      </c>
      <c r="E199" s="65">
        <f>SUM(D$4:D198)</f>
        <v>1928.9304804419578</v>
      </c>
      <c r="F199" s="205">
        <f>Level!M199*VLOOKUP(A199,Plants!$C$4:$AI$47,33)*24*1.15+IF(VLOOKUP(A199,Goals!$AO$4:$AO$120,1)=A199,VLOOKUP(A199,Goals!$AO$4:$AQ$120,3)/D199,0)+VLOOKUP(A199,Level!$A$4:$C$203,3)/D199</f>
        <v>148100.97471022129</v>
      </c>
      <c r="G199" s="71">
        <f>Level!M199*VLOOKUP(A199,Plants!$C$4:$X$47,21)*24</f>
        <v>72000</v>
      </c>
      <c r="H199" s="63">
        <f t="shared" si="63"/>
        <v>1.8958333333333333</v>
      </c>
      <c r="I199" s="64">
        <f>SUM(H$4:H198)</f>
        <v>144.37058042652353</v>
      </c>
      <c r="J199" s="35">
        <f>Level!M199*VLOOKUP(A199,Plants!$C$4:$X$47,22)*24</f>
        <v>648000</v>
      </c>
      <c r="K199" s="239">
        <f t="shared" si="54"/>
        <v>3649638</v>
      </c>
      <c r="L199" s="239">
        <f>SUM($K$4:K199)</f>
        <v>248450466</v>
      </c>
      <c r="M199" s="239">
        <f t="shared" si="55"/>
        <v>1228500</v>
      </c>
      <c r="N199" s="239">
        <f>SUM($M$4:M199)</f>
        <v>83456928</v>
      </c>
      <c r="O199">
        <f>ROUNDUP(MIN(50,ROUNDUP(A199/3,0),Level!M199)*Plants!Q$4*0.005,0)</f>
        <v>1</v>
      </c>
      <c r="P199">
        <f>ROUNDUP(MAX(4,MIN(A199,VLOOKUP(A199,Level!$A$4:$M$203,13))*MIN(4,ROUNDUP(VLOOKUP(A199,Background!$C$3:$D$52,2)/5,0)))*VLOOKUP(A199,Plants!$C$4:$AJ$53,30)*0.025,0)</f>
        <v>195</v>
      </c>
      <c r="Q199">
        <f t="shared" si="56"/>
        <v>98.5</v>
      </c>
      <c r="R199">
        <f>ROUND(MIN(50,ROUNDUP(A199/3,0),Level!M199)*Plants!R$4,0)</f>
        <v>250</v>
      </c>
      <c r="S199" s="153">
        <f>ROUNDUP(MAX(4,MIN(A199,VLOOKUP(A199,Level!$A$4:$M$203,13))*MIN(4,ROUNDUP(VLOOKUP(A199,Background!$C$3:$D$52,2)/5,0)))*VLOOKUP(A199,Plants!$C$4:$AJ$53,31)*1.25,0)</f>
        <v>221250</v>
      </c>
      <c r="T199" s="153">
        <f t="shared" si="57"/>
        <v>110750</v>
      </c>
      <c r="U199">
        <f>SUM($K$4:K199)</f>
        <v>248450466</v>
      </c>
      <c r="V199">
        <f>VLOOKUP(A199,Garden!$B$4:$P$19,15)</f>
        <v>15970400</v>
      </c>
      <c r="W199">
        <f>VLOOKUP(A199,Plots!$B$4:$U$39,20)</f>
        <v>27071200</v>
      </c>
      <c r="X199">
        <f>VLOOKUP(A199,'Decoration Background'!$A$2:$H$200,8)</f>
        <v>136830138</v>
      </c>
      <c r="Y199">
        <f t="shared" si="51"/>
        <v>68578728</v>
      </c>
      <c r="Z199" s="158">
        <f t="shared" si="52"/>
        <v>0.7239742428174798</v>
      </c>
      <c r="AA199">
        <f t="shared" si="53"/>
        <v>-17418010</v>
      </c>
      <c r="AB199" s="170">
        <f>MAX(0,(-Y199)/VLOOKUP($A199,Payment!$A$39:$G$239,7)*100)</f>
        <v>0</v>
      </c>
      <c r="AC199" s="138">
        <f t="shared" si="58"/>
        <v>1583.4554545454546</v>
      </c>
      <c r="AD199">
        <f t="shared" si="59"/>
        <v>57918</v>
      </c>
      <c r="AE199">
        <f t="shared" si="60"/>
        <v>0</v>
      </c>
      <c r="AF199" s="79">
        <f t="shared" si="61"/>
        <v>117.6</v>
      </c>
    </row>
    <row r="200" spans="1:32">
      <c r="A200" s="36">
        <v>197</v>
      </c>
      <c r="B200" s="69">
        <f>Level!B201-Level!B200</f>
        <v>138000</v>
      </c>
      <c r="C200" s="73">
        <f>Level!M200*VLOOKUP(A200,Plants!$C$4:$AH$47,32)*24+(27/Level!T200)</f>
        <v>5539.1197049525808</v>
      </c>
      <c r="D200" s="62">
        <f t="shared" si="62"/>
        <v>24.913706031052705</v>
      </c>
      <c r="E200" s="65">
        <f>SUM(D$4:D199)</f>
        <v>1953.573385320499</v>
      </c>
      <c r="F200" s="205">
        <f>Level!M200*VLOOKUP(A200,Plants!$C$4:$AI$47,33)*24*1.15+IF(VLOOKUP(A200,Goals!$AO$4:$AO$120,1)=A200,VLOOKUP(A200,Goals!$AO$4:$AQ$120,3)/D200,0)+VLOOKUP(A200,Level!$A$4:$C$203,3)/D200</f>
        <v>148100.97471022129</v>
      </c>
      <c r="G200" s="71">
        <f>Level!M200*VLOOKUP(A200,Plants!$C$4:$X$47,21)*24</f>
        <v>72000</v>
      </c>
      <c r="H200" s="63">
        <f t="shared" si="63"/>
        <v>1.9166666666666667</v>
      </c>
      <c r="I200" s="64">
        <f>SUM(H$4:H199)</f>
        <v>146.26641375985687</v>
      </c>
      <c r="J200" s="35">
        <f>Level!M200*VLOOKUP(A200,Plants!$C$4:$X$47,22)*24</f>
        <v>648000</v>
      </c>
      <c r="K200" s="239">
        <f t="shared" si="54"/>
        <v>3689744</v>
      </c>
      <c r="L200" s="239">
        <f>SUM($K$4:K200)</f>
        <v>252140210</v>
      </c>
      <c r="M200" s="239">
        <f t="shared" si="55"/>
        <v>1242000</v>
      </c>
      <c r="N200" s="239">
        <f>SUM($M$4:M200)</f>
        <v>84698928</v>
      </c>
      <c r="O200">
        <f>ROUNDUP(MIN(50,ROUNDUP(A200/3,0),Level!M200)*Plants!Q$4*0.005,0)</f>
        <v>1</v>
      </c>
      <c r="P200">
        <f>ROUNDUP(MAX(4,MIN(A200,VLOOKUP(A200,Level!$A$4:$M$203,13))*MIN(4,ROUNDUP(VLOOKUP(A200,Background!$C$3:$D$52,2)/5,0)))*VLOOKUP(A200,Plants!$C$4:$AJ$53,30)*0.025,0)</f>
        <v>195</v>
      </c>
      <c r="Q200">
        <f t="shared" si="56"/>
        <v>98.5</v>
      </c>
      <c r="R200">
        <f>ROUND(MIN(50,ROUNDUP(A200/3,0),Level!M200)*Plants!R$4,0)</f>
        <v>250</v>
      </c>
      <c r="S200" s="153">
        <f>ROUNDUP(MAX(4,MIN(A200,VLOOKUP(A200,Level!$A$4:$M$203,13))*MIN(4,ROUNDUP(VLOOKUP(A200,Background!$C$3:$D$52,2)/5,0)))*VLOOKUP(A200,Plants!$C$4:$AJ$53,31)*1.25,0)</f>
        <v>221250</v>
      </c>
      <c r="T200" s="153">
        <f t="shared" si="57"/>
        <v>110750</v>
      </c>
      <c r="U200">
        <f>SUM($K$4:K200)</f>
        <v>252140210</v>
      </c>
      <c r="V200">
        <f>VLOOKUP(A200,Garden!$B$4:$P$19,15)</f>
        <v>15970400</v>
      </c>
      <c r="W200">
        <f>VLOOKUP(A200,Plots!$B$4:$U$39,20)</f>
        <v>27071200</v>
      </c>
      <c r="X200">
        <f>VLOOKUP(A200,'Decoration Background'!$A$2:$H$200,8)</f>
        <v>138751107</v>
      </c>
      <c r="Y200">
        <f t="shared" si="51"/>
        <v>70347503</v>
      </c>
      <c r="Z200" s="158">
        <f t="shared" si="52"/>
        <v>0.72099847541175599</v>
      </c>
      <c r="AA200">
        <f t="shared" si="53"/>
        <v>-17418010</v>
      </c>
      <c r="AB200" s="170">
        <f>MAX(0,(-Y200)/VLOOKUP($A200,Payment!$A$39:$G$239,7)*100)</f>
        <v>0</v>
      </c>
      <c r="AC200" s="138">
        <f t="shared" si="58"/>
        <v>1583.4554545454546</v>
      </c>
      <c r="AD200">
        <f t="shared" si="59"/>
        <v>58509</v>
      </c>
      <c r="AE200">
        <f t="shared" si="60"/>
        <v>0</v>
      </c>
      <c r="AF200" s="79">
        <f t="shared" si="61"/>
        <v>117.6</v>
      </c>
    </row>
    <row r="201" spans="1:32">
      <c r="A201" s="36">
        <v>198</v>
      </c>
      <c r="B201" s="69">
        <f>Level!B202-Level!B201</f>
        <v>139500</v>
      </c>
      <c r="C201" s="73">
        <f>Level!M201*VLOOKUP(A201,Plants!$C$4:$AH$47,32)*24+(27/Level!T201)</f>
        <v>5539.1197049525808</v>
      </c>
      <c r="D201" s="62">
        <f t="shared" si="62"/>
        <v>25.184507183564147</v>
      </c>
      <c r="E201" s="65">
        <f>SUM(D$4:D200)</f>
        <v>1978.4870913515517</v>
      </c>
      <c r="F201" s="205">
        <f>Level!M201*VLOOKUP(A201,Plants!$C$4:$AI$47,33)*24*1.15+IF(VLOOKUP(A201,Goals!$AO$4:$AO$120,1)=A201,VLOOKUP(A201,Goals!$AO$4:$AQ$120,3)/D201,0)+VLOOKUP(A201,Level!$A$4:$C$203,3)/D201</f>
        <v>148100.97471022129</v>
      </c>
      <c r="G201" s="71">
        <f>Level!M201*VLOOKUP(A201,Plants!$C$4:$X$47,21)*24</f>
        <v>72000</v>
      </c>
      <c r="H201" s="63">
        <f t="shared" si="63"/>
        <v>1.9375</v>
      </c>
      <c r="I201" s="64">
        <f>SUM(H$4:H200)</f>
        <v>148.18308042652353</v>
      </c>
      <c r="J201" s="35">
        <f>Level!M201*VLOOKUP(A201,Plants!$C$4:$X$47,22)*24</f>
        <v>648000</v>
      </c>
      <c r="K201" s="239">
        <f t="shared" si="54"/>
        <v>3729850</v>
      </c>
      <c r="L201" s="239">
        <f>SUM($K$4:K201)</f>
        <v>255870060</v>
      </c>
      <c r="M201" s="239">
        <f t="shared" si="55"/>
        <v>1255500</v>
      </c>
      <c r="N201" s="239">
        <f>SUM($M$4:M201)</f>
        <v>85954428</v>
      </c>
      <c r="O201">
        <f>ROUNDUP(MIN(50,ROUNDUP(A201/3,0),Level!M201)*Plants!Q$4*0.005,0)</f>
        <v>1</v>
      </c>
      <c r="P201">
        <f>ROUNDUP(MAX(4,MIN(A201,VLOOKUP(A201,Level!$A$4:$M$203,13))*MIN(4,ROUNDUP(VLOOKUP(A201,Background!$C$3:$D$52,2)/5,0)))*VLOOKUP(A201,Plants!$C$4:$AJ$53,30)*0.025,0)</f>
        <v>195</v>
      </c>
      <c r="Q201">
        <f t="shared" si="56"/>
        <v>98.5</v>
      </c>
      <c r="R201">
        <f>ROUND(MIN(50,ROUNDUP(A201/3,0),Level!M201)*Plants!R$4,0)</f>
        <v>250</v>
      </c>
      <c r="S201" s="153">
        <f>ROUNDUP(MAX(4,MIN(A201,VLOOKUP(A201,Level!$A$4:$M$203,13))*MIN(4,ROUNDUP(VLOOKUP(A201,Background!$C$3:$D$52,2)/5,0)))*VLOOKUP(A201,Plants!$C$4:$AJ$53,31)*1.25,0)</f>
        <v>221250</v>
      </c>
      <c r="T201" s="153">
        <f t="shared" si="57"/>
        <v>110750</v>
      </c>
      <c r="U201">
        <f>SUM($K$4:K201)</f>
        <v>255870060</v>
      </c>
      <c r="V201">
        <f>VLOOKUP(A201,Garden!$B$4:$P$19,15)</f>
        <v>15970400</v>
      </c>
      <c r="W201">
        <f>VLOOKUP(A201,Plots!$B$4:$U$39,20)</f>
        <v>27071200</v>
      </c>
      <c r="X201">
        <f>VLOOKUP(A201,'Decoration Background'!$A$2:$H$200,8)</f>
        <v>140700576</v>
      </c>
      <c r="Y201">
        <f t="shared" si="51"/>
        <v>72127884</v>
      </c>
      <c r="Z201" s="158">
        <f t="shared" si="52"/>
        <v>0.71810737059271412</v>
      </c>
      <c r="AA201">
        <f t="shared" si="53"/>
        <v>-17418010</v>
      </c>
      <c r="AB201" s="170">
        <f>MAX(0,(-Y201)/VLOOKUP($A201,Payment!$A$39:$G$239,7)*100)</f>
        <v>0</v>
      </c>
      <c r="AC201" s="138">
        <f t="shared" si="58"/>
        <v>1583.4554545454546</v>
      </c>
      <c r="AD201">
        <f t="shared" si="59"/>
        <v>59103</v>
      </c>
      <c r="AE201">
        <f t="shared" si="60"/>
        <v>0</v>
      </c>
      <c r="AF201" s="79">
        <f t="shared" si="61"/>
        <v>117.6</v>
      </c>
    </row>
    <row r="202" spans="1:32">
      <c r="A202" s="36">
        <v>199</v>
      </c>
      <c r="B202" s="69">
        <f>Level!B203-Level!B202</f>
        <v>141000</v>
      </c>
      <c r="C202" s="73">
        <f>Level!M202*VLOOKUP(A202,Plants!$C$4:$AH$47,32)*24+(27/Level!T202)</f>
        <v>5539.1197049525808</v>
      </c>
      <c r="D202" s="62">
        <f t="shared" si="62"/>
        <v>25.455308336075593</v>
      </c>
      <c r="E202" s="65">
        <f>SUM(D$4:D201)</f>
        <v>2003.6715985351159</v>
      </c>
      <c r="F202" s="205">
        <f>Level!M202*VLOOKUP(A202,Plants!$C$4:$AI$47,33)*24*1.15+IF(VLOOKUP(A202,Goals!$AO$4:$AO$120,1)=A202,VLOOKUP(A202,Goals!$AO$4:$AQ$120,3)/D202,0)+VLOOKUP(A202,Level!$A$4:$C$203,3)/D202</f>
        <v>148100.97471022129</v>
      </c>
      <c r="G202" s="71">
        <f>Level!M202*VLOOKUP(A202,Plants!$C$4:$X$47,21)*24</f>
        <v>72000</v>
      </c>
      <c r="H202" s="63">
        <f t="shared" si="63"/>
        <v>1.9583333333333333</v>
      </c>
      <c r="I202" s="64">
        <f>SUM(H$4:H201)</f>
        <v>150.12058042652353</v>
      </c>
      <c r="J202" s="35">
        <f>Level!M202*VLOOKUP(A202,Plants!$C$4:$X$47,22)*24</f>
        <v>648000</v>
      </c>
      <c r="K202" s="239">
        <f t="shared" si="54"/>
        <v>3769956</v>
      </c>
      <c r="L202" s="239">
        <f>SUM($K$4:K202)</f>
        <v>259640016</v>
      </c>
      <c r="M202" s="239">
        <f t="shared" si="55"/>
        <v>1269000</v>
      </c>
      <c r="N202" s="239">
        <f>SUM($M$4:M202)</f>
        <v>87223428</v>
      </c>
      <c r="O202">
        <f>ROUNDUP(MIN(50,ROUNDUP(A202/3,0),Level!M202)*Plants!Q$4*0.005,0)</f>
        <v>1</v>
      </c>
      <c r="P202">
        <f>ROUNDUP(MAX(4,MIN(A202,VLOOKUP(A202,Level!$A$4:$M$203,13))*MIN(4,ROUNDUP(VLOOKUP(A202,Background!$C$3:$D$52,2)/5,0)))*VLOOKUP(A202,Plants!$C$4:$AJ$53,30)*0.025,0)</f>
        <v>195</v>
      </c>
      <c r="Q202">
        <f t="shared" si="56"/>
        <v>98.5</v>
      </c>
      <c r="R202">
        <f>ROUND(MIN(50,ROUNDUP(A202/3,0),Level!M202)*Plants!R$4,0)</f>
        <v>250</v>
      </c>
      <c r="S202" s="153">
        <f>ROUNDUP(MAX(4,MIN(A202,VLOOKUP(A202,Level!$A$4:$M$203,13))*MIN(4,ROUNDUP(VLOOKUP(A202,Background!$C$3:$D$52,2)/5,0)))*VLOOKUP(A202,Plants!$C$4:$AJ$53,31)*1.25,0)</f>
        <v>221250</v>
      </c>
      <c r="T202" s="153">
        <f t="shared" si="57"/>
        <v>110750</v>
      </c>
      <c r="U202">
        <f>SUM($K$4:K202)</f>
        <v>259640016</v>
      </c>
      <c r="V202">
        <f>VLOOKUP(A202,Garden!$B$4:$P$19,15)</f>
        <v>15970400</v>
      </c>
      <c r="W202">
        <f>VLOOKUP(A202,Plots!$B$4:$U$39,20)</f>
        <v>27071200</v>
      </c>
      <c r="X202">
        <f>VLOOKUP(A202,'Decoration Background'!$A$2:$H$200,8)</f>
        <v>142678995</v>
      </c>
      <c r="Y202">
        <f t="shared" si="51"/>
        <v>73919421</v>
      </c>
      <c r="Z202" s="158">
        <f t="shared" si="52"/>
        <v>0.71530035262361102</v>
      </c>
      <c r="AA202">
        <f t="shared" si="53"/>
        <v>-17418010</v>
      </c>
      <c r="AB202" s="170">
        <f>MAX(0,(-Y202)/VLOOKUP($A202,Payment!$A$39:$G$239,7)*100)</f>
        <v>0</v>
      </c>
      <c r="AC202" s="138">
        <f t="shared" si="58"/>
        <v>1583.4554545454546</v>
      </c>
      <c r="AD202">
        <f t="shared" si="59"/>
        <v>59700</v>
      </c>
      <c r="AE202">
        <f t="shared" si="60"/>
        <v>0</v>
      </c>
      <c r="AF202" s="79">
        <f t="shared" si="61"/>
        <v>117.6</v>
      </c>
    </row>
    <row r="203" spans="1:32" ht="16" thickBot="1">
      <c r="A203" s="38">
        <v>200</v>
      </c>
      <c r="B203" s="69">
        <f>Level!B204-Level!B203</f>
        <v>-9691500</v>
      </c>
      <c r="C203" s="73">
        <f>Level!M203*VLOOKUP(A203,Plants!$C$4:$AH$47,32)*24+(27/Level!T203)</f>
        <v>5539.1197049525808</v>
      </c>
      <c r="D203" s="62">
        <f t="shared" si="62"/>
        <v>-1749.6462463764296</v>
      </c>
      <c r="E203" s="65">
        <f>SUM(D$4:D202)</f>
        <v>2029.1269068711915</v>
      </c>
      <c r="F203" s="205">
        <f>Level!M203*VLOOKUP(A203,Plants!$C$4:$AI$47,33)*24*1.15+IF(VLOOKUP(A203,Goals!$AO$4:$AO$120,1)=A203,VLOOKUP(A203,Goals!$AO$4:$AQ$120,3)/D203,0)+VLOOKUP(A203,Level!$A$4:$C$203,3)/D203</f>
        <v>148100.97471022129</v>
      </c>
      <c r="G203" s="71">
        <f>Level!M203*VLOOKUP(A203,Plants!$C$4:$X$47,21)*24</f>
        <v>72000</v>
      </c>
      <c r="H203" s="63">
        <f t="shared" si="63"/>
        <v>-134.60416666666666</v>
      </c>
      <c r="I203" s="64">
        <f>SUM(H$4:H202)</f>
        <v>152.07891375985687</v>
      </c>
      <c r="J203" s="35">
        <f>Level!M203*VLOOKUP(A203,Plants!$C$4:$X$47,22)*24</f>
        <v>648000</v>
      </c>
      <c r="K203" s="239">
        <f t="shared" si="54"/>
        <v>-259124314</v>
      </c>
      <c r="L203" s="239">
        <f>SUM($K$4:K203)</f>
        <v>515702</v>
      </c>
      <c r="M203" s="239">
        <f t="shared" si="55"/>
        <v>-87223500</v>
      </c>
      <c r="N203" s="239">
        <f>SUM($M$4:M203)</f>
        <v>-72</v>
      </c>
      <c r="O203">
        <f>ROUNDUP(MIN(50,ROUNDUP(A203/3,0),Level!M203)*Plants!Q$4*0.005,0)</f>
        <v>1</v>
      </c>
      <c r="P203">
        <f>ROUNDUP(MAX(4,MIN(A203,VLOOKUP(A203,Level!$A$4:$M$203,13))*MIN(4,ROUNDUP(VLOOKUP(A203,Background!$C$3:$D$52,2)/5,0)))*VLOOKUP(A203,Plants!$C$4:$AJ$53,30)*0.025,0)</f>
        <v>195</v>
      </c>
      <c r="Q203">
        <f t="shared" si="56"/>
        <v>98.5</v>
      </c>
      <c r="R203">
        <f>ROUND(MIN(50,ROUNDUP(A203/3,0),Level!M203)*Plants!R$4,0)</f>
        <v>250</v>
      </c>
      <c r="S203" s="153">
        <f>ROUNDUP(MAX(4,MIN(A203,VLOOKUP(A203,Level!$A$4:$M$203,13))*MIN(4,ROUNDUP(VLOOKUP(A203,Background!$C$3:$D$52,2)/5,0)))*VLOOKUP(A203,Plants!$C$4:$AJ$53,31)*1.25,0)</f>
        <v>221250</v>
      </c>
      <c r="T203" s="153">
        <f t="shared" si="57"/>
        <v>110750</v>
      </c>
      <c r="U203">
        <f>SUM($K$4:K203)</f>
        <v>515702</v>
      </c>
      <c r="V203">
        <f>VLOOKUP(A203,Garden!$B$4:$P$19,15)</f>
        <v>15970400</v>
      </c>
      <c r="W203">
        <f>VLOOKUP(A203,Plots!$B$4:$U$39,20)</f>
        <v>27071200</v>
      </c>
      <c r="X203">
        <f>VLOOKUP(A203,'Decoration Background'!$A$2:$H$200,8)</f>
        <v>142678995</v>
      </c>
      <c r="Y203">
        <f t="shared" si="51"/>
        <v>-185204893</v>
      </c>
      <c r="Z203" s="158">
        <f t="shared" si="52"/>
        <v>360.1316167088745</v>
      </c>
      <c r="AA203">
        <f t="shared" si="53"/>
        <v>-185204893</v>
      </c>
      <c r="AB203" s="170">
        <f>MAX(0,(-Y203)/VLOOKUP($A203,Payment!$A$39:$G$239,7)*100)</f>
        <v>12346.992866666666</v>
      </c>
      <c r="AC203" s="138">
        <f t="shared" si="58"/>
        <v>12346.992866666666</v>
      </c>
      <c r="AD203">
        <f t="shared" si="59"/>
        <v>60300</v>
      </c>
      <c r="AE203">
        <f t="shared" si="60"/>
        <v>1250.5</v>
      </c>
      <c r="AF203" s="79">
        <f t="shared" si="61"/>
        <v>1250.5</v>
      </c>
    </row>
  </sheetData>
  <mergeCells count="8">
    <mergeCell ref="AG1:AK2"/>
    <mergeCell ref="AE1:AE3"/>
    <mergeCell ref="O2:T2"/>
    <mergeCell ref="K2:N2"/>
    <mergeCell ref="V2:X2"/>
    <mergeCell ref="U1:AC1"/>
    <mergeCell ref="Y2:AA2"/>
    <mergeCell ref="AB2:AC2"/>
  </mergeCells>
  <conditionalFormatting sqref="K4:N203">
    <cfRule type="cellIs" dxfId="154" priority="7" operator="lessThan">
      <formula>K3</formula>
    </cfRule>
  </conditionalFormatting>
  <conditionalFormatting sqref="Y4:Y203">
    <cfRule type="cellIs" dxfId="153" priority="5" stopIfTrue="1" operator="greaterThan">
      <formula>0</formula>
    </cfRule>
    <cfRule type="cellIs" dxfId="152" priority="6" operator="greaterThan">
      <formula>Y3</formula>
    </cfRule>
  </conditionalFormatting>
  <conditionalFormatting sqref="Z4:Z203">
    <cfRule type="cellIs" dxfId="151" priority="4" operator="greaterThanOrEqual">
      <formula>1.1</formula>
    </cfRule>
  </conditionalFormatting>
  <conditionalFormatting sqref="W4:W203">
    <cfRule type="cellIs" dxfId="150" priority="2" operator="equal">
      <formula>W3</formula>
    </cfRule>
    <cfRule type="containsText" dxfId="149" priority="3" operator="containsText" text="W3">
      <formula>NOT(ISERROR(SEARCH("W3",W4)))</formula>
    </cfRule>
  </conditionalFormatting>
  <conditionalFormatting sqref="V4:V203">
    <cfRule type="cellIs" dxfId="148" priority="1" operator="equal">
      <formula>V3</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workbookViewId="0">
      <pane xSplit="2" ySplit="3" topLeftCell="C4" activePane="bottomRight" state="frozen"/>
      <selection pane="topRight" activeCell="C1" sqref="C1"/>
      <selection pane="bottomLeft" activeCell="A4" sqref="A4"/>
      <selection pane="bottomRight" activeCell="H5" sqref="H5:H39"/>
    </sheetView>
  </sheetViews>
  <sheetFormatPr baseColWidth="10" defaultRowHeight="15" x14ac:dyDescent="0"/>
  <cols>
    <col min="2" max="2" width="10.83203125" style="242"/>
    <col min="3" max="3" width="16.1640625" style="225" bestFit="1" customWidth="1"/>
    <col min="4" max="4" width="22.6640625" bestFit="1" customWidth="1"/>
    <col min="5" max="6" width="10.83203125" customWidth="1"/>
    <col min="7" max="7" width="2.33203125" style="50" customWidth="1"/>
    <col min="8" max="8" width="10.5" style="197" bestFit="1" customWidth="1"/>
    <col min="11" max="11" width="16.1640625" bestFit="1" customWidth="1"/>
    <col min="12" max="14" width="16.1640625" customWidth="1"/>
    <col min="16" max="16" width="15.6640625" bestFit="1" customWidth="1"/>
    <col min="17" max="17" width="14.6640625" bestFit="1" customWidth="1"/>
    <col min="19" max="19" width="16.1640625" bestFit="1" customWidth="1"/>
    <col min="20" max="20" width="18.33203125" bestFit="1" customWidth="1"/>
    <col min="22" max="22" width="12.1640625" bestFit="1" customWidth="1"/>
    <col min="23" max="23" width="11.33203125" bestFit="1" customWidth="1"/>
  </cols>
  <sheetData>
    <row r="1" spans="1:23" s="200" customFormat="1">
      <c r="A1" s="215"/>
      <c r="B1" s="354" t="s">
        <v>43</v>
      </c>
      <c r="C1" s="360"/>
      <c r="D1" s="360"/>
      <c r="E1" s="360"/>
      <c r="F1" s="198"/>
      <c r="G1" s="49"/>
      <c r="H1" s="265"/>
      <c r="J1" s="293"/>
      <c r="L1" s="263"/>
      <c r="M1" s="263"/>
      <c r="N1" s="263"/>
    </row>
    <row r="2" spans="1:23" s="200" customFormat="1">
      <c r="A2" s="216"/>
      <c r="B2" s="356" t="s">
        <v>4</v>
      </c>
      <c r="C2" s="361"/>
      <c r="D2" s="361"/>
      <c r="E2" s="236" t="s">
        <v>18</v>
      </c>
      <c r="F2" s="199"/>
      <c r="G2" s="49"/>
      <c r="H2" s="265"/>
      <c r="J2" s="293"/>
      <c r="L2" s="263"/>
      <c r="M2" s="263"/>
      <c r="N2" s="263"/>
      <c r="T2" s="364" t="s">
        <v>463</v>
      </c>
      <c r="U2" s="364"/>
      <c r="V2" s="364"/>
      <c r="W2" s="364"/>
    </row>
    <row r="3" spans="1:23" s="200" customFormat="1" ht="16" thickBot="1">
      <c r="A3" s="201" t="s">
        <v>131</v>
      </c>
      <c r="B3" s="59" t="s">
        <v>0</v>
      </c>
      <c r="C3" s="244" t="s">
        <v>347</v>
      </c>
      <c r="D3" s="13" t="s">
        <v>349</v>
      </c>
      <c r="E3" s="13" t="s">
        <v>348</v>
      </c>
      <c r="F3" s="14" t="s">
        <v>198</v>
      </c>
      <c r="G3" s="49"/>
      <c r="H3" s="265" t="s">
        <v>496</v>
      </c>
      <c r="I3" s="200" t="s">
        <v>344</v>
      </c>
      <c r="J3" s="293" t="s">
        <v>509</v>
      </c>
      <c r="K3" s="200" t="s">
        <v>346</v>
      </c>
      <c r="L3" s="263" t="s">
        <v>472</v>
      </c>
      <c r="M3" s="263" t="s">
        <v>469</v>
      </c>
      <c r="N3" s="263" t="s">
        <v>497</v>
      </c>
      <c r="O3" s="200" t="s">
        <v>345</v>
      </c>
      <c r="P3" s="200" t="s">
        <v>382</v>
      </c>
      <c r="Q3" s="200" t="s">
        <v>383</v>
      </c>
      <c r="R3" s="200" t="s">
        <v>384</v>
      </c>
      <c r="S3" s="200" t="s">
        <v>407</v>
      </c>
      <c r="T3" s="200" t="s">
        <v>454</v>
      </c>
      <c r="U3" s="200" t="s">
        <v>460</v>
      </c>
      <c r="V3" s="200" t="s">
        <v>461</v>
      </c>
      <c r="W3" s="200" t="s">
        <v>462</v>
      </c>
    </row>
    <row r="4" spans="1:23" s="247" customFormat="1">
      <c r="A4" s="266">
        <f>IF(ISNUMBER(A3),A3,0)+1</f>
        <v>1</v>
      </c>
      <c r="B4" s="246">
        <v>1</v>
      </c>
      <c r="C4" s="225">
        <f>IF(H4&lt;=10000,ROUNDUP(H4/100,0)*100,IF(H4&lt;=100000,ROUNDUP(H4/1000,0)*1000,IF(ROUND(H4/10000,0)*10000&lt;=950000,ROUNDUP(H4/10000,0)*10000,ROUNDUP(H4/100000,0)*100000)))</f>
        <v>0</v>
      </c>
      <c r="D4" s="245">
        <v>0</v>
      </c>
      <c r="E4" s="245">
        <v>10</v>
      </c>
      <c r="F4" s="245">
        <f>B4</f>
        <v>1</v>
      </c>
      <c r="G4" s="267"/>
      <c r="H4" s="268">
        <v>0</v>
      </c>
      <c r="I4" s="247">
        <v>0</v>
      </c>
      <c r="J4" s="247">
        <f>C4</f>
        <v>0</v>
      </c>
      <c r="K4" s="247">
        <f>(VLOOKUP(B4,Garden!$B$4:$D$19,3))^2-4-E4</f>
        <v>67</v>
      </c>
      <c r="L4" s="270">
        <v>0</v>
      </c>
      <c r="M4" s="270">
        <f>VLOOKUP(B4,Overview!$A$4:$E$203,5)</f>
        <v>0</v>
      </c>
      <c r="O4" s="247">
        <f>ROUND(D4/K4,0)</f>
        <v>0</v>
      </c>
      <c r="S4" s="247">
        <v>0</v>
      </c>
      <c r="T4" s="247">
        <f>ROUND(C4/VLOOKUP(B4,Overview!$A$4:$F$203,6),1)</f>
        <v>0</v>
      </c>
      <c r="U4" s="247">
        <f>SUM(C$4:C4)</f>
        <v>0</v>
      </c>
      <c r="V4" s="247">
        <f>VLOOKUP(B4,Overview!A$4:L$202,12)</f>
        <v>851</v>
      </c>
      <c r="W4" s="264">
        <f>U4/V4</f>
        <v>0</v>
      </c>
    </row>
    <row r="5" spans="1:23">
      <c r="A5" s="16">
        <f t="shared" ref="A5:A39" si="0">IF(ISNUMBER(A4),A4,0)+1</f>
        <v>2</v>
      </c>
      <c r="B5" s="246">
        <v>2</v>
      </c>
      <c r="C5" s="225">
        <f t="shared" ref="C5:C39" si="1">IF(H5&lt;=10000,ROUNDUP(H5/100,0)*100,IF(H5&lt;=100000,ROUNDUP(H5/1000,0)*1000,IF(ROUND(H5/10000,0)*10000&lt;=950000,ROUNDUP(H5/10000,0)*10000,ROUNDUP(H5/100000,0)*100000)))</f>
        <v>800</v>
      </c>
      <c r="D5">
        <f>IF(I5&lt;100,ROUND(I5/5,0)*5,IF(I5&lt;200,ROUND(I5/10,0)*10,IF(I5&lt;500,ROUND(I5/25,0)*25,IF(I5&lt;1000,ROUND(I5/50,0)*50,IF(I5&lt;10000,ROUND(I5/100,0)*100,ROUND(I5/500,0)*500)))))</f>
        <v>10</v>
      </c>
      <c r="E5">
        <v>14</v>
      </c>
      <c r="F5" s="243">
        <f t="shared" ref="F5:F39" si="2">B5</f>
        <v>2</v>
      </c>
      <c r="H5" s="197">
        <f>MAX(ROUND(V5*0.35,0)-SUM(H$4:H4),C4*1.05)</f>
        <v>747</v>
      </c>
      <c r="I5">
        <f t="shared" ref="I5:I39" si="3">(B5)*(B5+1)/2*3</f>
        <v>9</v>
      </c>
      <c r="J5" s="247">
        <f t="shared" ref="J5:J39" si="4">C5</f>
        <v>800</v>
      </c>
      <c r="K5" s="247">
        <f>(VLOOKUP(B5,Garden!$B$4:$D$19,3))^2-4-E5</f>
        <v>63</v>
      </c>
      <c r="L5" s="270">
        <f t="shared" ref="L5:L39" si="5">MIN(366,(B5/50)^1.2*125,B5*3)</f>
        <v>2.6265278044037683</v>
      </c>
      <c r="M5" s="270">
        <f>VLOOKUP(B5,Overview!$A$4:$E$203,5)</f>
        <v>1.8429666294108259E-3</v>
      </c>
      <c r="N5" s="247"/>
      <c r="O5" s="247">
        <f t="shared" ref="O5:O39" si="6">ROUND(D5/K5,0)</f>
        <v>0</v>
      </c>
      <c r="P5">
        <f t="shared" ref="P5:P39" si="7">D5-D4</f>
        <v>10</v>
      </c>
      <c r="Q5">
        <f t="shared" ref="Q5:Q39" si="8">B5-B4</f>
        <v>1</v>
      </c>
      <c r="R5">
        <f>P5/Q5</f>
        <v>10</v>
      </c>
      <c r="S5" s="247">
        <f>ROUNDUP(D5/MIN(K5/0.8),0)</f>
        <v>1</v>
      </c>
      <c r="T5" s="247">
        <f>ROUND(C5/VLOOKUP(B5,Overview!$A$4:$F$203,6),1)</f>
        <v>0</v>
      </c>
      <c r="U5" s="247">
        <f>SUM(C$4:C5)</f>
        <v>800</v>
      </c>
      <c r="V5" s="247">
        <f>VLOOKUP(B5,Overview!A$4:L$202,12)</f>
        <v>2134</v>
      </c>
      <c r="W5" s="264">
        <f t="shared" ref="W5:W39" si="9">U5/V5</f>
        <v>0.37488284910965325</v>
      </c>
    </row>
    <row r="6" spans="1:23">
      <c r="A6" s="16">
        <f t="shared" si="0"/>
        <v>3</v>
      </c>
      <c r="B6" s="246">
        <v>5</v>
      </c>
      <c r="C6" s="225">
        <f t="shared" si="1"/>
        <v>2400</v>
      </c>
      <c r="D6">
        <f>IF(I6&lt;100,ROUND(I6/5,0)*5,IF(I6&lt;200,ROUND(I6/10,0)*10,IF(I6&lt;500,ROUND(I6/25,0)*25,IF(I6&lt;1000,ROUND(I6/50,0)*50,IF(I6&lt;10000,ROUND(I6/100,0)*100,ROUND(I6/500,0)*500)))))</f>
        <v>45</v>
      </c>
      <c r="E6">
        <v>18</v>
      </c>
      <c r="F6" s="243">
        <f t="shared" si="2"/>
        <v>5</v>
      </c>
      <c r="H6" s="197">
        <f>MAX(ROUND(V6*0.35,0)-SUM(H$4:H5),C5*1.05)</f>
        <v>2339</v>
      </c>
      <c r="I6">
        <f t="shared" si="3"/>
        <v>45</v>
      </c>
      <c r="J6" s="247">
        <f t="shared" si="4"/>
        <v>2400</v>
      </c>
      <c r="K6" s="247">
        <f>(VLOOKUP(B6,Garden!$B$4:$D$19,3))^2-4-E6</f>
        <v>78</v>
      </c>
      <c r="L6" s="270">
        <f t="shared" si="5"/>
        <v>7.8869668060024178</v>
      </c>
      <c r="M6" s="270">
        <f>VLOOKUP(B6,Overview!$A$4:$E$203,5)</f>
        <v>7.5034256559760232E-2</v>
      </c>
      <c r="N6" s="317">
        <f>C6/C5-1</f>
        <v>2</v>
      </c>
      <c r="O6" s="247">
        <f t="shared" si="6"/>
        <v>1</v>
      </c>
      <c r="P6">
        <f t="shared" si="7"/>
        <v>35</v>
      </c>
      <c r="Q6">
        <f t="shared" si="8"/>
        <v>3</v>
      </c>
      <c r="R6">
        <f t="shared" ref="R6:R39" si="10">P6/Q6</f>
        <v>11.666666666666666</v>
      </c>
      <c r="S6" s="247">
        <f t="shared" ref="S6:S39" si="11">ROUNDUP(D6/MIN(K6/0.8,A5*3),0)</f>
        <v>8</v>
      </c>
      <c r="T6" s="247">
        <f>ROUND(C6/VLOOKUP(B6,Overview!$A$4:$F$203,6),1)</f>
        <v>0.2</v>
      </c>
      <c r="U6" s="247">
        <f>SUM(C$4:C6)</f>
        <v>3200</v>
      </c>
      <c r="V6" s="247">
        <f>VLOOKUP(B6,Overview!A$4:L$202,12)</f>
        <v>8816</v>
      </c>
      <c r="W6" s="264">
        <f t="shared" si="9"/>
        <v>0.36297640653357532</v>
      </c>
    </row>
    <row r="7" spans="1:23">
      <c r="A7" s="16">
        <f t="shared" si="0"/>
        <v>4</v>
      </c>
      <c r="B7" s="246">
        <v>8</v>
      </c>
      <c r="C7" s="225">
        <f t="shared" si="1"/>
        <v>6000</v>
      </c>
      <c r="D7">
        <f t="shared" ref="D7:D39" si="12">IF(I7&lt;100,ROUND(I7/5,0)*5,IF(I7&lt;200,ROUND(I7/10,0)*10,IF(I7&lt;500,ROUND(I7/25,0)*25,IF(I7&lt;1000,ROUND(I7/50,0)*50,IF(I7&lt;10000,ROUND(I7/100,0)*100,ROUND(I7/500,0)*500)))))</f>
        <v>110</v>
      </c>
      <c r="E7">
        <v>22</v>
      </c>
      <c r="F7" s="243">
        <f t="shared" si="2"/>
        <v>8</v>
      </c>
      <c r="H7" s="197">
        <f>MAX(ROUND(V7*0.35,0)-SUM(H$4:H6),C6*1.05)</f>
        <v>5908</v>
      </c>
      <c r="I7">
        <f t="shared" si="3"/>
        <v>108</v>
      </c>
      <c r="J7" s="247">
        <f t="shared" si="4"/>
        <v>6000</v>
      </c>
      <c r="K7" s="247">
        <f>(VLOOKUP(B7,Garden!$B$4:$D$19,3))^2-4-E7</f>
        <v>74</v>
      </c>
      <c r="L7" s="270">
        <f t="shared" si="5"/>
        <v>13.862896863102925</v>
      </c>
      <c r="M7" s="270">
        <f>VLOOKUP(B7,Overview!$A$4:$E$203,5)</f>
        <v>0.8923835507631539</v>
      </c>
      <c r="N7" s="317">
        <f t="shared" ref="N7:N39" si="13">C7/C6-1</f>
        <v>1.5</v>
      </c>
      <c r="O7" s="247">
        <f t="shared" si="6"/>
        <v>1</v>
      </c>
      <c r="P7">
        <f t="shared" si="7"/>
        <v>65</v>
      </c>
      <c r="Q7">
        <f t="shared" si="8"/>
        <v>3</v>
      </c>
      <c r="R7">
        <f t="shared" si="10"/>
        <v>21.666666666666668</v>
      </c>
      <c r="S7" s="247">
        <f t="shared" si="11"/>
        <v>13</v>
      </c>
      <c r="T7" s="247">
        <f>ROUND(C7/VLOOKUP(B7,Overview!$A$4:$F$203,6),1)</f>
        <v>0.4</v>
      </c>
      <c r="U7" s="247">
        <f>SUM(C$4:C7)</f>
        <v>9200</v>
      </c>
      <c r="V7" s="247">
        <f>VLOOKUP(B7,Overview!A$4:L$202,12)</f>
        <v>25697</v>
      </c>
      <c r="W7" s="264">
        <f t="shared" si="9"/>
        <v>0.35801844573296493</v>
      </c>
    </row>
    <row r="8" spans="1:23">
      <c r="A8" s="16">
        <f t="shared" si="0"/>
        <v>5</v>
      </c>
      <c r="B8" s="246">
        <v>12</v>
      </c>
      <c r="C8" s="225">
        <f t="shared" si="1"/>
        <v>17000</v>
      </c>
      <c r="D8">
        <f t="shared" si="12"/>
        <v>225</v>
      </c>
      <c r="E8">
        <v>26</v>
      </c>
      <c r="F8" s="243">
        <f t="shared" si="2"/>
        <v>12</v>
      </c>
      <c r="H8" s="197">
        <f>MAX(ROUND(V8*0.35,0)-SUM(H$4:H7),C7*1.05)</f>
        <v>16765</v>
      </c>
      <c r="I8">
        <f t="shared" si="3"/>
        <v>234</v>
      </c>
      <c r="J8" s="247">
        <f t="shared" si="4"/>
        <v>17000</v>
      </c>
      <c r="K8" s="247">
        <f>(VLOOKUP(B8,Garden!$B$4:$D$19,3))^2-4-E8</f>
        <v>91</v>
      </c>
      <c r="L8" s="270">
        <f t="shared" si="5"/>
        <v>22.550880472590379</v>
      </c>
      <c r="M8" s="270">
        <f>VLOOKUP(B8,Overview!$A$4:$E$203,5)</f>
        <v>3.3844576954365735</v>
      </c>
      <c r="N8" s="317">
        <f t="shared" si="13"/>
        <v>1.8333333333333335</v>
      </c>
      <c r="O8" s="247">
        <f t="shared" si="6"/>
        <v>2</v>
      </c>
      <c r="P8">
        <f t="shared" si="7"/>
        <v>115</v>
      </c>
      <c r="Q8">
        <f t="shared" si="8"/>
        <v>4</v>
      </c>
      <c r="R8">
        <f t="shared" si="10"/>
        <v>28.75</v>
      </c>
      <c r="S8" s="247">
        <f t="shared" si="11"/>
        <v>19</v>
      </c>
      <c r="T8" s="247">
        <f>ROUND(C8/VLOOKUP(B8,Overview!$A$4:$F$203,6),1)</f>
        <v>0.9</v>
      </c>
      <c r="U8" s="247">
        <f>SUM(C$4:C8)</f>
        <v>26200</v>
      </c>
      <c r="V8" s="247">
        <f>VLOOKUP(B8,Overview!A$4:L$202,12)</f>
        <v>73596</v>
      </c>
      <c r="W8" s="264">
        <f t="shared" si="9"/>
        <v>0.35599760856568291</v>
      </c>
    </row>
    <row r="9" spans="1:23">
      <c r="A9" s="16">
        <f t="shared" si="0"/>
        <v>6</v>
      </c>
      <c r="B9" s="246">
        <v>15</v>
      </c>
      <c r="C9" s="225">
        <f t="shared" si="1"/>
        <v>23000</v>
      </c>
      <c r="D9">
        <f t="shared" si="12"/>
        <v>350</v>
      </c>
      <c r="E9">
        <v>30</v>
      </c>
      <c r="F9" s="243">
        <f t="shared" si="2"/>
        <v>15</v>
      </c>
      <c r="H9" s="197">
        <f>MAX(ROUND(V9*0.35,0)-SUM(H$4:H8),C8*1.05)</f>
        <v>22670</v>
      </c>
      <c r="I9">
        <f t="shared" si="3"/>
        <v>360</v>
      </c>
      <c r="J9" s="247">
        <f t="shared" si="4"/>
        <v>23000</v>
      </c>
      <c r="K9" s="247">
        <f>(VLOOKUP(B9,Garden!$B$4:$D$19,3))^2-4-E9</f>
        <v>87</v>
      </c>
      <c r="L9" s="270">
        <f t="shared" si="5"/>
        <v>29.47511570987335</v>
      </c>
      <c r="M9" s="270">
        <f>VLOOKUP(B9,Overview!$A$4:$E$203,5)</f>
        <v>6.3029929348881888</v>
      </c>
      <c r="N9" s="317">
        <f t="shared" si="13"/>
        <v>0.35294117647058831</v>
      </c>
      <c r="O9" s="247">
        <f t="shared" si="6"/>
        <v>4</v>
      </c>
      <c r="P9">
        <f t="shared" si="7"/>
        <v>125</v>
      </c>
      <c r="Q9">
        <f t="shared" si="8"/>
        <v>3</v>
      </c>
      <c r="R9">
        <f t="shared" si="10"/>
        <v>41.666666666666664</v>
      </c>
      <c r="S9" s="247">
        <f t="shared" si="11"/>
        <v>24</v>
      </c>
      <c r="T9" s="247">
        <f>ROUND(C9/VLOOKUP(B9,Overview!$A$4:$F$203,6),1)</f>
        <v>1</v>
      </c>
      <c r="U9" s="247">
        <f>SUM(C$4:C9)</f>
        <v>49200</v>
      </c>
      <c r="V9" s="247">
        <f>VLOOKUP(B9,Overview!A$4:L$202,12)</f>
        <v>138368</v>
      </c>
      <c r="W9" s="264">
        <f t="shared" si="9"/>
        <v>0.35557354301572619</v>
      </c>
    </row>
    <row r="10" spans="1:23">
      <c r="A10" s="16">
        <f t="shared" si="0"/>
        <v>7</v>
      </c>
      <c r="B10" s="246">
        <v>19</v>
      </c>
      <c r="C10" s="225">
        <f t="shared" si="1"/>
        <v>50000</v>
      </c>
      <c r="D10">
        <f t="shared" si="12"/>
        <v>550</v>
      </c>
      <c r="E10">
        <v>34</v>
      </c>
      <c r="F10" s="243">
        <f t="shared" si="2"/>
        <v>19</v>
      </c>
      <c r="H10" s="197">
        <f>MAX(ROUND(V10*0.35,0)-SUM(H$4:H9),C9*1.05)</f>
        <v>49842</v>
      </c>
      <c r="I10">
        <f t="shared" si="3"/>
        <v>570</v>
      </c>
      <c r="J10" s="247">
        <f t="shared" si="4"/>
        <v>50000</v>
      </c>
      <c r="K10" s="247">
        <f>(VLOOKUP(B10,Garden!$B$4:$D$19,3))^2-4-E10</f>
        <v>106</v>
      </c>
      <c r="L10" s="270">
        <f t="shared" si="5"/>
        <v>39.142659411471755</v>
      </c>
      <c r="M10" s="270">
        <f>VLOOKUP(B10,Overview!$A$4:$E$203,5)</f>
        <v>11.779048455697296</v>
      </c>
      <c r="N10" s="317">
        <f t="shared" si="13"/>
        <v>1.1739130434782608</v>
      </c>
      <c r="O10" s="247">
        <f t="shared" si="6"/>
        <v>5</v>
      </c>
      <c r="P10">
        <f t="shared" si="7"/>
        <v>200</v>
      </c>
      <c r="Q10">
        <f t="shared" si="8"/>
        <v>4</v>
      </c>
      <c r="R10">
        <f t="shared" si="10"/>
        <v>50</v>
      </c>
      <c r="S10" s="247">
        <f t="shared" si="11"/>
        <v>31</v>
      </c>
      <c r="T10" s="247">
        <f>ROUND(C10/VLOOKUP(B10,Overview!$A$4:$F$203,6),1)</f>
        <v>2</v>
      </c>
      <c r="U10" s="247">
        <f>SUM(C$4:C10)</f>
        <v>99200</v>
      </c>
      <c r="V10" s="247">
        <f>VLOOKUP(B10,Overview!A$4:L$202,12)</f>
        <v>280774</v>
      </c>
      <c r="W10" s="264">
        <f t="shared" si="9"/>
        <v>0.35330906707886056</v>
      </c>
    </row>
    <row r="11" spans="1:23">
      <c r="A11" s="16">
        <f t="shared" si="0"/>
        <v>8</v>
      </c>
      <c r="B11" s="246">
        <v>22</v>
      </c>
      <c r="C11" s="225">
        <f t="shared" si="1"/>
        <v>62000</v>
      </c>
      <c r="D11">
        <f t="shared" si="12"/>
        <v>750</v>
      </c>
      <c r="E11">
        <v>38</v>
      </c>
      <c r="F11" s="243">
        <f t="shared" si="2"/>
        <v>22</v>
      </c>
      <c r="H11" s="197">
        <f>MAX(ROUND(V11*0.35,0)-SUM(H$4:H10),C10*1.05)</f>
        <v>61053</v>
      </c>
      <c r="I11">
        <f t="shared" si="3"/>
        <v>759</v>
      </c>
      <c r="J11" s="247">
        <f t="shared" si="4"/>
        <v>62000</v>
      </c>
      <c r="K11" s="247">
        <f>(VLOOKUP(B11,Garden!$B$4:$D$19,3))^2-4-E11</f>
        <v>102</v>
      </c>
      <c r="L11" s="270">
        <f t="shared" si="5"/>
        <v>46.671657507798855</v>
      </c>
      <c r="M11" s="270">
        <f>VLOOKUP(B11,Overview!$A$4:$E$203,5)</f>
        <v>17.764434764991556</v>
      </c>
      <c r="N11" s="317">
        <f t="shared" si="13"/>
        <v>0.24</v>
      </c>
      <c r="O11" s="247">
        <f t="shared" si="6"/>
        <v>7</v>
      </c>
      <c r="P11">
        <f t="shared" si="7"/>
        <v>200</v>
      </c>
      <c r="Q11">
        <f t="shared" si="8"/>
        <v>3</v>
      </c>
      <c r="R11">
        <f t="shared" si="10"/>
        <v>66.666666666666671</v>
      </c>
      <c r="S11" s="247">
        <f t="shared" si="11"/>
        <v>36</v>
      </c>
      <c r="T11" s="247">
        <f>ROUND(C11/VLOOKUP(B11,Overview!$A$4:$F$203,6),1)</f>
        <v>2.1</v>
      </c>
      <c r="U11" s="247">
        <f>SUM(C$4:C11)</f>
        <v>161200</v>
      </c>
      <c r="V11" s="247">
        <f>VLOOKUP(B11,Overview!A$4:L$202,12)</f>
        <v>455210</v>
      </c>
      <c r="W11" s="264">
        <f t="shared" si="9"/>
        <v>0.35412227323652817</v>
      </c>
    </row>
    <row r="12" spans="1:23">
      <c r="A12" s="16">
        <f t="shared" si="0"/>
        <v>9</v>
      </c>
      <c r="B12" s="246">
        <f>B10+7</f>
        <v>26</v>
      </c>
      <c r="C12" s="225">
        <f t="shared" si="1"/>
        <v>130000</v>
      </c>
      <c r="D12">
        <f t="shared" si="12"/>
        <v>1100</v>
      </c>
      <c r="E12">
        <v>42</v>
      </c>
      <c r="F12" s="243">
        <f t="shared" si="2"/>
        <v>26</v>
      </c>
      <c r="H12" s="197">
        <f>MAX(ROUND(V12*0.35,0)-SUM(H$4:H11),C11*1.05)</f>
        <v>125816</v>
      </c>
      <c r="I12">
        <f t="shared" si="3"/>
        <v>1053</v>
      </c>
      <c r="J12" s="247">
        <f t="shared" si="4"/>
        <v>130000</v>
      </c>
      <c r="K12" s="247">
        <f>(VLOOKUP(B12,Garden!$B$4:$D$19,3))^2-4-E12</f>
        <v>123</v>
      </c>
      <c r="L12" s="270">
        <f t="shared" si="5"/>
        <v>57.031399034111175</v>
      </c>
      <c r="M12" s="270">
        <f>VLOOKUP(B12,Overview!$A$4:$E$203,5)</f>
        <v>28.597364784668734</v>
      </c>
      <c r="N12" s="317">
        <f t="shared" si="13"/>
        <v>1.096774193548387</v>
      </c>
      <c r="O12" s="247">
        <f t="shared" si="6"/>
        <v>9</v>
      </c>
      <c r="P12">
        <f t="shared" si="7"/>
        <v>350</v>
      </c>
      <c r="Q12">
        <f t="shared" si="8"/>
        <v>4</v>
      </c>
      <c r="R12">
        <f t="shared" si="10"/>
        <v>87.5</v>
      </c>
      <c r="S12" s="247">
        <f t="shared" si="11"/>
        <v>46</v>
      </c>
      <c r="T12" s="247">
        <f>ROUND(C12/VLOOKUP(B12,Overview!$A$4:$F$203,6),1)</f>
        <v>4</v>
      </c>
      <c r="U12" s="247">
        <f>SUM(C$4:C12)</f>
        <v>291200</v>
      </c>
      <c r="V12" s="247">
        <f>VLOOKUP(B12,Overview!A$4:L$202,12)</f>
        <v>814685</v>
      </c>
      <c r="W12" s="264">
        <f t="shared" si="9"/>
        <v>0.35743876467591768</v>
      </c>
    </row>
    <row r="13" spans="1:23">
      <c r="A13" s="16">
        <f t="shared" si="0"/>
        <v>10</v>
      </c>
      <c r="B13" s="246">
        <f t="shared" ref="B13:B39" si="14">B11+7</f>
        <v>29</v>
      </c>
      <c r="C13" s="225">
        <f t="shared" si="1"/>
        <v>150000</v>
      </c>
      <c r="D13">
        <f t="shared" si="12"/>
        <v>1300</v>
      </c>
      <c r="E13">
        <v>46</v>
      </c>
      <c r="F13" s="243">
        <f t="shared" si="2"/>
        <v>29</v>
      </c>
      <c r="H13" s="197">
        <f>MAX(ROUND(V13*0.35,0)-SUM(H$4:H12),C12*1.05)</f>
        <v>148354</v>
      </c>
      <c r="I13">
        <f t="shared" si="3"/>
        <v>1305</v>
      </c>
      <c r="J13" s="247">
        <f t="shared" si="4"/>
        <v>150000</v>
      </c>
      <c r="K13" s="247">
        <f>(VLOOKUP(B13,Garden!$B$4:$D$19,3))^2-4-E13</f>
        <v>119</v>
      </c>
      <c r="L13" s="270">
        <f t="shared" si="5"/>
        <v>65.016502791567675</v>
      </c>
      <c r="M13" s="270">
        <f>VLOOKUP(B13,Overview!$A$4:$E$203,5)</f>
        <v>39.867859269346425</v>
      </c>
      <c r="N13" s="317">
        <f t="shared" si="13"/>
        <v>0.15384615384615374</v>
      </c>
      <c r="O13" s="247">
        <f t="shared" si="6"/>
        <v>11</v>
      </c>
      <c r="P13">
        <f t="shared" si="7"/>
        <v>200</v>
      </c>
      <c r="Q13">
        <f t="shared" si="8"/>
        <v>3</v>
      </c>
      <c r="R13">
        <f t="shared" si="10"/>
        <v>66.666666666666671</v>
      </c>
      <c r="S13" s="247">
        <f t="shared" si="11"/>
        <v>49</v>
      </c>
      <c r="T13" s="247">
        <f>ROUND(C13/VLOOKUP(B13,Overview!$A$4:$F$203,6),1)</f>
        <v>4.0999999999999996</v>
      </c>
      <c r="U13" s="247">
        <f>SUM(C$4:C13)</f>
        <v>441200</v>
      </c>
      <c r="V13" s="247">
        <f>VLOOKUP(B13,Overview!A$4:L$202,12)</f>
        <v>1238554</v>
      </c>
      <c r="W13" s="264">
        <f t="shared" si="9"/>
        <v>0.35622185225674458</v>
      </c>
    </row>
    <row r="14" spans="1:23">
      <c r="A14" s="16">
        <f t="shared" si="0"/>
        <v>11</v>
      </c>
      <c r="B14" s="246">
        <f t="shared" si="14"/>
        <v>33</v>
      </c>
      <c r="C14" s="225">
        <f t="shared" si="1"/>
        <v>270000</v>
      </c>
      <c r="D14">
        <f t="shared" si="12"/>
        <v>1700</v>
      </c>
      <c r="E14">
        <v>50</v>
      </c>
      <c r="F14" s="243">
        <f t="shared" si="2"/>
        <v>33</v>
      </c>
      <c r="H14" s="197">
        <f>MAX(ROUND(V14*0.35,0)-SUM(H$4:H13),C13*1.05)</f>
        <v>264001</v>
      </c>
      <c r="I14">
        <f t="shared" si="3"/>
        <v>1683</v>
      </c>
      <c r="J14" s="247">
        <f t="shared" si="4"/>
        <v>270000</v>
      </c>
      <c r="K14" s="247">
        <f>(VLOOKUP(B14,Garden!$B$4:$D$19,3))^2-4-E14</f>
        <v>142</v>
      </c>
      <c r="L14" s="270">
        <f t="shared" si="5"/>
        <v>75.921142623322481</v>
      </c>
      <c r="M14" s="270">
        <f>VLOOKUP(B14,Overview!$A$4:$E$203,5)</f>
        <v>59.496898919898527</v>
      </c>
      <c r="N14" s="317">
        <f t="shared" si="13"/>
        <v>0.8</v>
      </c>
      <c r="O14" s="247">
        <f t="shared" si="6"/>
        <v>12</v>
      </c>
      <c r="P14">
        <f t="shared" si="7"/>
        <v>400</v>
      </c>
      <c r="Q14">
        <f t="shared" si="8"/>
        <v>4</v>
      </c>
      <c r="R14">
        <f t="shared" si="10"/>
        <v>100</v>
      </c>
      <c r="S14" s="247">
        <f t="shared" si="11"/>
        <v>57</v>
      </c>
      <c r="T14" s="247">
        <f>ROUND(C14/VLOOKUP(B14,Overview!$A$4:$F$203,6),1)</f>
        <v>6.7</v>
      </c>
      <c r="U14" s="247">
        <f>SUM(C$4:C14)</f>
        <v>711200</v>
      </c>
      <c r="V14" s="247">
        <f>VLOOKUP(B14,Overview!A$4:L$202,12)</f>
        <v>1992842</v>
      </c>
      <c r="W14" s="264">
        <f t="shared" si="9"/>
        <v>0.3568772637268785</v>
      </c>
    </row>
    <row r="15" spans="1:23">
      <c r="A15" s="16">
        <f t="shared" si="0"/>
        <v>12</v>
      </c>
      <c r="B15" s="246">
        <f t="shared" si="14"/>
        <v>36</v>
      </c>
      <c r="C15" s="225">
        <f t="shared" si="1"/>
        <v>290000</v>
      </c>
      <c r="D15">
        <f t="shared" si="12"/>
        <v>2000</v>
      </c>
      <c r="E15">
        <v>54</v>
      </c>
      <c r="F15" s="243">
        <f t="shared" si="2"/>
        <v>36</v>
      </c>
      <c r="H15" s="197">
        <f>MAX(ROUND(V15*0.35,0)-SUM(H$4:H14),C14*1.05)</f>
        <v>283500</v>
      </c>
      <c r="I15">
        <f t="shared" si="3"/>
        <v>1998</v>
      </c>
      <c r="J15" s="247">
        <f t="shared" si="4"/>
        <v>290000</v>
      </c>
      <c r="K15" s="247">
        <f>(VLOOKUP(B15,Garden!$B$4:$D$19,3))^2-4-E15</f>
        <v>138</v>
      </c>
      <c r="L15" s="270">
        <f t="shared" si="5"/>
        <v>84.276988560831697</v>
      </c>
      <c r="M15" s="270">
        <f>VLOOKUP(B15,Overview!$A$4:$E$203,5)</f>
        <v>74.676606477844331</v>
      </c>
      <c r="N15" s="317">
        <f t="shared" si="13"/>
        <v>7.4074074074074181E-2</v>
      </c>
      <c r="O15" s="247">
        <f t="shared" si="6"/>
        <v>14</v>
      </c>
      <c r="P15">
        <f t="shared" si="7"/>
        <v>300</v>
      </c>
      <c r="Q15">
        <f t="shared" si="8"/>
        <v>3</v>
      </c>
      <c r="R15">
        <f t="shared" si="10"/>
        <v>100</v>
      </c>
      <c r="S15" s="247">
        <f t="shared" si="11"/>
        <v>61</v>
      </c>
      <c r="T15" s="247">
        <f>ROUND(C15/VLOOKUP(B15,Overview!$A$4:$F$203,6),1)</f>
        <v>6.6</v>
      </c>
      <c r="U15" s="247">
        <f>SUM(C$4:C15)</f>
        <v>1001200</v>
      </c>
      <c r="V15" s="247">
        <f>VLOOKUP(B15,Overview!A$4:L$202,12)</f>
        <v>2625924</v>
      </c>
      <c r="W15" s="264">
        <f t="shared" si="9"/>
        <v>0.3812753148986795</v>
      </c>
    </row>
    <row r="16" spans="1:23">
      <c r="A16" s="16">
        <f t="shared" si="0"/>
        <v>13</v>
      </c>
      <c r="B16" s="246">
        <f t="shared" si="14"/>
        <v>40</v>
      </c>
      <c r="C16" s="225">
        <f t="shared" si="1"/>
        <v>310000</v>
      </c>
      <c r="D16">
        <f t="shared" si="12"/>
        <v>2500</v>
      </c>
      <c r="E16">
        <v>58</v>
      </c>
      <c r="F16" s="243">
        <f t="shared" si="2"/>
        <v>40</v>
      </c>
      <c r="H16" s="197">
        <f>MAX(ROUND(V16*0.35,0)-SUM(H$4:H15),C15*1.05)</f>
        <v>304500</v>
      </c>
      <c r="I16">
        <f t="shared" si="3"/>
        <v>2460</v>
      </c>
      <c r="J16" s="247">
        <f t="shared" si="4"/>
        <v>310000</v>
      </c>
      <c r="K16" s="247">
        <f>(VLOOKUP(B16,Garden!$B$4:$D$19,3))^2-4-E16</f>
        <v>163</v>
      </c>
      <c r="L16" s="270">
        <f t="shared" si="5"/>
        <v>95.635249979003703</v>
      </c>
      <c r="M16" s="270">
        <f>VLOOKUP(B16,Overview!$A$4:$E$203,5)</f>
        <v>95.897390969760863</v>
      </c>
      <c r="N16" s="317">
        <f t="shared" si="13"/>
        <v>6.8965517241379226E-2</v>
      </c>
      <c r="O16" s="247">
        <f t="shared" si="6"/>
        <v>15</v>
      </c>
      <c r="P16">
        <f t="shared" si="7"/>
        <v>500</v>
      </c>
      <c r="Q16">
        <f t="shared" si="8"/>
        <v>4</v>
      </c>
      <c r="R16">
        <f t="shared" si="10"/>
        <v>125</v>
      </c>
      <c r="S16" s="247">
        <f t="shared" si="11"/>
        <v>70</v>
      </c>
      <c r="T16" s="247">
        <f>ROUND(C16/VLOOKUP(B16,Overview!$A$4:$F$203,6),1)</f>
        <v>6.5</v>
      </c>
      <c r="U16" s="247">
        <f>SUM(C$4:C16)</f>
        <v>1311200</v>
      </c>
      <c r="V16" s="247">
        <f>VLOOKUP(B16,Overview!A$4:L$202,12)</f>
        <v>3612037</v>
      </c>
      <c r="W16" s="264">
        <f t="shared" si="9"/>
        <v>0.36300846309160179</v>
      </c>
    </row>
    <row r="17" spans="1:23">
      <c r="A17" s="16">
        <f t="shared" si="0"/>
        <v>14</v>
      </c>
      <c r="B17" s="246">
        <f t="shared" si="14"/>
        <v>43</v>
      </c>
      <c r="C17" s="225">
        <f t="shared" si="1"/>
        <v>330000</v>
      </c>
      <c r="D17">
        <f t="shared" si="12"/>
        <v>2800</v>
      </c>
      <c r="E17">
        <v>62</v>
      </c>
      <c r="F17" s="243">
        <f t="shared" si="2"/>
        <v>43</v>
      </c>
      <c r="H17" s="197">
        <f>MAX(ROUND(V17*0.35,0)-SUM(H$4:H16),C16*1.05)</f>
        <v>325500</v>
      </c>
      <c r="I17">
        <f t="shared" si="3"/>
        <v>2838</v>
      </c>
      <c r="J17" s="247">
        <f t="shared" si="4"/>
        <v>330000</v>
      </c>
      <c r="K17" s="247">
        <f>(VLOOKUP(B17,Garden!$B$4:$D$19,3))^2-4-E17</f>
        <v>159</v>
      </c>
      <c r="L17" s="270">
        <f t="shared" si="5"/>
        <v>104.30572702137502</v>
      </c>
      <c r="M17" s="270">
        <f>VLOOKUP(B17,Overview!$A$4:$E$203,5)</f>
        <v>113.49767943628414</v>
      </c>
      <c r="N17" s="317">
        <f t="shared" si="13"/>
        <v>6.4516129032258007E-2</v>
      </c>
      <c r="O17" s="247">
        <f t="shared" si="6"/>
        <v>18</v>
      </c>
      <c r="P17">
        <f t="shared" si="7"/>
        <v>300</v>
      </c>
      <c r="Q17">
        <f t="shared" si="8"/>
        <v>3</v>
      </c>
      <c r="R17">
        <f t="shared" si="10"/>
        <v>100</v>
      </c>
      <c r="S17" s="247">
        <f t="shared" si="11"/>
        <v>72</v>
      </c>
      <c r="T17" s="247">
        <f>ROUND(C17/VLOOKUP(B17,Overview!$A$4:$F$203,6),1)</f>
        <v>6.3</v>
      </c>
      <c r="U17" s="247">
        <f>SUM(C$4:C17)</f>
        <v>1641200</v>
      </c>
      <c r="V17" s="247">
        <f>VLOOKUP(B17,Overview!A$4:L$202,12)</f>
        <v>4502061</v>
      </c>
      <c r="W17" s="264">
        <f t="shared" si="9"/>
        <v>0.3645441498904613</v>
      </c>
    </row>
    <row r="18" spans="1:23">
      <c r="A18" s="16">
        <f t="shared" si="0"/>
        <v>15</v>
      </c>
      <c r="B18" s="246">
        <f t="shared" si="14"/>
        <v>47</v>
      </c>
      <c r="C18" s="225">
        <f t="shared" si="1"/>
        <v>450000</v>
      </c>
      <c r="D18">
        <f t="shared" si="12"/>
        <v>3400</v>
      </c>
      <c r="E18">
        <v>66</v>
      </c>
      <c r="F18" s="243">
        <f t="shared" si="2"/>
        <v>47</v>
      </c>
      <c r="H18" s="197">
        <f>MAX(ROUND(V18*0.35,0)-SUM(H$4:H17),C17*1.05)</f>
        <v>443430</v>
      </c>
      <c r="I18">
        <f t="shared" si="3"/>
        <v>3384</v>
      </c>
      <c r="J18" s="247">
        <f t="shared" si="4"/>
        <v>450000</v>
      </c>
      <c r="K18" s="247">
        <f>(VLOOKUP(B18,Garden!$B$4:$D$19,3))^2-4-E18</f>
        <v>186</v>
      </c>
      <c r="L18" s="270">
        <f t="shared" si="5"/>
        <v>116.05488814288728</v>
      </c>
      <c r="M18" s="270">
        <f>VLOOKUP(B18,Overview!$A$4:$E$203,5)</f>
        <v>138.62685636088892</v>
      </c>
      <c r="N18" s="317">
        <f t="shared" si="13"/>
        <v>0.36363636363636354</v>
      </c>
      <c r="O18" s="247">
        <f t="shared" si="6"/>
        <v>18</v>
      </c>
      <c r="P18">
        <f t="shared" si="7"/>
        <v>600</v>
      </c>
      <c r="Q18">
        <f t="shared" si="8"/>
        <v>4</v>
      </c>
      <c r="R18">
        <f t="shared" si="10"/>
        <v>150</v>
      </c>
      <c r="S18" s="247">
        <f t="shared" si="11"/>
        <v>81</v>
      </c>
      <c r="T18" s="247">
        <f>ROUND(C18/VLOOKUP(B18,Overview!$A$4:$F$203,6),1)</f>
        <v>8</v>
      </c>
      <c r="U18" s="247">
        <f>SUM(C$4:C18)</f>
        <v>2091200</v>
      </c>
      <c r="V18" s="247">
        <f>VLOOKUP(B18,Overview!A$4:L$202,12)</f>
        <v>5869787</v>
      </c>
      <c r="W18" s="264">
        <f t="shared" si="9"/>
        <v>0.3562650569773656</v>
      </c>
    </row>
    <row r="19" spans="1:23">
      <c r="A19" s="16">
        <f t="shared" si="0"/>
        <v>16</v>
      </c>
      <c r="B19" s="246">
        <f t="shared" si="14"/>
        <v>50</v>
      </c>
      <c r="C19" s="225">
        <f t="shared" si="1"/>
        <v>480000</v>
      </c>
      <c r="D19">
        <f t="shared" si="12"/>
        <v>3800</v>
      </c>
      <c r="E19">
        <v>70</v>
      </c>
      <c r="F19" s="243">
        <f t="shared" si="2"/>
        <v>50</v>
      </c>
      <c r="H19" s="197">
        <f>MAX(ROUND(V19*0.35,0)-SUM(H$4:H18),C18*1.05)</f>
        <v>472500</v>
      </c>
      <c r="I19">
        <f t="shared" si="3"/>
        <v>3825</v>
      </c>
      <c r="J19" s="247">
        <f t="shared" si="4"/>
        <v>480000</v>
      </c>
      <c r="K19" s="247">
        <f>(VLOOKUP(B19,Garden!$B$4:$D$19,3))^2-4-E19</f>
        <v>182</v>
      </c>
      <c r="L19" s="270">
        <f t="shared" si="5"/>
        <v>125</v>
      </c>
      <c r="M19" s="270">
        <f>VLOOKUP(B19,Overview!$A$4:$E$203,5)</f>
        <v>158.46476210286386</v>
      </c>
      <c r="N19" s="317">
        <f t="shared" si="13"/>
        <v>6.6666666666666652E-2</v>
      </c>
      <c r="O19" s="247">
        <f t="shared" si="6"/>
        <v>21</v>
      </c>
      <c r="P19">
        <f t="shared" si="7"/>
        <v>400</v>
      </c>
      <c r="Q19">
        <f t="shared" si="8"/>
        <v>3</v>
      </c>
      <c r="R19">
        <f t="shared" si="10"/>
        <v>133.33333333333334</v>
      </c>
      <c r="S19" s="247">
        <f t="shared" si="11"/>
        <v>85</v>
      </c>
      <c r="T19" s="247">
        <f>ROUND(C19/VLOOKUP(B19,Overview!$A$4:$F$203,6),1)</f>
        <v>8</v>
      </c>
      <c r="U19" s="247">
        <f>SUM(C$4:C19)</f>
        <v>2571200</v>
      </c>
      <c r="V19" s="247">
        <f>VLOOKUP(B19,Overview!A$4:L$202,12)</f>
        <v>7032777</v>
      </c>
      <c r="W19" s="264">
        <f t="shared" si="9"/>
        <v>0.36560237869052298</v>
      </c>
    </row>
    <row r="20" spans="1:23">
      <c r="A20" s="16">
        <f t="shared" si="0"/>
        <v>17</v>
      </c>
      <c r="B20" s="246">
        <f t="shared" si="14"/>
        <v>54</v>
      </c>
      <c r="C20" s="225">
        <f t="shared" si="1"/>
        <v>550000</v>
      </c>
      <c r="D20">
        <f t="shared" si="12"/>
        <v>4500</v>
      </c>
      <c r="E20">
        <v>74</v>
      </c>
      <c r="F20" s="243">
        <f t="shared" si="2"/>
        <v>54</v>
      </c>
      <c r="H20" s="197">
        <f>MAX(ROUND(V20*0.35,0)-SUM(H$4:H19),C19*1.05)</f>
        <v>541787</v>
      </c>
      <c r="I20">
        <f t="shared" si="3"/>
        <v>4455</v>
      </c>
      <c r="J20" s="247">
        <f t="shared" si="4"/>
        <v>550000</v>
      </c>
      <c r="K20" s="247">
        <f>(VLOOKUP(B20,Garden!$B$4:$D$19,3))^2-4-E20</f>
        <v>211</v>
      </c>
      <c r="L20" s="270">
        <f t="shared" si="5"/>
        <v>137.09402258366001</v>
      </c>
      <c r="M20" s="270">
        <f>VLOOKUP(B20,Overview!$A$4:$E$203,5)</f>
        <v>186.10000584605964</v>
      </c>
      <c r="N20" s="317">
        <f t="shared" si="13"/>
        <v>0.14583333333333326</v>
      </c>
      <c r="O20" s="247">
        <f t="shared" si="6"/>
        <v>21</v>
      </c>
      <c r="P20">
        <f t="shared" si="7"/>
        <v>700</v>
      </c>
      <c r="Q20">
        <f t="shared" si="8"/>
        <v>4</v>
      </c>
      <c r="R20">
        <f t="shared" si="10"/>
        <v>175</v>
      </c>
      <c r="S20" s="247">
        <f t="shared" si="11"/>
        <v>94</v>
      </c>
      <c r="T20" s="247">
        <f>ROUND(C20/VLOOKUP(B20,Overview!$A$4:$F$203,6),1)</f>
        <v>8.5</v>
      </c>
      <c r="U20" s="247">
        <f>SUM(C$4:C20)</f>
        <v>3121200</v>
      </c>
      <c r="V20" s="247">
        <f>VLOOKUP(B20,Overview!A$4:L$202,12)</f>
        <v>8767749</v>
      </c>
      <c r="W20" s="264">
        <f t="shared" si="9"/>
        <v>0.35598646813452345</v>
      </c>
    </row>
    <row r="21" spans="1:23">
      <c r="A21" s="16">
        <f t="shared" si="0"/>
        <v>18</v>
      </c>
      <c r="B21" s="246">
        <f t="shared" si="14"/>
        <v>57</v>
      </c>
      <c r="C21" s="225">
        <f t="shared" si="1"/>
        <v>580000</v>
      </c>
      <c r="D21">
        <f t="shared" si="12"/>
        <v>5000</v>
      </c>
      <c r="E21">
        <v>78</v>
      </c>
      <c r="F21" s="243">
        <f t="shared" si="2"/>
        <v>57</v>
      </c>
      <c r="H21" s="197">
        <f>MAX(ROUND(V21*0.35,0)-SUM(H$4:H20),C20*1.05)</f>
        <v>577500</v>
      </c>
      <c r="I21">
        <f t="shared" si="3"/>
        <v>4959</v>
      </c>
      <c r="J21" s="247">
        <f t="shared" si="4"/>
        <v>580000</v>
      </c>
      <c r="K21" s="247">
        <f>(VLOOKUP(B21,Garden!$B$4:$D$19,3))^2-4-E21</f>
        <v>207</v>
      </c>
      <c r="L21" s="270">
        <f t="shared" si="5"/>
        <v>146.28366566310862</v>
      </c>
      <c r="M21" s="270">
        <f>VLOOKUP(B21,Overview!$A$4:$E$203,5)</f>
        <v>207.59715434663363</v>
      </c>
      <c r="N21" s="317">
        <f t="shared" si="13"/>
        <v>5.4545454545454453E-2</v>
      </c>
      <c r="O21" s="247">
        <f t="shared" si="6"/>
        <v>24</v>
      </c>
      <c r="P21">
        <f t="shared" si="7"/>
        <v>500</v>
      </c>
      <c r="Q21">
        <f t="shared" si="8"/>
        <v>3</v>
      </c>
      <c r="R21">
        <f t="shared" si="10"/>
        <v>166.66666666666666</v>
      </c>
      <c r="S21" s="247">
        <f t="shared" si="11"/>
        <v>99</v>
      </c>
      <c r="T21" s="247">
        <f>ROUND(C21/VLOOKUP(B21,Overview!$A$4:$F$203,6),1)</f>
        <v>8.4</v>
      </c>
      <c r="U21" s="247">
        <f>SUM(C$4:C21)</f>
        <v>3701200</v>
      </c>
      <c r="V21" s="247">
        <f>VLOOKUP(B21,Overview!A$4:L$202,12)</f>
        <v>10209264</v>
      </c>
      <c r="W21" s="264">
        <f t="shared" si="9"/>
        <v>0.36253347939675179</v>
      </c>
    </row>
    <row r="22" spans="1:23">
      <c r="A22" s="16">
        <f t="shared" si="0"/>
        <v>19</v>
      </c>
      <c r="B22" s="246">
        <f t="shared" si="14"/>
        <v>61</v>
      </c>
      <c r="C22" s="225">
        <f t="shared" si="1"/>
        <v>670000</v>
      </c>
      <c r="D22">
        <f t="shared" si="12"/>
        <v>5700</v>
      </c>
      <c r="E22">
        <v>82</v>
      </c>
      <c r="F22" s="243">
        <f t="shared" si="2"/>
        <v>61</v>
      </c>
      <c r="H22" s="197">
        <f>MAX(ROUND(V22*0.35,0)-SUM(H$4:H21),C21*1.05)</f>
        <v>663747</v>
      </c>
      <c r="I22">
        <f t="shared" si="3"/>
        <v>5673</v>
      </c>
      <c r="J22" s="247">
        <f t="shared" si="4"/>
        <v>670000</v>
      </c>
      <c r="K22" s="247">
        <f>(VLOOKUP(B22,Garden!$B$4:$D$19,3))^2-4-E22</f>
        <v>238</v>
      </c>
      <c r="L22" s="270">
        <f t="shared" si="5"/>
        <v>158.68716807871823</v>
      </c>
      <c r="M22" s="270">
        <f>VLOOKUP(B22,Overview!$A$4:$E$203,5)</f>
        <v>237.0572936529442</v>
      </c>
      <c r="N22" s="317">
        <f t="shared" si="13"/>
        <v>0.15517241379310343</v>
      </c>
      <c r="O22" s="247">
        <f t="shared" si="6"/>
        <v>24</v>
      </c>
      <c r="P22">
        <f t="shared" si="7"/>
        <v>700</v>
      </c>
      <c r="Q22">
        <f t="shared" si="8"/>
        <v>4</v>
      </c>
      <c r="R22">
        <f t="shared" si="10"/>
        <v>175</v>
      </c>
      <c r="S22" s="247">
        <f t="shared" si="11"/>
        <v>106</v>
      </c>
      <c r="T22" s="247">
        <f>ROUND(C22/VLOOKUP(B22,Overview!$A$4:$F$203,6),1)</f>
        <v>9</v>
      </c>
      <c r="U22" s="247">
        <f>SUM(C$4:C22)</f>
        <v>4371200</v>
      </c>
      <c r="V22" s="247">
        <f>VLOOKUP(B22,Overview!A$4:L$202,12)</f>
        <v>12314168</v>
      </c>
      <c r="W22" s="264">
        <f t="shared" si="9"/>
        <v>0.35497323083459636</v>
      </c>
    </row>
    <row r="23" spans="1:23">
      <c r="A23" s="16">
        <f t="shared" si="0"/>
        <v>20</v>
      </c>
      <c r="B23" s="246">
        <f t="shared" si="14"/>
        <v>64</v>
      </c>
      <c r="C23" s="225">
        <f t="shared" si="1"/>
        <v>710000</v>
      </c>
      <c r="D23">
        <f t="shared" si="12"/>
        <v>6200</v>
      </c>
      <c r="E23">
        <v>86</v>
      </c>
      <c r="F23" s="243">
        <f t="shared" si="2"/>
        <v>64</v>
      </c>
      <c r="H23" s="197">
        <f>MAX(ROUND(V23*0.35,0)-SUM(H$4:H22),C22*1.05)</f>
        <v>703500</v>
      </c>
      <c r="I23">
        <f t="shared" si="3"/>
        <v>6240</v>
      </c>
      <c r="J23" s="247">
        <f t="shared" si="4"/>
        <v>710000</v>
      </c>
      <c r="K23" s="247">
        <f>(VLOOKUP(B23,Garden!$B$4:$D$19,3))^2-4-E23</f>
        <v>234</v>
      </c>
      <c r="L23" s="270">
        <f t="shared" si="5"/>
        <v>168.09777948184109</v>
      </c>
      <c r="M23" s="270">
        <f>VLOOKUP(B23,Overview!$A$4:$E$203,5)</f>
        <v>259.56563744899472</v>
      </c>
      <c r="N23" s="317">
        <f t="shared" si="13"/>
        <v>5.9701492537313383E-2</v>
      </c>
      <c r="O23" s="247">
        <f t="shared" si="6"/>
        <v>26</v>
      </c>
      <c r="P23">
        <f t="shared" si="7"/>
        <v>500</v>
      </c>
      <c r="Q23">
        <f t="shared" si="8"/>
        <v>3</v>
      </c>
      <c r="R23">
        <f t="shared" si="10"/>
        <v>166.66666666666666</v>
      </c>
      <c r="S23" s="247">
        <f t="shared" si="11"/>
        <v>109</v>
      </c>
      <c r="T23" s="247">
        <f>ROUND(C23/VLOOKUP(B23,Overview!$A$4:$F$203,6),1)</f>
        <v>9.1</v>
      </c>
      <c r="U23" s="247">
        <f>SUM(C$4:C23)</f>
        <v>5081200</v>
      </c>
      <c r="V23" s="247">
        <f>VLOOKUP(B23,Overview!A$4:L$202,12)</f>
        <v>14027219</v>
      </c>
      <c r="W23" s="264">
        <f t="shared" si="9"/>
        <v>0.36223858770580253</v>
      </c>
    </row>
    <row r="24" spans="1:23">
      <c r="A24" s="16">
        <f t="shared" si="0"/>
        <v>21</v>
      </c>
      <c r="B24" s="246">
        <f t="shared" si="14"/>
        <v>68</v>
      </c>
      <c r="C24" s="225">
        <f t="shared" si="1"/>
        <v>760000</v>
      </c>
      <c r="D24">
        <f t="shared" si="12"/>
        <v>7000</v>
      </c>
      <c r="E24">
        <v>90</v>
      </c>
      <c r="F24" s="243">
        <f t="shared" si="2"/>
        <v>68</v>
      </c>
      <c r="H24" s="197">
        <f>MAX(ROUND(V24*0.35,0)-SUM(H$4:H23),C23*1.05)</f>
        <v>758767</v>
      </c>
      <c r="I24">
        <f t="shared" si="3"/>
        <v>7038</v>
      </c>
      <c r="J24" s="247">
        <f t="shared" si="4"/>
        <v>760000</v>
      </c>
      <c r="K24" s="247">
        <f>(VLOOKUP(B24,Garden!$B$4:$D$19,3))^2-4-E24</f>
        <v>267</v>
      </c>
      <c r="L24" s="270">
        <f t="shared" si="5"/>
        <v>180.78263120508521</v>
      </c>
      <c r="M24" s="270">
        <f>VLOOKUP(B24,Overview!$A$4:$E$203,5)</f>
        <v>290.11672003034977</v>
      </c>
      <c r="N24" s="317">
        <f t="shared" si="13"/>
        <v>7.0422535211267512E-2</v>
      </c>
      <c r="O24" s="247">
        <f t="shared" si="6"/>
        <v>26</v>
      </c>
      <c r="P24">
        <f t="shared" si="7"/>
        <v>800</v>
      </c>
      <c r="Q24">
        <f t="shared" si="8"/>
        <v>4</v>
      </c>
      <c r="R24">
        <f t="shared" si="10"/>
        <v>200</v>
      </c>
      <c r="S24" s="247">
        <f t="shared" si="11"/>
        <v>117</v>
      </c>
      <c r="T24" s="247">
        <f>ROUND(C24/VLOOKUP(B24,Overview!$A$4:$F$203,6),1)</f>
        <v>9.1</v>
      </c>
      <c r="U24" s="247">
        <f>SUM(C$4:C24)</f>
        <v>5841200</v>
      </c>
      <c r="V24" s="247">
        <f>VLOOKUP(B24,Overview!A$4:L$202,12)</f>
        <v>16492073</v>
      </c>
      <c r="W24" s="264">
        <f t="shared" si="9"/>
        <v>0.35418227896517313</v>
      </c>
    </row>
    <row r="25" spans="1:23">
      <c r="A25" s="16">
        <f t="shared" si="0"/>
        <v>22</v>
      </c>
      <c r="B25" s="246">
        <f t="shared" si="14"/>
        <v>71</v>
      </c>
      <c r="C25" s="225">
        <f t="shared" si="1"/>
        <v>800000</v>
      </c>
      <c r="D25">
        <f t="shared" si="12"/>
        <v>7700</v>
      </c>
      <c r="E25">
        <v>94</v>
      </c>
      <c r="F25" s="243">
        <f t="shared" si="2"/>
        <v>71</v>
      </c>
      <c r="H25" s="197">
        <f>MAX(ROUND(V25*0.35,0)-SUM(H$4:H24),C24*1.05)</f>
        <v>798000</v>
      </c>
      <c r="I25">
        <f t="shared" si="3"/>
        <v>7668</v>
      </c>
      <c r="J25" s="247">
        <f t="shared" si="4"/>
        <v>800000</v>
      </c>
      <c r="K25" s="247">
        <f>(VLOOKUP(B25,Garden!$B$4:$D$19,3))^2-4-E25</f>
        <v>263</v>
      </c>
      <c r="L25" s="270">
        <f t="shared" si="5"/>
        <v>190.39521357187536</v>
      </c>
      <c r="M25" s="270">
        <f>VLOOKUP(B25,Overview!$A$4:$E$203,5)</f>
        <v>313.39051197003914</v>
      </c>
      <c r="N25" s="317">
        <f t="shared" si="13"/>
        <v>5.2631578947368363E-2</v>
      </c>
      <c r="O25" s="247">
        <f t="shared" si="6"/>
        <v>29</v>
      </c>
      <c r="P25">
        <f t="shared" si="7"/>
        <v>700</v>
      </c>
      <c r="Q25">
        <f t="shared" si="8"/>
        <v>3</v>
      </c>
      <c r="R25">
        <f t="shared" si="10"/>
        <v>233.33333333333334</v>
      </c>
      <c r="S25" s="247">
        <f t="shared" si="11"/>
        <v>123</v>
      </c>
      <c r="T25" s="247">
        <f>ROUND(C25/VLOOKUP(B25,Overview!$A$4:$F$203,6),1)</f>
        <v>9.1</v>
      </c>
      <c r="U25" s="247">
        <f>SUM(C$4:C25)</f>
        <v>6641200</v>
      </c>
      <c r="V25" s="247">
        <f>VLOOKUP(B25,Overview!A$4:L$202,12)</f>
        <v>18480069</v>
      </c>
      <c r="W25" s="264">
        <f t="shared" si="9"/>
        <v>0.35937095256516627</v>
      </c>
    </row>
    <row r="26" spans="1:23">
      <c r="A26" s="16">
        <f t="shared" si="0"/>
        <v>23</v>
      </c>
      <c r="B26" s="246">
        <f t="shared" si="14"/>
        <v>75</v>
      </c>
      <c r="C26" s="225">
        <f t="shared" si="1"/>
        <v>890000</v>
      </c>
      <c r="D26">
        <f t="shared" si="12"/>
        <v>8600</v>
      </c>
      <c r="E26">
        <v>98</v>
      </c>
      <c r="F26" s="243">
        <f t="shared" si="2"/>
        <v>75</v>
      </c>
      <c r="H26" s="197">
        <f>MAX(ROUND(V26*0.35,0)-SUM(H$4:H25),C25*1.05)</f>
        <v>888507</v>
      </c>
      <c r="I26">
        <f t="shared" si="3"/>
        <v>8550</v>
      </c>
      <c r="J26" s="247">
        <f t="shared" si="4"/>
        <v>890000</v>
      </c>
      <c r="K26" s="247">
        <f>(VLOOKUP(B26,Garden!$B$4:$D$19,3))^2-4-E26</f>
        <v>298</v>
      </c>
      <c r="L26" s="270">
        <f t="shared" si="5"/>
        <v>203.3384570995685</v>
      </c>
      <c r="M26" s="270">
        <f>VLOOKUP(B26,Overview!$A$4:$E$203,5)</f>
        <v>344.76463102784101</v>
      </c>
      <c r="N26" s="317">
        <f t="shared" si="13"/>
        <v>0.11250000000000004</v>
      </c>
      <c r="O26" s="247">
        <f t="shared" si="6"/>
        <v>29</v>
      </c>
      <c r="P26">
        <f t="shared" si="7"/>
        <v>900</v>
      </c>
      <c r="Q26">
        <f t="shared" si="8"/>
        <v>4</v>
      </c>
      <c r="R26">
        <f t="shared" si="10"/>
        <v>225</v>
      </c>
      <c r="S26" s="247">
        <f t="shared" si="11"/>
        <v>131</v>
      </c>
      <c r="T26" s="247">
        <f>ROUND(C26/VLOOKUP(B26,Overview!$A$4:$F$203,6),1)</f>
        <v>9.5</v>
      </c>
      <c r="U26" s="247">
        <f>SUM(C$4:C26)</f>
        <v>7531200</v>
      </c>
      <c r="V26" s="247">
        <f>VLOOKUP(B26,Overview!A$4:L$202,12)</f>
        <v>21310665</v>
      </c>
      <c r="W26" s="264">
        <f t="shared" si="9"/>
        <v>0.35340051565730118</v>
      </c>
    </row>
    <row r="27" spans="1:23">
      <c r="A27" s="16">
        <f t="shared" si="0"/>
        <v>24</v>
      </c>
      <c r="B27" s="246">
        <f t="shared" si="14"/>
        <v>78</v>
      </c>
      <c r="C27" s="225">
        <f t="shared" si="1"/>
        <v>940000</v>
      </c>
      <c r="D27">
        <f t="shared" si="12"/>
        <v>9200</v>
      </c>
      <c r="E27">
        <v>102</v>
      </c>
      <c r="F27" s="243">
        <f t="shared" si="2"/>
        <v>78</v>
      </c>
      <c r="H27" s="197">
        <f>MAX(ROUND(V27*0.35,0)-SUM(H$4:H26),C26*1.05)</f>
        <v>934500</v>
      </c>
      <c r="I27">
        <f t="shared" si="3"/>
        <v>9243</v>
      </c>
      <c r="J27" s="247">
        <f t="shared" si="4"/>
        <v>940000</v>
      </c>
      <c r="K27" s="247">
        <f>(VLOOKUP(B27,Garden!$B$4:$D$19,3))^2-4-E27</f>
        <v>294</v>
      </c>
      <c r="L27" s="270">
        <f t="shared" si="5"/>
        <v>213.13733491905245</v>
      </c>
      <c r="M27" s="270">
        <f>VLOOKUP(B27,Overview!$A$4:$E$203,5)</f>
        <v>368.43570669011734</v>
      </c>
      <c r="N27" s="317">
        <f t="shared" si="13"/>
        <v>5.6179775280898792E-2</v>
      </c>
      <c r="O27" s="247">
        <f t="shared" si="6"/>
        <v>31</v>
      </c>
      <c r="P27">
        <f t="shared" si="7"/>
        <v>600</v>
      </c>
      <c r="Q27">
        <f t="shared" si="8"/>
        <v>3</v>
      </c>
      <c r="R27">
        <f t="shared" si="10"/>
        <v>200</v>
      </c>
      <c r="S27" s="247">
        <f t="shared" si="11"/>
        <v>134</v>
      </c>
      <c r="T27" s="247">
        <f>ROUND(C27/VLOOKUP(B27,Overview!$A$4:$F$203,6),1)</f>
        <v>9.6</v>
      </c>
      <c r="U27" s="247">
        <f>SUM(C$4:C27)</f>
        <v>8471200</v>
      </c>
      <c r="V27" s="247">
        <f>VLOOKUP(B27,Overview!A$4:L$202,12)</f>
        <v>23565913</v>
      </c>
      <c r="W27" s="264">
        <f t="shared" si="9"/>
        <v>0.35946835584091308</v>
      </c>
    </row>
    <row r="28" spans="1:23">
      <c r="A28" s="16">
        <f t="shared" si="0"/>
        <v>25</v>
      </c>
      <c r="B28" s="246">
        <f t="shared" si="14"/>
        <v>82</v>
      </c>
      <c r="C28" s="225">
        <f t="shared" si="1"/>
        <v>1000000</v>
      </c>
      <c r="D28">
        <f t="shared" si="12"/>
        <v>10000</v>
      </c>
      <c r="E28">
        <v>106</v>
      </c>
      <c r="F28" s="243">
        <f t="shared" si="2"/>
        <v>82</v>
      </c>
      <c r="H28" s="197">
        <f>MAX(ROUND(V28*0.35,0)-SUM(H$4:H27),C27*1.05)</f>
        <v>987000</v>
      </c>
      <c r="I28">
        <f t="shared" si="3"/>
        <v>10209</v>
      </c>
      <c r="J28" s="247">
        <f t="shared" si="4"/>
        <v>1000000</v>
      </c>
      <c r="K28" s="247">
        <f>(VLOOKUP(B28,Garden!$B$4:$D$19,3))^2-4-E28</f>
        <v>331</v>
      </c>
      <c r="L28" s="270">
        <f t="shared" si="5"/>
        <v>226.31984169200311</v>
      </c>
      <c r="M28" s="270">
        <f>VLOOKUP(B28,Overview!$A$4:$E$203,5)</f>
        <v>400.21678660885749</v>
      </c>
      <c r="N28" s="317">
        <f t="shared" si="13"/>
        <v>6.3829787234042534E-2</v>
      </c>
      <c r="O28" s="247">
        <f t="shared" si="6"/>
        <v>30</v>
      </c>
      <c r="P28">
        <f t="shared" si="7"/>
        <v>800</v>
      </c>
      <c r="Q28">
        <f t="shared" si="8"/>
        <v>4</v>
      </c>
      <c r="R28">
        <f t="shared" si="10"/>
        <v>200</v>
      </c>
      <c r="S28" s="247">
        <f t="shared" si="11"/>
        <v>139</v>
      </c>
      <c r="T28" s="247">
        <f>ROUND(C28/VLOOKUP(B28,Overview!$A$4:$F$203,6),1)</f>
        <v>9.6999999999999993</v>
      </c>
      <c r="U28" s="247">
        <f>SUM(C$4:C28)</f>
        <v>9471200</v>
      </c>
      <c r="V28" s="247">
        <f>VLOOKUP(B28,Overview!A$4:L$202,12)</f>
        <v>26751160</v>
      </c>
      <c r="W28" s="264">
        <f t="shared" si="9"/>
        <v>0.35404819828373796</v>
      </c>
    </row>
    <row r="29" spans="1:23">
      <c r="A29" s="16">
        <f t="shared" si="0"/>
        <v>26</v>
      </c>
      <c r="B29" s="246">
        <f t="shared" si="14"/>
        <v>85</v>
      </c>
      <c r="C29" s="225">
        <f t="shared" si="1"/>
        <v>1100000</v>
      </c>
      <c r="D29">
        <f t="shared" si="12"/>
        <v>11000</v>
      </c>
      <c r="E29">
        <v>110</v>
      </c>
      <c r="F29" s="243">
        <f t="shared" si="2"/>
        <v>85</v>
      </c>
      <c r="H29" s="197">
        <f>MAX(ROUND(V29*0.35,0)-SUM(H$4:H28),C28*1.05)</f>
        <v>1050000</v>
      </c>
      <c r="I29">
        <f t="shared" si="3"/>
        <v>10965</v>
      </c>
      <c r="J29" s="247">
        <f t="shared" si="4"/>
        <v>1100000</v>
      </c>
      <c r="K29" s="247">
        <f>(VLOOKUP(B29,Garden!$B$4:$D$19,3))^2-4-E29</f>
        <v>327</v>
      </c>
      <c r="L29" s="270">
        <f t="shared" si="5"/>
        <v>236.29183701194796</v>
      </c>
      <c r="M29" s="270">
        <f>VLOOKUP(B29,Overview!$A$4:$E$203,5)</f>
        <v>424.20191092986397</v>
      </c>
      <c r="N29" s="317">
        <f t="shared" si="13"/>
        <v>0.10000000000000009</v>
      </c>
      <c r="O29" s="247">
        <f t="shared" si="6"/>
        <v>34</v>
      </c>
      <c r="P29">
        <f t="shared" si="7"/>
        <v>1000</v>
      </c>
      <c r="Q29">
        <f t="shared" si="8"/>
        <v>3</v>
      </c>
      <c r="R29">
        <f t="shared" si="10"/>
        <v>333.33333333333331</v>
      </c>
      <c r="S29" s="247">
        <f t="shared" si="11"/>
        <v>147</v>
      </c>
      <c r="T29" s="247">
        <f>ROUND(C29/VLOOKUP(B29,Overview!$A$4:$F$203,6),1)</f>
        <v>10.1</v>
      </c>
      <c r="U29" s="247">
        <f>SUM(C$4:C29)</f>
        <v>10571200</v>
      </c>
      <c r="V29" s="247">
        <f>VLOOKUP(B29,Overview!A$4:L$202,12)</f>
        <v>29277650</v>
      </c>
      <c r="W29" s="264">
        <f t="shared" si="9"/>
        <v>0.3610672304641937</v>
      </c>
    </row>
    <row r="30" spans="1:23">
      <c r="A30" s="16">
        <f t="shared" si="0"/>
        <v>27</v>
      </c>
      <c r="B30" s="246">
        <f t="shared" si="14"/>
        <v>89</v>
      </c>
      <c r="C30" s="225">
        <f t="shared" si="1"/>
        <v>1200000</v>
      </c>
      <c r="D30">
        <f t="shared" si="12"/>
        <v>12000</v>
      </c>
      <c r="E30">
        <v>114</v>
      </c>
      <c r="F30" s="243">
        <f t="shared" si="2"/>
        <v>89</v>
      </c>
      <c r="H30" s="197">
        <f>MAX(ROUND(V30*0.35,0)-SUM(H$4:H29),C29*1.05)</f>
        <v>1155000</v>
      </c>
      <c r="I30">
        <f t="shared" si="3"/>
        <v>12015</v>
      </c>
      <c r="J30" s="247">
        <f t="shared" si="4"/>
        <v>1200000</v>
      </c>
      <c r="K30" s="247">
        <f>(VLOOKUP(B30,Garden!$B$4:$D$19,3))^2-4-E30</f>
        <v>366</v>
      </c>
      <c r="L30" s="270">
        <f t="shared" si="5"/>
        <v>249.69739743575016</v>
      </c>
      <c r="M30" s="270">
        <f>VLOOKUP(B30,Overview!$A$4:$E$203,5)</f>
        <v>456.44043770032238</v>
      </c>
      <c r="N30" s="317">
        <f t="shared" si="13"/>
        <v>9.0909090909090828E-2</v>
      </c>
      <c r="O30" s="247">
        <f t="shared" si="6"/>
        <v>33</v>
      </c>
      <c r="P30">
        <f t="shared" si="7"/>
        <v>1000</v>
      </c>
      <c r="Q30">
        <f t="shared" si="8"/>
        <v>4</v>
      </c>
      <c r="R30">
        <f t="shared" si="10"/>
        <v>250</v>
      </c>
      <c r="S30" s="247">
        <f t="shared" si="11"/>
        <v>154</v>
      </c>
      <c r="T30" s="247">
        <f>ROUND(C30/VLOOKUP(B30,Overview!$A$4:$F$203,6),1)</f>
        <v>10.7</v>
      </c>
      <c r="U30" s="247">
        <f>SUM(C$4:C30)</f>
        <v>11771200</v>
      </c>
      <c r="V30" s="247">
        <f>VLOOKUP(B30,Overview!A$4:L$202,12)</f>
        <v>32832490</v>
      </c>
      <c r="W30" s="264">
        <f t="shared" si="9"/>
        <v>0.35852291434490652</v>
      </c>
    </row>
    <row r="31" spans="1:23">
      <c r="A31" s="16">
        <f t="shared" si="0"/>
        <v>28</v>
      </c>
      <c r="B31" s="246">
        <f t="shared" si="14"/>
        <v>92</v>
      </c>
      <c r="C31" s="225">
        <f t="shared" si="1"/>
        <v>1300000</v>
      </c>
      <c r="D31">
        <f t="shared" si="12"/>
        <v>13000</v>
      </c>
      <c r="E31">
        <v>118</v>
      </c>
      <c r="F31" s="243">
        <f t="shared" si="2"/>
        <v>92</v>
      </c>
      <c r="H31" s="197">
        <f>MAX(ROUND(V31*0.35,0)-SUM(H$4:H30),C30*1.05)</f>
        <v>1260000</v>
      </c>
      <c r="I31">
        <f t="shared" si="3"/>
        <v>12834</v>
      </c>
      <c r="J31" s="247">
        <f t="shared" si="4"/>
        <v>1300000</v>
      </c>
      <c r="K31" s="247">
        <f>(VLOOKUP(B31,Garden!$B$4:$D$19,3))^2-4-E31</f>
        <v>362</v>
      </c>
      <c r="L31" s="270">
        <f t="shared" si="5"/>
        <v>259.83126075961951</v>
      </c>
      <c r="M31" s="270">
        <f>VLOOKUP(B31,Overview!$A$4:$E$203,5)</f>
        <v>481.01876517143131</v>
      </c>
      <c r="N31" s="317">
        <f t="shared" si="13"/>
        <v>8.3333333333333259E-2</v>
      </c>
      <c r="O31" s="247">
        <f t="shared" si="6"/>
        <v>36</v>
      </c>
      <c r="P31">
        <f t="shared" si="7"/>
        <v>1000</v>
      </c>
      <c r="Q31">
        <f t="shared" si="8"/>
        <v>3</v>
      </c>
      <c r="R31">
        <f t="shared" si="10"/>
        <v>333.33333333333331</v>
      </c>
      <c r="S31" s="247">
        <f t="shared" si="11"/>
        <v>161</v>
      </c>
      <c r="T31" s="247">
        <f>ROUND(C31/VLOOKUP(B31,Overview!$A$4:$F$203,6),1)</f>
        <v>11.2</v>
      </c>
      <c r="U31" s="247">
        <f>SUM(C$4:C31)</f>
        <v>13071200</v>
      </c>
      <c r="V31" s="247">
        <f>VLOOKUP(B31,Overview!A$4:L$202,12)</f>
        <v>35639081</v>
      </c>
      <c r="W31" s="264">
        <f t="shared" si="9"/>
        <v>0.3667659107147011</v>
      </c>
    </row>
    <row r="32" spans="1:23">
      <c r="A32" s="16">
        <f t="shared" si="0"/>
        <v>29</v>
      </c>
      <c r="B32" s="246">
        <f t="shared" si="14"/>
        <v>96</v>
      </c>
      <c r="C32" s="225">
        <f t="shared" si="1"/>
        <v>1400000</v>
      </c>
      <c r="D32">
        <f t="shared" si="12"/>
        <v>14000</v>
      </c>
      <c r="E32">
        <v>122</v>
      </c>
      <c r="F32" s="243">
        <f t="shared" si="2"/>
        <v>96</v>
      </c>
      <c r="H32" s="197">
        <f>MAX(ROUND(V32*0.35,0)-SUM(H$4:H31),C31*1.05)</f>
        <v>1365000</v>
      </c>
      <c r="I32">
        <f t="shared" si="3"/>
        <v>13968</v>
      </c>
      <c r="J32" s="247">
        <f t="shared" si="4"/>
        <v>1400000</v>
      </c>
      <c r="K32" s="247">
        <f>(VLOOKUP(B32,Garden!$B$4:$D$19,3))^2-4-E32</f>
        <v>403</v>
      </c>
      <c r="L32" s="270">
        <f t="shared" si="5"/>
        <v>273.44594497360856</v>
      </c>
      <c r="M32" s="270">
        <f>VLOOKUP(B32,Overview!$A$4:$E$203,5)</f>
        <v>514.28638284156136</v>
      </c>
      <c r="N32" s="317">
        <f t="shared" si="13"/>
        <v>7.6923076923076872E-2</v>
      </c>
      <c r="O32" s="247">
        <f t="shared" si="6"/>
        <v>35</v>
      </c>
      <c r="P32">
        <f t="shared" si="7"/>
        <v>1000</v>
      </c>
      <c r="Q32">
        <f t="shared" si="8"/>
        <v>4</v>
      </c>
      <c r="R32">
        <f t="shared" si="10"/>
        <v>250</v>
      </c>
      <c r="S32" s="247">
        <f t="shared" si="11"/>
        <v>167</v>
      </c>
      <c r="T32" s="247">
        <f>ROUND(C32/VLOOKUP(B32,Overview!$A$4:$F$203,6),1)</f>
        <v>11.6</v>
      </c>
      <c r="U32" s="247">
        <f>SUM(C$4:C32)</f>
        <v>14471200</v>
      </c>
      <c r="V32" s="247">
        <f>VLOOKUP(B32,Overview!A$4:L$202,12)</f>
        <v>39568464</v>
      </c>
      <c r="W32" s="264">
        <f t="shared" si="9"/>
        <v>0.36572559399829119</v>
      </c>
    </row>
    <row r="33" spans="1:23">
      <c r="A33" s="16">
        <f t="shared" si="0"/>
        <v>30</v>
      </c>
      <c r="B33" s="246">
        <f t="shared" si="14"/>
        <v>99</v>
      </c>
      <c r="C33" s="225">
        <f t="shared" si="1"/>
        <v>1500000</v>
      </c>
      <c r="D33">
        <f t="shared" si="12"/>
        <v>15000</v>
      </c>
      <c r="E33">
        <v>126</v>
      </c>
      <c r="F33" s="243">
        <f t="shared" si="2"/>
        <v>99</v>
      </c>
      <c r="H33" s="197">
        <f>MAX(ROUND(V33*0.35,0)-SUM(H$4:H32),C32*1.05)</f>
        <v>1470000</v>
      </c>
      <c r="I33">
        <f t="shared" si="3"/>
        <v>14850</v>
      </c>
      <c r="J33" s="247">
        <f t="shared" si="4"/>
        <v>1500000</v>
      </c>
      <c r="K33" s="247">
        <f>(VLOOKUP(B33,Garden!$B$4:$D$19,3))^2-4-E33</f>
        <v>399</v>
      </c>
      <c r="L33" s="270">
        <f t="shared" si="5"/>
        <v>283.73194901050567</v>
      </c>
      <c r="M33" s="270">
        <f>VLOOKUP(B33,Overview!$A$4:$E$203,5)</f>
        <v>539.58509239831687</v>
      </c>
      <c r="N33" s="317">
        <f t="shared" si="13"/>
        <v>7.1428571428571397E-2</v>
      </c>
      <c r="O33" s="247">
        <f t="shared" si="6"/>
        <v>38</v>
      </c>
      <c r="P33">
        <f t="shared" si="7"/>
        <v>1000</v>
      </c>
      <c r="Q33">
        <f t="shared" si="8"/>
        <v>3</v>
      </c>
      <c r="R33">
        <f t="shared" si="10"/>
        <v>333.33333333333331</v>
      </c>
      <c r="S33" s="247">
        <f t="shared" si="11"/>
        <v>173</v>
      </c>
      <c r="T33" s="247">
        <f>ROUND(C33/VLOOKUP(B33,Overview!$A$4:$F$203,6),1)</f>
        <v>12.1</v>
      </c>
      <c r="U33" s="247">
        <f>SUM(C$4:C33)</f>
        <v>15971200</v>
      </c>
      <c r="V33" s="247">
        <f>VLOOKUP(B33,Overview!A$4:L$202,12)</f>
        <v>42655968</v>
      </c>
      <c r="W33" s="264">
        <f t="shared" si="9"/>
        <v>0.37441888553554803</v>
      </c>
    </row>
    <row r="34" spans="1:23">
      <c r="A34" s="16">
        <f t="shared" si="0"/>
        <v>31</v>
      </c>
      <c r="B34" s="246">
        <f t="shared" si="14"/>
        <v>103</v>
      </c>
      <c r="C34" s="225">
        <f t="shared" si="1"/>
        <v>1600000</v>
      </c>
      <c r="D34">
        <f t="shared" si="12"/>
        <v>16000</v>
      </c>
      <c r="E34">
        <v>130</v>
      </c>
      <c r="F34" s="243">
        <f t="shared" si="2"/>
        <v>103</v>
      </c>
      <c r="H34" s="197">
        <f>MAX(ROUND(V34*0.35,0)-SUM(H$4:H33),C33*1.05)</f>
        <v>1575000</v>
      </c>
      <c r="I34">
        <f t="shared" si="3"/>
        <v>16068</v>
      </c>
      <c r="J34" s="247">
        <f t="shared" si="4"/>
        <v>1600000</v>
      </c>
      <c r="K34" s="247">
        <f>(VLOOKUP(B34,Garden!$B$4:$D$19,3))^2-4-E34</f>
        <v>442</v>
      </c>
      <c r="L34" s="270">
        <f t="shared" si="5"/>
        <v>297.54364397535107</v>
      </c>
      <c r="M34" s="270">
        <f>VLOOKUP(B34,Overview!$A$4:$E$203,5)</f>
        <v>573.75127439252094</v>
      </c>
      <c r="N34" s="317">
        <f t="shared" si="13"/>
        <v>6.6666666666666652E-2</v>
      </c>
      <c r="O34" s="247">
        <f t="shared" si="6"/>
        <v>36</v>
      </c>
      <c r="P34">
        <f t="shared" si="7"/>
        <v>1000</v>
      </c>
      <c r="Q34">
        <f t="shared" si="8"/>
        <v>4</v>
      </c>
      <c r="R34">
        <f t="shared" si="10"/>
        <v>250</v>
      </c>
      <c r="S34" s="247">
        <f t="shared" si="11"/>
        <v>178</v>
      </c>
      <c r="T34" s="247">
        <f>ROUND(C34/VLOOKUP(B34,Overview!$A$4:$F$203,6),1)</f>
        <v>12.5</v>
      </c>
      <c r="U34" s="247">
        <f>SUM(C$4:C34)</f>
        <v>17571200</v>
      </c>
      <c r="V34" s="247">
        <f>VLOOKUP(B34,Overview!A$4:L$202,12)</f>
        <v>46959909</v>
      </c>
      <c r="W34" s="264">
        <f t="shared" si="9"/>
        <v>0.37417448998889669</v>
      </c>
    </row>
    <row r="35" spans="1:23">
      <c r="A35" s="16">
        <f t="shared" si="0"/>
        <v>32</v>
      </c>
      <c r="B35" s="246">
        <f t="shared" si="14"/>
        <v>106</v>
      </c>
      <c r="C35" s="225">
        <f t="shared" si="1"/>
        <v>1700000</v>
      </c>
      <c r="D35">
        <f t="shared" si="12"/>
        <v>17000</v>
      </c>
      <c r="E35">
        <v>134</v>
      </c>
      <c r="F35" s="243">
        <f t="shared" si="2"/>
        <v>106</v>
      </c>
      <c r="H35" s="197">
        <f>MAX(ROUND(V35*0.35,0)-SUM(H$4:H34),C34*1.05)</f>
        <v>1680000</v>
      </c>
      <c r="I35">
        <f t="shared" si="3"/>
        <v>17013</v>
      </c>
      <c r="J35" s="247">
        <f t="shared" si="4"/>
        <v>1700000</v>
      </c>
      <c r="K35" s="247">
        <f>(VLOOKUP(B35,Garden!$B$4:$D$19,3))^2-4-E35</f>
        <v>438</v>
      </c>
      <c r="L35" s="270">
        <f t="shared" si="5"/>
        <v>307.97328546944101</v>
      </c>
      <c r="M35" s="270">
        <f>VLOOKUP(B35,Overview!$A$4:$E$203,5)</f>
        <v>599.681803342786</v>
      </c>
      <c r="N35" s="317">
        <f t="shared" si="13"/>
        <v>6.25E-2</v>
      </c>
      <c r="O35" s="247">
        <f t="shared" si="6"/>
        <v>39</v>
      </c>
      <c r="P35">
        <f t="shared" si="7"/>
        <v>1000</v>
      </c>
      <c r="Q35">
        <f t="shared" si="8"/>
        <v>3</v>
      </c>
      <c r="R35">
        <f t="shared" si="10"/>
        <v>333.33333333333331</v>
      </c>
      <c r="S35" s="247">
        <f t="shared" si="11"/>
        <v>183</v>
      </c>
      <c r="T35" s="247">
        <f>ROUND(C35/VLOOKUP(B35,Overview!$A$4:$F$203,6),1)</f>
        <v>12.8</v>
      </c>
      <c r="U35" s="247">
        <f>SUM(C$4:C35)</f>
        <v>19271200</v>
      </c>
      <c r="V35" s="247">
        <f>VLOOKUP(B35,Overview!A$4:L$202,12)</f>
        <v>50328339</v>
      </c>
      <c r="W35" s="264">
        <f t="shared" si="9"/>
        <v>0.38290951743907148</v>
      </c>
    </row>
    <row r="36" spans="1:23">
      <c r="A36" s="16">
        <f t="shared" si="0"/>
        <v>33</v>
      </c>
      <c r="B36" s="246">
        <f t="shared" si="14"/>
        <v>110</v>
      </c>
      <c r="C36" s="225">
        <f t="shared" si="1"/>
        <v>1800000</v>
      </c>
      <c r="D36">
        <f t="shared" si="12"/>
        <v>18500</v>
      </c>
      <c r="E36">
        <v>138</v>
      </c>
      <c r="F36" s="243">
        <f t="shared" si="2"/>
        <v>110</v>
      </c>
      <c r="H36" s="197">
        <f>MAX(ROUND(V36*0.35,0)-SUM(H$4:H35),C35*1.05)</f>
        <v>1785000</v>
      </c>
      <c r="I36">
        <f t="shared" si="3"/>
        <v>18315</v>
      </c>
      <c r="J36" s="247">
        <f t="shared" si="4"/>
        <v>1800000</v>
      </c>
      <c r="K36" s="247">
        <f>(VLOOKUP(B36,Garden!$B$4:$D$19,3))^2-4-E36</f>
        <v>434</v>
      </c>
      <c r="L36" s="270">
        <f t="shared" si="5"/>
        <v>321.9713510653454</v>
      </c>
      <c r="M36" s="270">
        <f>VLOOKUP(B36,Overview!$A$4:$E$203,5)</f>
        <v>634.63937547055207</v>
      </c>
      <c r="N36" s="317">
        <f t="shared" si="13"/>
        <v>5.8823529411764719E-2</v>
      </c>
      <c r="O36" s="247">
        <f t="shared" si="6"/>
        <v>43</v>
      </c>
      <c r="P36">
        <f t="shared" si="7"/>
        <v>1500</v>
      </c>
      <c r="Q36">
        <f t="shared" si="8"/>
        <v>4</v>
      </c>
      <c r="R36">
        <f t="shared" si="10"/>
        <v>375</v>
      </c>
      <c r="S36" s="247">
        <f t="shared" si="11"/>
        <v>193</v>
      </c>
      <c r="T36" s="247">
        <f>ROUND(C36/VLOOKUP(B36,Overview!$A$4:$F$203,6),1)</f>
        <v>13.2</v>
      </c>
      <c r="U36" s="247">
        <f>SUM(C$4:C36)</f>
        <v>21071200</v>
      </c>
      <c r="V36" s="247">
        <f>VLOOKUP(B36,Overview!A$4:L$202,12)</f>
        <v>55006855</v>
      </c>
      <c r="W36" s="264">
        <f t="shared" si="9"/>
        <v>0.38306498344615414</v>
      </c>
    </row>
    <row r="37" spans="1:23">
      <c r="A37" s="16">
        <f t="shared" si="0"/>
        <v>34</v>
      </c>
      <c r="B37" s="246">
        <f t="shared" si="14"/>
        <v>113</v>
      </c>
      <c r="C37" s="225">
        <f t="shared" si="1"/>
        <v>1900000</v>
      </c>
      <c r="D37">
        <f t="shared" si="12"/>
        <v>19500</v>
      </c>
      <c r="E37">
        <v>142</v>
      </c>
      <c r="F37" s="243">
        <f t="shared" si="2"/>
        <v>113</v>
      </c>
      <c r="H37" s="197">
        <f>MAX(ROUND(V37*0.35,0)-SUM(H$4:H36),C36*1.05)</f>
        <v>1890000</v>
      </c>
      <c r="I37">
        <f t="shared" si="3"/>
        <v>19323</v>
      </c>
      <c r="J37" s="247">
        <f t="shared" si="4"/>
        <v>1900000</v>
      </c>
      <c r="K37" s="247">
        <f>(VLOOKUP(B37,Garden!$B$4:$D$19,3))^2-4-E37</f>
        <v>430</v>
      </c>
      <c r="L37" s="270">
        <f t="shared" si="5"/>
        <v>332.5371267441393</v>
      </c>
      <c r="M37" s="270">
        <f>VLOOKUP(B37,Overview!$A$4:$E$203,5)</f>
        <v>661.12854700984929</v>
      </c>
      <c r="N37" s="317">
        <f t="shared" si="13"/>
        <v>5.555555555555558E-2</v>
      </c>
      <c r="O37" s="247">
        <f t="shared" si="6"/>
        <v>45</v>
      </c>
      <c r="P37">
        <f t="shared" si="7"/>
        <v>1000</v>
      </c>
      <c r="Q37">
        <f t="shared" si="8"/>
        <v>3</v>
      </c>
      <c r="R37">
        <f t="shared" si="10"/>
        <v>333.33333333333331</v>
      </c>
      <c r="S37" s="247">
        <f t="shared" si="11"/>
        <v>197</v>
      </c>
      <c r="T37" s="247">
        <f>ROUND(C37/VLOOKUP(B37,Overview!$A$4:$F$203,6),1)</f>
        <v>13.6</v>
      </c>
      <c r="U37" s="247">
        <f>SUM(C$4:C37)</f>
        <v>22971200</v>
      </c>
      <c r="V37" s="247">
        <f>VLOOKUP(B37,Overview!A$4:L$202,12)</f>
        <v>58656220</v>
      </c>
      <c r="W37" s="264">
        <f t="shared" si="9"/>
        <v>0.39162428127826854</v>
      </c>
    </row>
    <row r="38" spans="1:23">
      <c r="A38" s="16">
        <f t="shared" si="0"/>
        <v>35</v>
      </c>
      <c r="B38" s="246">
        <f t="shared" si="14"/>
        <v>117</v>
      </c>
      <c r="C38" s="225">
        <f t="shared" si="1"/>
        <v>2000000</v>
      </c>
      <c r="D38">
        <f t="shared" si="12"/>
        <v>20500</v>
      </c>
      <c r="E38">
        <v>146</v>
      </c>
      <c r="F38" s="243">
        <f t="shared" si="2"/>
        <v>117</v>
      </c>
      <c r="H38" s="197">
        <f>MAX(ROUND(V38*0.35,0)-SUM(H$4:H37),C37*1.05)</f>
        <v>1995000</v>
      </c>
      <c r="I38">
        <f t="shared" si="3"/>
        <v>20709</v>
      </c>
      <c r="J38" s="247">
        <f t="shared" si="4"/>
        <v>2000000</v>
      </c>
      <c r="K38" s="247">
        <f>(VLOOKUP(B38,Garden!$B$4:$D$19,3))^2-4-E38</f>
        <v>426</v>
      </c>
      <c r="L38" s="270">
        <f t="shared" si="5"/>
        <v>346.71213466203284</v>
      </c>
      <c r="M38" s="270">
        <f>VLOOKUP(B38,Overview!$A$4:$E$203,5)</f>
        <v>696.78843037550826</v>
      </c>
      <c r="N38" s="317">
        <f t="shared" si="13"/>
        <v>5.2631578947368363E-2</v>
      </c>
      <c r="O38" s="247">
        <f t="shared" si="6"/>
        <v>48</v>
      </c>
      <c r="P38">
        <f t="shared" si="7"/>
        <v>1000</v>
      </c>
      <c r="Q38">
        <f t="shared" si="8"/>
        <v>4</v>
      </c>
      <c r="R38">
        <f t="shared" si="10"/>
        <v>250</v>
      </c>
      <c r="S38" s="247">
        <f t="shared" si="11"/>
        <v>201</v>
      </c>
      <c r="T38" s="247">
        <f>ROUND(C38/VLOOKUP(B38,Overview!$A$4:$F$203,6),1)</f>
        <v>13.9</v>
      </c>
      <c r="U38" s="247">
        <f>SUM(C$4:C38)</f>
        <v>24971200</v>
      </c>
      <c r="V38" s="247">
        <f>VLOOKUP(B38,Overview!A$4:L$202,12)</f>
        <v>63709324</v>
      </c>
      <c r="W38" s="264">
        <f t="shared" si="9"/>
        <v>0.39195518696760934</v>
      </c>
    </row>
    <row r="39" spans="1:23">
      <c r="A39" s="16">
        <f t="shared" si="0"/>
        <v>36</v>
      </c>
      <c r="B39" s="246">
        <f t="shared" si="14"/>
        <v>120</v>
      </c>
      <c r="C39" s="225">
        <f t="shared" si="1"/>
        <v>2100000</v>
      </c>
      <c r="D39">
        <f t="shared" si="12"/>
        <v>22000</v>
      </c>
      <c r="E39">
        <v>150</v>
      </c>
      <c r="F39" s="243">
        <f t="shared" si="2"/>
        <v>120</v>
      </c>
      <c r="H39" s="197">
        <f>MAX(ROUND(V39*0.35,0)-SUM(H$4:H38),C38*1.05)</f>
        <v>2100000</v>
      </c>
      <c r="I39">
        <f t="shared" si="3"/>
        <v>21780</v>
      </c>
      <c r="J39" s="247">
        <f t="shared" si="4"/>
        <v>2100000</v>
      </c>
      <c r="K39" s="247">
        <f>(VLOOKUP(B39,Garden!$B$4:$D$19,3))^2-4-E39</f>
        <v>422</v>
      </c>
      <c r="L39" s="270">
        <f t="shared" si="5"/>
        <v>357.40736945012742</v>
      </c>
      <c r="M39" s="270">
        <f>VLOOKUP(B39,Overview!$A$4:$E$203,5)</f>
        <v>723.77508471520196</v>
      </c>
      <c r="N39" s="317">
        <f t="shared" si="13"/>
        <v>5.0000000000000044E-2</v>
      </c>
      <c r="O39" s="247">
        <f t="shared" si="6"/>
        <v>52</v>
      </c>
      <c r="P39">
        <f t="shared" si="7"/>
        <v>1500</v>
      </c>
      <c r="Q39">
        <f t="shared" si="8"/>
        <v>3</v>
      </c>
      <c r="R39">
        <f t="shared" si="10"/>
        <v>500</v>
      </c>
      <c r="S39" s="247">
        <f t="shared" si="11"/>
        <v>210</v>
      </c>
      <c r="T39" s="247">
        <f>ROUND(C39/VLOOKUP(B39,Overview!$A$4:$F$203,6),1)</f>
        <v>14.2</v>
      </c>
      <c r="U39" s="247">
        <f>SUM(C$4:C39)</f>
        <v>27071200</v>
      </c>
      <c r="V39" s="247">
        <f>VLOOKUP(B39,Overview!A$4:L$202,12)</f>
        <v>67639634</v>
      </c>
      <c r="W39" s="264">
        <f t="shared" si="9"/>
        <v>0.40022688472856016</v>
      </c>
    </row>
  </sheetData>
  <mergeCells count="3">
    <mergeCell ref="B1:E1"/>
    <mergeCell ref="B2:D2"/>
    <mergeCell ref="T2:W2"/>
  </mergeCells>
  <conditionalFormatting sqref="S4:S39">
    <cfRule type="cellIs" dxfId="133" priority="1" stopIfTrue="1" operator="lessThanOrEqual">
      <formula>5</formula>
    </cfRule>
    <cfRule type="cellIs" dxfId="132" priority="2" stopIfTrue="1" operator="lessThan">
      <formula>$B4</formula>
    </cfRule>
    <cfRule type="cellIs" dxfId="131" priority="3" stopIfTrue="1" operator="greaterThanOrEqual">
      <formula>$B4</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selection activeCell="G30" sqref="G30"/>
    </sheetView>
  </sheetViews>
  <sheetFormatPr baseColWidth="10" defaultRowHeight="15" x14ac:dyDescent="0"/>
  <cols>
    <col min="2" max="2" width="17.6640625" customWidth="1"/>
    <col min="6" max="6" width="12.83203125" customWidth="1"/>
    <col min="7" max="7" width="17.5" bestFit="1" customWidth="1"/>
    <col min="10" max="10" width="11.33203125" customWidth="1"/>
    <col min="11" max="11" width="13" customWidth="1"/>
  </cols>
  <sheetData>
    <row r="1" spans="1:12" ht="16" thickBot="1">
      <c r="A1" s="352" t="s">
        <v>183</v>
      </c>
      <c r="B1" s="352"/>
      <c r="C1" s="352"/>
      <c r="D1" s="352"/>
      <c r="E1" s="352"/>
      <c r="F1" s="352"/>
      <c r="G1" s="352"/>
      <c r="H1" s="352"/>
      <c r="I1" s="352"/>
      <c r="J1" s="352"/>
      <c r="K1" s="352"/>
      <c r="L1" s="352"/>
    </row>
    <row r="2" spans="1:12">
      <c r="A2" s="390" t="s">
        <v>154</v>
      </c>
      <c r="B2" s="392" t="s">
        <v>168</v>
      </c>
      <c r="C2" s="394" t="s">
        <v>155</v>
      </c>
      <c r="D2" s="396" t="s">
        <v>156</v>
      </c>
      <c r="E2" s="397"/>
      <c r="F2" s="398" t="s">
        <v>157</v>
      </c>
      <c r="G2" s="404" t="s">
        <v>162</v>
      </c>
      <c r="H2" s="400" t="s">
        <v>161</v>
      </c>
      <c r="I2" s="400" t="s">
        <v>158</v>
      </c>
      <c r="J2" s="402" t="s">
        <v>160</v>
      </c>
      <c r="K2" s="155"/>
      <c r="L2" s="389" t="s">
        <v>163</v>
      </c>
    </row>
    <row r="3" spans="1:12">
      <c r="A3" s="391"/>
      <c r="B3" s="393"/>
      <c r="C3" s="395"/>
      <c r="D3" s="147" t="s">
        <v>130</v>
      </c>
      <c r="E3" s="147" t="s">
        <v>152</v>
      </c>
      <c r="F3" s="399"/>
      <c r="G3" s="405"/>
      <c r="H3" s="401"/>
      <c r="I3" s="401"/>
      <c r="J3" s="403"/>
      <c r="K3" s="155"/>
      <c r="L3" s="389"/>
    </row>
    <row r="4" spans="1:12">
      <c r="A4" s="145">
        <v>1</v>
      </c>
      <c r="B4" s="144">
        <v>500</v>
      </c>
      <c r="C4" s="154" t="s">
        <v>159</v>
      </c>
      <c r="D4" s="147">
        <v>4</v>
      </c>
      <c r="E4" s="147">
        <v>250</v>
      </c>
      <c r="F4" s="175">
        <v>1</v>
      </c>
      <c r="G4" s="143">
        <f>SUM(E4:E4)</f>
        <v>250</v>
      </c>
      <c r="H4" s="148">
        <f>F4*G4-SUM(B4:B4)</f>
        <v>-250</v>
      </c>
      <c r="I4" s="149" t="s">
        <v>159</v>
      </c>
      <c r="J4" s="151">
        <f>H4</f>
        <v>-250</v>
      </c>
      <c r="K4" s="155"/>
      <c r="L4" s="156">
        <f>F4</f>
        <v>1</v>
      </c>
    </row>
    <row r="5" spans="1:12">
      <c r="A5" s="145">
        <v>2</v>
      </c>
      <c r="B5" s="144">
        <v>0</v>
      </c>
      <c r="C5" s="147">
        <v>999</v>
      </c>
      <c r="D5" s="147">
        <v>4</v>
      </c>
      <c r="E5" s="147">
        <v>250</v>
      </c>
      <c r="F5" s="175">
        <v>0.79369999999999996</v>
      </c>
      <c r="G5" s="143">
        <f>SUM(E4:E5)</f>
        <v>500</v>
      </c>
      <c r="H5" s="148">
        <f>F5*F4*G5-SUM(B4:B5)</f>
        <v>-103.15000000000003</v>
      </c>
      <c r="I5" s="150">
        <f>(F5)*G5-C5</f>
        <v>-602.15000000000009</v>
      </c>
      <c r="J5" s="152">
        <f>H5+(1-F5)*I5</f>
        <v>-227.37354500000009</v>
      </c>
      <c r="K5" s="155"/>
      <c r="L5" s="156">
        <f>F4*F5</f>
        <v>0.79369999999999996</v>
      </c>
    </row>
    <row r="6" spans="1:12">
      <c r="A6" s="145">
        <v>3</v>
      </c>
      <c r="B6" s="144">
        <v>0</v>
      </c>
      <c r="C6" s="147">
        <v>999</v>
      </c>
      <c r="D6" s="147">
        <v>4</v>
      </c>
      <c r="E6" s="147">
        <v>250</v>
      </c>
      <c r="F6" s="175">
        <v>0.79369999999999996</v>
      </c>
      <c r="G6" s="143">
        <f>SUM(E4:E6)</f>
        <v>750</v>
      </c>
      <c r="H6" s="148">
        <f>F6*F4*F5*G6-SUM(B4:B6)</f>
        <v>-27.530232500000011</v>
      </c>
      <c r="I6" s="150">
        <f>(F6)*G6-C6</f>
        <v>-403.72500000000002</v>
      </c>
      <c r="J6" s="152">
        <f>H6+(1-F6)*I6</f>
        <v>-110.81870000000004</v>
      </c>
      <c r="K6" s="155"/>
      <c r="L6" s="156">
        <f>F4*F5*F6</f>
        <v>0.62995968999999996</v>
      </c>
    </row>
    <row r="7" spans="1:12">
      <c r="A7" s="145">
        <v>4</v>
      </c>
      <c r="B7" s="144">
        <v>0</v>
      </c>
      <c r="C7" s="147">
        <v>999</v>
      </c>
      <c r="D7" s="147">
        <v>4</v>
      </c>
      <c r="E7" s="147">
        <v>250</v>
      </c>
      <c r="F7" s="175">
        <v>0.79369999999999996</v>
      </c>
      <c r="G7" s="143">
        <f>SUM(E4:E7)</f>
        <v>1000</v>
      </c>
      <c r="H7" s="148">
        <f>F7*F4*F5*F6*G7-SUM(B4:B7)</f>
        <v>-9.9404700006289204E-4</v>
      </c>
      <c r="I7" s="150">
        <f>(F7)*G7-C7</f>
        <v>-205.30000000000007</v>
      </c>
      <c r="J7" s="152">
        <f>H7+(1-F7)*I7</f>
        <v>-42.354384047000082</v>
      </c>
      <c r="K7" s="155"/>
      <c r="L7" s="176">
        <f>F4*F5*F6*F7</f>
        <v>0.49999900595299995</v>
      </c>
    </row>
    <row r="8" spans="1:12">
      <c r="C8" s="80"/>
      <c r="D8" s="80"/>
      <c r="E8" s="80"/>
      <c r="J8">
        <f>ROUND(SUM(J4:J7)/4,0)</f>
        <v>-158</v>
      </c>
    </row>
    <row r="9" spans="1:12">
      <c r="C9" s="80"/>
      <c r="D9" s="80"/>
      <c r="E9" s="80"/>
    </row>
    <row r="10" spans="1:12" ht="16" thickBot="1">
      <c r="A10" s="352" t="s">
        <v>184</v>
      </c>
      <c r="B10" s="352"/>
      <c r="C10" s="352"/>
      <c r="D10" s="352"/>
      <c r="E10" s="352"/>
      <c r="F10" s="352"/>
      <c r="G10" s="352"/>
      <c r="H10" s="352"/>
      <c r="I10" s="352"/>
      <c r="J10" s="352"/>
      <c r="K10" s="352"/>
      <c r="L10" s="352"/>
    </row>
    <row r="11" spans="1:12">
      <c r="A11" s="390" t="s">
        <v>154</v>
      </c>
      <c r="B11" s="392" t="s">
        <v>166</v>
      </c>
      <c r="C11" s="394" t="s">
        <v>155</v>
      </c>
      <c r="D11" s="396" t="s">
        <v>156</v>
      </c>
      <c r="E11" s="397"/>
      <c r="F11" s="398" t="s">
        <v>157</v>
      </c>
      <c r="G11" s="404" t="s">
        <v>162</v>
      </c>
      <c r="H11" s="400" t="s">
        <v>161</v>
      </c>
      <c r="I11" s="400" t="s">
        <v>158</v>
      </c>
      <c r="J11" s="402" t="s">
        <v>160</v>
      </c>
      <c r="K11" s="155"/>
      <c r="L11" s="389" t="s">
        <v>163</v>
      </c>
    </row>
    <row r="12" spans="1:12">
      <c r="A12" s="391"/>
      <c r="B12" s="393"/>
      <c r="C12" s="395"/>
      <c r="D12" s="147" t="s">
        <v>130</v>
      </c>
      <c r="E12" s="147" t="s">
        <v>152</v>
      </c>
      <c r="F12" s="399"/>
      <c r="G12" s="405"/>
      <c r="H12" s="401"/>
      <c r="I12" s="401"/>
      <c r="J12" s="403"/>
      <c r="K12" s="155"/>
      <c r="L12" s="389"/>
    </row>
    <row r="13" spans="1:12">
      <c r="A13" s="145">
        <v>1</v>
      </c>
      <c r="B13" s="144">
        <v>3000</v>
      </c>
      <c r="C13" s="154">
        <v>0</v>
      </c>
      <c r="D13" s="147">
        <v>4</v>
      </c>
      <c r="E13" s="147">
        <v>750</v>
      </c>
      <c r="F13" s="146">
        <v>1</v>
      </c>
      <c r="G13" s="143">
        <f>SUM(E13:E13)</f>
        <v>750</v>
      </c>
      <c r="H13" s="148">
        <f>F13*G13-SUM(B13:B13)</f>
        <v>-2250</v>
      </c>
      <c r="I13" s="149" t="s">
        <v>159</v>
      </c>
      <c r="J13" s="151">
        <f>H13</f>
        <v>-2250</v>
      </c>
      <c r="K13" s="155"/>
      <c r="L13" s="156">
        <f>F13</f>
        <v>1</v>
      </c>
    </row>
    <row r="14" spans="1:12">
      <c r="A14" s="145">
        <v>2</v>
      </c>
      <c r="B14" s="144">
        <v>0</v>
      </c>
      <c r="C14" s="147">
        <v>0</v>
      </c>
      <c r="D14" s="147">
        <v>4</v>
      </c>
      <c r="E14" s="147">
        <v>750</v>
      </c>
      <c r="F14" s="146">
        <v>1</v>
      </c>
      <c r="G14" s="143">
        <f>SUM(E13:E14)</f>
        <v>1500</v>
      </c>
      <c r="H14" s="148">
        <f>F14*F13*G14-SUM(B13:B14)</f>
        <v>-1500</v>
      </c>
      <c r="I14" s="150">
        <f>(F14)*G14-C14</f>
        <v>1500</v>
      </c>
      <c r="J14" s="152">
        <f>H14+(1-F14)*I14</f>
        <v>-1500</v>
      </c>
      <c r="K14" s="155"/>
      <c r="L14" s="156">
        <f>F13*F14</f>
        <v>1</v>
      </c>
    </row>
    <row r="15" spans="1:12">
      <c r="A15" s="145">
        <v>3</v>
      </c>
      <c r="B15" s="144">
        <v>0</v>
      </c>
      <c r="C15" s="147">
        <v>0</v>
      </c>
      <c r="D15" s="147">
        <v>4</v>
      </c>
      <c r="E15" s="147">
        <v>750</v>
      </c>
      <c r="F15" s="146">
        <v>1</v>
      </c>
      <c r="G15" s="143">
        <f>SUM(E13:E15)</f>
        <v>2250</v>
      </c>
      <c r="H15" s="148">
        <f>F15*F13*F14*G15-SUM(B13:B15)</f>
        <v>-750</v>
      </c>
      <c r="I15" s="150">
        <f>(F15)*G15-C15</f>
        <v>2250</v>
      </c>
      <c r="J15" s="152">
        <f>H15+(1-F15)*I15</f>
        <v>-750</v>
      </c>
      <c r="K15" s="155"/>
      <c r="L15" s="156">
        <f>F13*F14*F15</f>
        <v>1</v>
      </c>
    </row>
    <row r="16" spans="1:12">
      <c r="A16" s="145">
        <v>4</v>
      </c>
      <c r="B16" s="144">
        <v>0</v>
      </c>
      <c r="C16" s="147">
        <v>0</v>
      </c>
      <c r="D16" s="147">
        <v>4</v>
      </c>
      <c r="E16" s="147">
        <v>750</v>
      </c>
      <c r="F16" s="146">
        <v>1</v>
      </c>
      <c r="G16" s="143">
        <f>SUM(E13:E16)</f>
        <v>3000</v>
      </c>
      <c r="H16" s="148">
        <f>F16*F13*F14*F15*G16-SUM(B13:B16)</f>
        <v>0</v>
      </c>
      <c r="I16" s="150">
        <f>(F16)*G16-C16</f>
        <v>3000</v>
      </c>
      <c r="J16" s="152">
        <f>H16+(1-F16)*I16</f>
        <v>0</v>
      </c>
      <c r="K16" s="155"/>
      <c r="L16" s="156">
        <f>F13*F14*F15*F16</f>
        <v>1</v>
      </c>
    </row>
    <row r="17" spans="10:10">
      <c r="J17" s="153">
        <f>J16</f>
        <v>0</v>
      </c>
    </row>
  </sheetData>
  <mergeCells count="22">
    <mergeCell ref="A10:L10"/>
    <mergeCell ref="A1:L1"/>
    <mergeCell ref="H11:H12"/>
    <mergeCell ref="I11:I12"/>
    <mergeCell ref="J11:J12"/>
    <mergeCell ref="L11:L12"/>
    <mergeCell ref="A11:A12"/>
    <mergeCell ref="B11:B12"/>
    <mergeCell ref="C11:C12"/>
    <mergeCell ref="D11:E11"/>
    <mergeCell ref="F11:F12"/>
    <mergeCell ref="G11:G12"/>
    <mergeCell ref="G2:G3"/>
    <mergeCell ref="H2:H3"/>
    <mergeCell ref="I2:I3"/>
    <mergeCell ref="J2:J3"/>
    <mergeCell ref="L2:L3"/>
    <mergeCell ref="A2:A3"/>
    <mergeCell ref="B2:B3"/>
    <mergeCell ref="C2:C3"/>
    <mergeCell ref="D2:E2"/>
    <mergeCell ref="F2:F3"/>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03"/>
  <sheetViews>
    <sheetView workbookViewId="0">
      <pane ySplit="3" topLeftCell="A20" activePane="bottomLeft" state="frozen"/>
      <selection pane="bottomLeft" activeCell="B4" sqref="B4"/>
    </sheetView>
  </sheetViews>
  <sheetFormatPr baseColWidth="10" defaultRowHeight="15" x14ac:dyDescent="0"/>
  <cols>
    <col min="1" max="1" width="4.1640625" bestFit="1" customWidth="1"/>
    <col min="2" max="3" width="7.33203125" bestFit="1" customWidth="1"/>
    <col min="4" max="4" width="8.5" bestFit="1" customWidth="1"/>
    <col min="5" max="5" width="9" bestFit="1" customWidth="1"/>
    <col min="6" max="6" width="20.83203125" bestFit="1" customWidth="1"/>
    <col min="7" max="7" width="22" bestFit="1" customWidth="1"/>
    <col min="8" max="8" width="13" bestFit="1" customWidth="1"/>
    <col min="9" max="9" width="14.33203125" bestFit="1" customWidth="1"/>
    <col min="10" max="10" width="5" bestFit="1" customWidth="1"/>
    <col min="11" max="11" width="7.33203125" bestFit="1" customWidth="1"/>
    <col min="12" max="12" width="8.5" bestFit="1" customWidth="1"/>
    <col min="13" max="13" width="9" bestFit="1" customWidth="1"/>
    <col min="14" max="14" width="20.83203125" bestFit="1" customWidth="1"/>
    <col min="15" max="15" width="22" bestFit="1" customWidth="1"/>
    <col min="16" max="16" width="13" bestFit="1" customWidth="1"/>
    <col min="17" max="17" width="14.33203125" bestFit="1" customWidth="1"/>
    <col min="18" max="18" width="5" bestFit="1" customWidth="1"/>
    <col min="19" max="19" width="7.33203125" bestFit="1" customWidth="1"/>
    <col min="20" max="20" width="8.5" bestFit="1" customWidth="1"/>
    <col min="21" max="21" width="9" bestFit="1" customWidth="1"/>
    <col min="22" max="22" width="20.83203125" bestFit="1" customWidth="1"/>
    <col min="23" max="23" width="22" bestFit="1" customWidth="1"/>
    <col min="24" max="24" width="13" bestFit="1" customWidth="1"/>
    <col min="25" max="25" width="14.33203125" bestFit="1" customWidth="1"/>
    <col min="26" max="26" width="2.33203125" style="50" customWidth="1"/>
    <col min="28" max="28" width="12.33203125" customWidth="1"/>
  </cols>
  <sheetData>
    <row r="2" spans="1:28" ht="16" thickBot="1">
      <c r="A2" s="142"/>
      <c r="B2" s="224"/>
      <c r="C2" s="224"/>
      <c r="D2" s="224"/>
      <c r="E2" s="224"/>
      <c r="F2" s="224"/>
      <c r="G2" s="224"/>
      <c r="H2" s="224"/>
      <c r="I2" s="224"/>
      <c r="J2" s="224"/>
      <c r="K2" s="224"/>
      <c r="L2" s="224"/>
      <c r="M2" s="224"/>
      <c r="N2" s="224"/>
      <c r="O2" s="224"/>
      <c r="P2" s="224"/>
      <c r="Q2" s="224"/>
      <c r="R2" s="142"/>
      <c r="S2" s="142"/>
      <c r="T2" s="142"/>
      <c r="U2" s="142"/>
      <c r="V2" s="177"/>
      <c r="W2" s="177"/>
      <c r="X2" s="406" t="s">
        <v>164</v>
      </c>
      <c r="Y2" s="406"/>
      <c r="Z2" s="157"/>
      <c r="AA2" s="142"/>
      <c r="AB2" s="142"/>
    </row>
    <row r="3" spans="1:28" ht="16" thickBot="1">
      <c r="A3" s="235" t="s">
        <v>131</v>
      </c>
      <c r="B3" s="233" t="s">
        <v>541</v>
      </c>
      <c r="C3" s="231" t="s">
        <v>510</v>
      </c>
      <c r="D3" s="231" t="s">
        <v>511</v>
      </c>
      <c r="E3" s="231" t="s">
        <v>512</v>
      </c>
      <c r="F3" s="231" t="s">
        <v>513</v>
      </c>
      <c r="G3" s="231" t="s">
        <v>514</v>
      </c>
      <c r="H3" s="231" t="s">
        <v>515</v>
      </c>
      <c r="I3" s="232" t="s">
        <v>516</v>
      </c>
      <c r="J3" s="233" t="s">
        <v>517</v>
      </c>
      <c r="K3" s="231" t="s">
        <v>518</v>
      </c>
      <c r="L3" s="231" t="s">
        <v>519</v>
      </c>
      <c r="M3" s="231" t="s">
        <v>520</v>
      </c>
      <c r="N3" s="231" t="s">
        <v>521</v>
      </c>
      <c r="O3" s="231" t="s">
        <v>522</v>
      </c>
      <c r="P3" s="231" t="s">
        <v>523</v>
      </c>
      <c r="Q3" s="232" t="s">
        <v>524</v>
      </c>
      <c r="R3" s="233" t="s">
        <v>525</v>
      </c>
      <c r="S3" s="231" t="s">
        <v>526</v>
      </c>
      <c r="T3" s="231" t="s">
        <v>527</v>
      </c>
      <c r="U3" s="231" t="s">
        <v>528</v>
      </c>
      <c r="V3" s="231" t="s">
        <v>529</v>
      </c>
      <c r="W3" s="231" t="s">
        <v>530</v>
      </c>
      <c r="X3" s="231" t="s">
        <v>531</v>
      </c>
      <c r="Y3" s="232" t="s">
        <v>532</v>
      </c>
      <c r="Z3" s="157"/>
      <c r="AA3" s="142" t="s">
        <v>165</v>
      </c>
      <c r="AB3" s="142" t="s">
        <v>167</v>
      </c>
    </row>
    <row r="4" spans="1:28">
      <c r="A4" s="15">
        <f>IF(ISNUMBER(A3),A3,0)+1</f>
        <v>1</v>
      </c>
      <c r="B4" s="36">
        <v>3</v>
      </c>
      <c r="C4" s="37"/>
      <c r="D4" s="37"/>
      <c r="E4" s="37"/>
      <c r="F4" s="37"/>
      <c r="G4" s="37"/>
      <c r="H4" s="37"/>
      <c r="I4" s="69"/>
      <c r="J4" s="36"/>
      <c r="K4" s="37">
        <v>150</v>
      </c>
      <c r="L4" s="37"/>
      <c r="M4" s="37"/>
      <c r="N4" s="37"/>
      <c r="O4" s="37"/>
      <c r="P4" s="37"/>
      <c r="Q4" s="35"/>
      <c r="R4" s="234"/>
      <c r="S4" s="37"/>
      <c r="T4" s="37">
        <v>5</v>
      </c>
      <c r="U4" s="37"/>
      <c r="V4" s="37"/>
      <c r="W4" s="37"/>
      <c r="X4" s="37"/>
      <c r="Y4" s="35"/>
      <c r="AA4">
        <f>B4*5+C4+(D4*Others!$B$33)+E4*500+F4+(G4*Others!$B$33)+H4*I4+J4*5+K4+(L4*Others!$B$33)+M4*500+N4+(O4*Others!$B$33)+P4*Q4+R4*5+S4+(T4*Others!$B$33)+U4*500+V4+(W4*Others!$B$33)+X4*Y4</f>
        <v>415</v>
      </c>
      <c r="AB4">
        <f>ROUND(SUM(AA$4:AA4)/A4,0)</f>
        <v>415</v>
      </c>
    </row>
    <row r="5" spans="1:28">
      <c r="A5" s="16">
        <f t="shared" ref="A5:A68" si="0">IF(ISNUMBER(A4),A4,0)+1</f>
        <v>2</v>
      </c>
      <c r="B5" s="36">
        <v>7</v>
      </c>
      <c r="C5" s="37"/>
      <c r="D5" s="37"/>
      <c r="E5" s="37"/>
      <c r="F5" s="37"/>
      <c r="G5" s="37"/>
      <c r="H5" s="37"/>
      <c r="I5" s="69"/>
      <c r="J5" s="36">
        <v>5</v>
      </c>
      <c r="K5" s="37"/>
      <c r="L5" s="37"/>
      <c r="M5" s="37"/>
      <c r="N5" s="37"/>
      <c r="O5" s="37"/>
      <c r="P5" s="37"/>
      <c r="Q5" s="35"/>
      <c r="R5" s="234"/>
      <c r="S5" s="37"/>
      <c r="T5" s="37"/>
      <c r="U5" s="37"/>
      <c r="V5" s="37"/>
      <c r="W5" s="37"/>
      <c r="X5" s="37">
        <v>250</v>
      </c>
      <c r="Y5" s="35">
        <v>1</v>
      </c>
      <c r="AA5">
        <f>B5*10+C5+(D5*Others!$B$33)+E5*500+F5+(G5*Others!$B$33)+H5*I5+J5*10+K5+(L5*Others!$B$33)+M5*500+N5+(O5*Others!$B$33)+P5*Q5+R5*10+S5+(T5*Others!$B$33)+U5*500+V5+(W5*Others!$B$33)+X5*Y5</f>
        <v>370</v>
      </c>
      <c r="AB5">
        <f>ROUND(SUM(AA$4:AA5)/A5,0)</f>
        <v>393</v>
      </c>
    </row>
    <row r="6" spans="1:28">
      <c r="A6" s="16">
        <f t="shared" si="0"/>
        <v>3</v>
      </c>
      <c r="B6" s="36">
        <v>5</v>
      </c>
      <c r="C6" s="37"/>
      <c r="D6" s="37"/>
      <c r="E6" s="37"/>
      <c r="F6" s="37"/>
      <c r="G6" s="37"/>
      <c r="H6" s="37"/>
      <c r="I6" s="69"/>
      <c r="J6" s="36"/>
      <c r="K6" s="37">
        <v>1</v>
      </c>
      <c r="L6" s="37"/>
      <c r="M6" s="37"/>
      <c r="N6" s="37"/>
      <c r="O6" s="37"/>
      <c r="P6" s="37"/>
      <c r="Q6" s="35"/>
      <c r="R6" s="234"/>
      <c r="S6" s="37"/>
      <c r="T6" s="37"/>
      <c r="U6" s="37"/>
      <c r="V6" s="37">
        <v>1000</v>
      </c>
      <c r="W6" s="37"/>
      <c r="X6" s="37"/>
      <c r="Y6" s="35"/>
      <c r="AA6">
        <f>B6*10+C6+(D6*Others!$B$33)+E6*500+F6+(G6*Others!$B$33)+H6*I6+J6*10+K6+(L6*Others!$B$33)+M6*500+N6+(O6*Others!$B$33)+P6*Q6+R6*10+S6+(T6*Others!$B$33)+U6*500+V6+(W6*Others!$B$33)+X6*Y6</f>
        <v>1051</v>
      </c>
      <c r="AB6">
        <f>ROUND(SUM(AA$4:AA6)/A6,0)</f>
        <v>612</v>
      </c>
    </row>
    <row r="7" spans="1:28">
      <c r="A7" s="16">
        <f t="shared" si="0"/>
        <v>4</v>
      </c>
      <c r="B7" s="36"/>
      <c r="C7" s="37">
        <v>150</v>
      </c>
      <c r="D7" s="37"/>
      <c r="E7" s="37"/>
      <c r="F7" s="37"/>
      <c r="G7" s="37"/>
      <c r="H7" s="37"/>
      <c r="I7" s="69"/>
      <c r="J7" s="36"/>
      <c r="K7" s="37">
        <v>200</v>
      </c>
      <c r="L7" s="37"/>
      <c r="M7" s="37"/>
      <c r="N7" s="37"/>
      <c r="O7" s="37"/>
      <c r="P7" s="37"/>
      <c r="Q7" s="35"/>
      <c r="R7" s="234"/>
      <c r="S7" s="37"/>
      <c r="T7" s="37"/>
      <c r="U7" s="37"/>
      <c r="V7" s="37"/>
      <c r="W7" s="37"/>
      <c r="X7" s="37">
        <v>100</v>
      </c>
      <c r="Y7" s="35">
        <v>3</v>
      </c>
      <c r="AA7">
        <f>B7*10+C7+(D7*Others!$B$33)+E7*500+F7+(G7*Others!$B$33)+H7*I7+J7*10+K7+(L7*Others!$B$33)+M7*500+N7+(O7*Others!$B$33)+P7*Q7+R7*10+S7+(T7*Others!$B$33)+U7*500+V7+(W7*Others!$B$33)+X7*Y7</f>
        <v>650</v>
      </c>
      <c r="AB7">
        <f>ROUND(SUM(AA$4:AA7)/A7,0)</f>
        <v>622</v>
      </c>
    </row>
    <row r="8" spans="1:28">
      <c r="A8" s="16">
        <f t="shared" si="0"/>
        <v>5</v>
      </c>
      <c r="B8" s="36"/>
      <c r="C8" s="37"/>
      <c r="D8" s="37"/>
      <c r="E8" s="37"/>
      <c r="F8" s="37">
        <v>750</v>
      </c>
      <c r="G8" s="37"/>
      <c r="H8" s="37"/>
      <c r="I8" s="69"/>
      <c r="J8" s="36"/>
      <c r="K8" s="37">
        <v>50</v>
      </c>
      <c r="L8" s="37"/>
      <c r="M8" s="37"/>
      <c r="N8" s="37"/>
      <c r="O8" s="37"/>
      <c r="P8" s="37"/>
      <c r="Q8" s="35"/>
      <c r="R8" s="234"/>
      <c r="S8" s="37">
        <v>100</v>
      </c>
      <c r="T8" s="37"/>
      <c r="U8" s="37"/>
      <c r="V8" s="37"/>
      <c r="W8" s="37"/>
      <c r="X8" s="37"/>
      <c r="Y8" s="35"/>
      <c r="AA8">
        <f>B8*10+C8+(D8*Others!$B$33)+E8*500+F8+(G8*Others!$B$33)+H8*I8+J8*10+K8+(L8*Others!$B$33)+M8*500+N8+(O8*Others!$B$33)+P8*Q8+R8*10+S8+(T8*Others!$B$33)+U8*500+V8+(W8*Others!$B$33)+X8*Y8</f>
        <v>900</v>
      </c>
      <c r="AB8">
        <f>ROUND(SUM(AA$4:AA8)/A8,0)</f>
        <v>677</v>
      </c>
    </row>
    <row r="9" spans="1:28">
      <c r="A9" s="16">
        <f t="shared" si="0"/>
        <v>6</v>
      </c>
      <c r="B9" s="36"/>
      <c r="C9" s="37">
        <v>1</v>
      </c>
      <c r="D9" s="37"/>
      <c r="E9" s="37"/>
      <c r="F9" s="37"/>
      <c r="G9" s="37"/>
      <c r="H9" s="37"/>
      <c r="I9" s="69"/>
      <c r="J9" s="36"/>
      <c r="K9" s="37">
        <v>1</v>
      </c>
      <c r="L9" s="37"/>
      <c r="M9" s="37"/>
      <c r="N9" s="37"/>
      <c r="O9" s="37"/>
      <c r="P9" s="37"/>
      <c r="Q9" s="35"/>
      <c r="R9" s="234"/>
      <c r="S9" s="37">
        <v>5</v>
      </c>
      <c r="T9" s="37"/>
      <c r="U9" s="37"/>
      <c r="V9" s="37"/>
      <c r="W9" s="37"/>
      <c r="X9" s="37"/>
      <c r="Y9" s="35"/>
      <c r="AA9">
        <f>B9*10+C9+(D9*Others!$B$33)+E9*500+F9+(G9*Others!$B$33)+H9*I9+J9*10+K9+(L9*Others!$B$33)+M9*500+N9+(O9*Others!$B$33)+P9*Q9+R9*10+S9+(T9*Others!$B$33)+U9*500+V9+(W9*Others!$B$33)+X9*Y9</f>
        <v>7</v>
      </c>
      <c r="AB9">
        <f>ROUND(SUM(AA$4:AA9)/A9,0)</f>
        <v>566</v>
      </c>
    </row>
    <row r="10" spans="1:28">
      <c r="A10" s="16">
        <f t="shared" si="0"/>
        <v>7</v>
      </c>
      <c r="B10" s="36">
        <v>10</v>
      </c>
      <c r="C10" s="37"/>
      <c r="D10" s="37"/>
      <c r="E10" s="37"/>
      <c r="F10" s="37"/>
      <c r="G10" s="37"/>
      <c r="H10" s="37"/>
      <c r="I10" s="69"/>
      <c r="J10" s="36"/>
      <c r="K10" s="37">
        <v>100</v>
      </c>
      <c r="L10" s="37"/>
      <c r="M10" s="37"/>
      <c r="N10" s="37"/>
      <c r="O10" s="37"/>
      <c r="P10" s="37"/>
      <c r="Q10" s="35"/>
      <c r="R10" s="234"/>
      <c r="S10" s="37">
        <v>50</v>
      </c>
      <c r="T10" s="37"/>
      <c r="U10" s="37"/>
      <c r="V10" s="37"/>
      <c r="W10" s="37"/>
      <c r="X10" s="37"/>
      <c r="Y10" s="35"/>
      <c r="AA10">
        <f>B10*10+C10+(D10*Others!$B$33)+E10*500+F10+(G10*Others!$B$33)+H10*I10+J10*10+K10+(L10*Others!$B$33)+M10*500+N10+(O10*Others!$B$33)+P10*Q10+R10*10+S10+(T10*Others!$B$33)+U10*500+V10+(W10*Others!$B$33)+X10*Y10</f>
        <v>250</v>
      </c>
      <c r="AB10">
        <f>ROUND(SUM(AA$4:AA10)/A10,0)</f>
        <v>520</v>
      </c>
    </row>
    <row r="11" spans="1:28">
      <c r="A11" s="16">
        <f t="shared" si="0"/>
        <v>8</v>
      </c>
      <c r="B11" s="36"/>
      <c r="C11" s="37"/>
      <c r="D11" s="37">
        <v>10</v>
      </c>
      <c r="E11" s="37"/>
      <c r="F11" s="37"/>
      <c r="G11" s="37"/>
      <c r="H11" s="37"/>
      <c r="I11" s="69"/>
      <c r="J11" s="36"/>
      <c r="K11" s="37"/>
      <c r="L11" s="37"/>
      <c r="M11" s="37">
        <v>1</v>
      </c>
      <c r="N11" s="37"/>
      <c r="O11" s="37"/>
      <c r="P11" s="37"/>
      <c r="Q11" s="35"/>
      <c r="R11" s="234">
        <v>5</v>
      </c>
      <c r="S11" s="37"/>
      <c r="T11" s="37"/>
      <c r="U11" s="37"/>
      <c r="V11" s="37"/>
      <c r="W11" s="37"/>
      <c r="X11" s="37"/>
      <c r="Y11" s="35"/>
      <c r="AA11">
        <f>B11*10+C11+(D11*Others!$B$33)+E11*500+F11+(G11*Others!$B$33)+H11*I11+J11*10+K11+(L11*Others!$B$33)+M11*500+N11+(O11*Others!$B$33)+P11*Q11+R11*10+S11+(T11*Others!$B$33)+U11*500+V11+(W11*Others!$B$33)+X11*Y11</f>
        <v>1050</v>
      </c>
      <c r="AB11">
        <f>ROUND(SUM(AA$4:AA11)/A11,0)</f>
        <v>587</v>
      </c>
    </row>
    <row r="12" spans="1:28">
      <c r="A12" s="16">
        <f t="shared" si="0"/>
        <v>9</v>
      </c>
      <c r="B12" s="36"/>
      <c r="C12" s="37">
        <v>1</v>
      </c>
      <c r="D12" s="37"/>
      <c r="E12" s="37"/>
      <c r="F12" s="37"/>
      <c r="G12" s="37"/>
      <c r="H12" s="37"/>
      <c r="I12" s="69"/>
      <c r="J12" s="36"/>
      <c r="K12" s="37">
        <v>1</v>
      </c>
      <c r="L12" s="37"/>
      <c r="M12" s="37"/>
      <c r="N12" s="37"/>
      <c r="O12" s="37"/>
      <c r="P12" s="37"/>
      <c r="Q12" s="35"/>
      <c r="R12" s="234"/>
      <c r="S12" s="37">
        <v>1</v>
      </c>
      <c r="T12" s="37"/>
      <c r="U12" s="37"/>
      <c r="V12" s="37"/>
      <c r="W12" s="37"/>
      <c r="X12" s="37"/>
      <c r="Y12" s="35"/>
      <c r="AA12">
        <f>B12*10+C12+(D12*Others!$B$33)+E12*500+F12+(G12*Others!$B$33)+H12*I12+J12*10+K12+(L12*Others!$B$33)+M12*500+N12+(O12*Others!$B$33)+P12*Q12+R12*10+S12+(T12*Others!$B$33)+U12*500+V12+(W12*Others!$B$33)+X12*Y12</f>
        <v>3</v>
      </c>
      <c r="AB12">
        <f>ROUND(SUM(AA$4:AA12)/A12,0)</f>
        <v>522</v>
      </c>
    </row>
    <row r="13" spans="1:28">
      <c r="A13" s="16">
        <f t="shared" si="0"/>
        <v>10</v>
      </c>
      <c r="B13" s="36">
        <v>1</v>
      </c>
      <c r="C13" s="37"/>
      <c r="D13" s="37"/>
      <c r="E13" s="37"/>
      <c r="F13" s="37"/>
      <c r="G13" s="37"/>
      <c r="H13" s="37"/>
      <c r="I13" s="69"/>
      <c r="J13" s="36">
        <v>1</v>
      </c>
      <c r="K13" s="37"/>
      <c r="L13" s="37"/>
      <c r="M13" s="37"/>
      <c r="N13" s="37"/>
      <c r="O13" s="37"/>
      <c r="P13" s="37"/>
      <c r="Q13" s="35"/>
      <c r="R13" s="234">
        <v>1</v>
      </c>
      <c r="S13" s="37"/>
      <c r="T13" s="37"/>
      <c r="U13" s="37"/>
      <c r="V13" s="37"/>
      <c r="W13" s="37"/>
      <c r="X13" s="37"/>
      <c r="Y13" s="35"/>
      <c r="AA13">
        <f>B13*10+C13+(D13*Others!$B$33)+E13*500+F13+(G13*Others!$B$33)+H13*I13+J13*10+K13+(L13*Others!$B$33)+M13*500+N13+(O13*Others!$B$33)+P13*Q13+R13*10+S13+(T13*Others!$B$33)+U13*500+V13+(W13*Others!$B$33)+X13*Y13</f>
        <v>30</v>
      </c>
      <c r="AB13">
        <f>ROUND(SUM(AA$4:AA13)/A13,0)</f>
        <v>473</v>
      </c>
    </row>
    <row r="14" spans="1:28">
      <c r="A14" s="16">
        <f t="shared" si="0"/>
        <v>11</v>
      </c>
      <c r="B14" s="36"/>
      <c r="C14" s="37"/>
      <c r="D14" s="37"/>
      <c r="E14" s="37"/>
      <c r="F14" s="37"/>
      <c r="G14" s="37"/>
      <c r="H14" s="37">
        <v>100</v>
      </c>
      <c r="I14" s="69">
        <v>1</v>
      </c>
      <c r="J14" s="36"/>
      <c r="K14" s="37">
        <v>5</v>
      </c>
      <c r="L14" s="37"/>
      <c r="M14" s="37"/>
      <c r="N14" s="37"/>
      <c r="O14" s="37"/>
      <c r="P14" s="37"/>
      <c r="Q14" s="35"/>
      <c r="R14" s="234">
        <v>5</v>
      </c>
      <c r="S14" s="37"/>
      <c r="T14" s="37"/>
      <c r="U14" s="37"/>
      <c r="V14" s="37"/>
      <c r="W14" s="37"/>
      <c r="X14" s="37"/>
      <c r="Y14" s="35"/>
      <c r="AA14">
        <f>B14*10+C14+(D14*Others!$B$33)+E14*500+F14+(G14*Others!$B$33)+H14*I14+J14*10+K14+(L14*Others!$B$33)+M14*500+N14+(O14*Others!$B$33)+P14*Q14+R14*10+S14+(T14*Others!$B$33)+U14*500+V14+(W14*Others!$B$33)+X14*Y14</f>
        <v>155</v>
      </c>
      <c r="AB14">
        <f>ROUND(SUM(AA$4:AA14)/A14,0)</f>
        <v>444</v>
      </c>
    </row>
    <row r="15" spans="1:28">
      <c r="A15" s="16">
        <f t="shared" si="0"/>
        <v>12</v>
      </c>
      <c r="B15" s="36">
        <v>1</v>
      </c>
      <c r="C15" s="37"/>
      <c r="D15" s="37"/>
      <c r="E15" s="37"/>
      <c r="F15" s="37"/>
      <c r="G15" s="37"/>
      <c r="H15" s="37"/>
      <c r="I15" s="69"/>
      <c r="J15" s="36">
        <v>1</v>
      </c>
      <c r="K15" s="37"/>
      <c r="L15" s="37"/>
      <c r="M15" s="37"/>
      <c r="N15" s="37"/>
      <c r="O15" s="37"/>
      <c r="P15" s="37"/>
      <c r="Q15" s="35"/>
      <c r="R15" s="234"/>
      <c r="S15" s="37">
        <v>1</v>
      </c>
      <c r="T15" s="37"/>
      <c r="U15" s="37"/>
      <c r="V15" s="37"/>
      <c r="W15" s="37"/>
      <c r="X15" s="37"/>
      <c r="Y15" s="35"/>
      <c r="AA15">
        <f>B15*10+C15+(D15*Others!$B$33)+E15*500+F15+(G15*Others!$B$33)+H15*I15+J15*10+K15+(L15*Others!$B$33)+M15*500+N15+(O15*Others!$B$33)+P15*Q15+R15*10+S15+(T15*Others!$B$33)+U15*500+V15+(W15*Others!$B$33)+X15*Y15</f>
        <v>21</v>
      </c>
      <c r="AB15">
        <f>ROUND(SUM(AA$4:AA15)/A15,0)</f>
        <v>409</v>
      </c>
    </row>
    <row r="16" spans="1:28">
      <c r="A16" s="16">
        <f t="shared" si="0"/>
        <v>13</v>
      </c>
      <c r="B16" s="36">
        <v>1</v>
      </c>
      <c r="C16" s="37"/>
      <c r="D16" s="37"/>
      <c r="E16" s="37"/>
      <c r="F16" s="37"/>
      <c r="G16" s="37"/>
      <c r="H16" s="37"/>
      <c r="I16" s="69"/>
      <c r="J16" s="36"/>
      <c r="K16" s="37">
        <v>1</v>
      </c>
      <c r="L16" s="37"/>
      <c r="M16" s="37"/>
      <c r="N16" s="37"/>
      <c r="O16" s="37"/>
      <c r="P16" s="37"/>
      <c r="Q16" s="35"/>
      <c r="R16" s="234"/>
      <c r="S16" s="37">
        <v>1</v>
      </c>
      <c r="T16" s="37"/>
      <c r="U16" s="37"/>
      <c r="V16" s="37"/>
      <c r="W16" s="37"/>
      <c r="X16" s="37"/>
      <c r="Y16" s="35"/>
      <c r="AA16">
        <f>B16*10+C16+(D16*Others!$B$33)+E16*500+F16+(G16*Others!$B$33)+H16*I16+J16*10+K16+(L16*Others!$B$33)+M16*500+N16+(O16*Others!$B$33)+P16*Q16+R16*10+S16+(T16*Others!$B$33)+U16*500+V16+(W16*Others!$B$33)+X16*Y16</f>
        <v>12</v>
      </c>
      <c r="AB16">
        <f>ROUND(SUM(AA$4:AA16)/A16,0)</f>
        <v>378</v>
      </c>
    </row>
    <row r="17" spans="1:28">
      <c r="A17" s="16">
        <f t="shared" si="0"/>
        <v>14</v>
      </c>
      <c r="B17" s="36"/>
      <c r="C17" s="37"/>
      <c r="D17" s="37"/>
      <c r="E17" s="37"/>
      <c r="F17" s="37"/>
      <c r="G17" s="37"/>
      <c r="H17" s="37">
        <v>25</v>
      </c>
      <c r="I17" s="69">
        <v>3</v>
      </c>
      <c r="J17" s="36"/>
      <c r="K17" s="37">
        <v>10</v>
      </c>
      <c r="L17" s="37"/>
      <c r="M17" s="37"/>
      <c r="N17" s="37"/>
      <c r="O17" s="37"/>
      <c r="P17" s="37"/>
      <c r="Q17" s="35"/>
      <c r="R17" s="234"/>
      <c r="S17" s="37">
        <v>50</v>
      </c>
      <c r="T17" s="37"/>
      <c r="U17" s="37"/>
      <c r="V17" s="37"/>
      <c r="W17" s="37"/>
      <c r="X17" s="37"/>
      <c r="Y17" s="35"/>
      <c r="AA17">
        <f>B17*10+C17+(D17*Others!$B$33)+E17*500+F17+(G17*Others!$B$33)+H17*I17+J17*10+K17+(L17*Others!$B$33)+M17*500+N17+(O17*Others!$B$33)+P17*Q17+R17*10+S17+(T17*Others!$B$33)+U17*500+V17+(W17*Others!$B$33)+X17*Y17</f>
        <v>135</v>
      </c>
      <c r="AB17">
        <f>ROUND(SUM(AA$4:AA17)/A17,0)</f>
        <v>361</v>
      </c>
    </row>
    <row r="18" spans="1:28">
      <c r="A18" s="16">
        <f t="shared" si="0"/>
        <v>15</v>
      </c>
      <c r="B18" s="36"/>
      <c r="C18" s="37">
        <v>75</v>
      </c>
      <c r="D18" s="37"/>
      <c r="E18" s="37"/>
      <c r="F18" s="37"/>
      <c r="G18" s="37"/>
      <c r="H18" s="37"/>
      <c r="I18" s="69"/>
      <c r="J18" s="36"/>
      <c r="K18" s="37">
        <v>50</v>
      </c>
      <c r="L18" s="37"/>
      <c r="M18" s="37"/>
      <c r="N18" s="37"/>
      <c r="O18" s="37"/>
      <c r="P18" s="37"/>
      <c r="Q18" s="35"/>
      <c r="R18" s="234"/>
      <c r="S18" s="37">
        <v>100</v>
      </c>
      <c r="T18" s="37"/>
      <c r="U18" s="37"/>
      <c r="V18" s="37"/>
      <c r="W18" s="37"/>
      <c r="X18" s="37"/>
      <c r="Y18" s="35"/>
      <c r="AA18">
        <f>B18*10+C18+(D18*Others!$B$33)+E18*500+F18+(G18*Others!$B$33)+H18*I18+J18*10+K18+(L18*Others!$B$33)+M18*500+N18+(O18*Others!$B$33)+P18*Q18+R18*10+S18+(T18*Others!$B$33)+U18*500+V18+(W18*Others!$B$33)+X18*Y18</f>
        <v>225</v>
      </c>
      <c r="AB18">
        <f>ROUND(SUM(AA$4:AA18)/A18,0)</f>
        <v>352</v>
      </c>
    </row>
    <row r="19" spans="1:28">
      <c r="A19" s="16">
        <f t="shared" si="0"/>
        <v>16</v>
      </c>
      <c r="B19" s="36">
        <v>5</v>
      </c>
      <c r="C19" s="37"/>
      <c r="D19" s="37"/>
      <c r="E19" s="37"/>
      <c r="F19" s="37"/>
      <c r="G19" s="37"/>
      <c r="H19" s="37"/>
      <c r="I19" s="69"/>
      <c r="J19" s="36"/>
      <c r="K19" s="37">
        <v>100</v>
      </c>
      <c r="L19" s="37"/>
      <c r="M19" s="37"/>
      <c r="N19" s="37"/>
      <c r="O19" s="37"/>
      <c r="P19" s="37"/>
      <c r="Q19" s="35"/>
      <c r="R19" s="234">
        <v>3</v>
      </c>
      <c r="S19" s="37"/>
      <c r="T19" s="37"/>
      <c r="U19" s="37"/>
      <c r="V19" s="37"/>
      <c r="W19" s="37"/>
      <c r="X19" s="37"/>
      <c r="Y19" s="35"/>
      <c r="AA19">
        <f>B19*10+C19+(D19*Others!$B$33)+E19*500+F19+(G19*Others!$B$33)+H19*I19+J19*10+K19+(L19*Others!$B$33)+M19*500+N19+(O19*Others!$B$33)+P19*Q19+R19*10+S19+(T19*Others!$B$33)+U19*500+V19+(W19*Others!$B$33)+X19*Y19</f>
        <v>180</v>
      </c>
      <c r="AB19">
        <f>ROUND(SUM(AA$4:AA19)/A19,0)</f>
        <v>341</v>
      </c>
    </row>
    <row r="20" spans="1:28">
      <c r="A20" s="16">
        <f t="shared" si="0"/>
        <v>17</v>
      </c>
      <c r="B20" s="36">
        <v>6</v>
      </c>
      <c r="C20" s="37"/>
      <c r="D20" s="37"/>
      <c r="E20" s="37"/>
      <c r="F20" s="37"/>
      <c r="G20" s="37"/>
      <c r="H20" s="37"/>
      <c r="I20" s="69"/>
      <c r="J20" s="36">
        <v>6</v>
      </c>
      <c r="K20" s="37"/>
      <c r="L20" s="37"/>
      <c r="M20" s="37"/>
      <c r="N20" s="37"/>
      <c r="O20" s="37"/>
      <c r="P20" s="37"/>
      <c r="Q20" s="35"/>
      <c r="R20" s="234">
        <v>6</v>
      </c>
      <c r="S20" s="37"/>
      <c r="T20" s="37"/>
      <c r="U20" s="37"/>
      <c r="V20" s="37"/>
      <c r="W20" s="37"/>
      <c r="X20" s="37"/>
      <c r="Y20" s="35"/>
      <c r="AA20">
        <f>B20*10+C20+(D20*Others!$B$33)+E20*500+F20+(G20*Others!$B$33)+H20*I20+J20*10+K20+(L20*Others!$B$33)+M20*500+N20+(O20*Others!$B$33)+P20*Q20+R20*10+S20+(T20*Others!$B$33)+U20*500+V20+(W20*Others!$B$33)+X20*Y20</f>
        <v>180</v>
      </c>
      <c r="AB20">
        <f>ROUND(SUM(AA$4:AA20)/A20,0)</f>
        <v>331</v>
      </c>
    </row>
    <row r="21" spans="1:28">
      <c r="A21" s="16">
        <f t="shared" si="0"/>
        <v>18</v>
      </c>
      <c r="B21" s="36">
        <v>1</v>
      </c>
      <c r="C21" s="37"/>
      <c r="D21" s="37"/>
      <c r="E21" s="37"/>
      <c r="F21" s="37"/>
      <c r="G21" s="37"/>
      <c r="H21" s="37"/>
      <c r="I21" s="69"/>
      <c r="J21" s="36">
        <v>1</v>
      </c>
      <c r="K21" s="37"/>
      <c r="L21" s="37"/>
      <c r="M21" s="37"/>
      <c r="N21" s="37"/>
      <c r="O21" s="37"/>
      <c r="P21" s="37"/>
      <c r="Q21" s="35"/>
      <c r="R21" s="234"/>
      <c r="S21" s="37">
        <v>200</v>
      </c>
      <c r="T21" s="37"/>
      <c r="U21" s="37"/>
      <c r="V21" s="37"/>
      <c r="W21" s="37"/>
      <c r="X21" s="37"/>
      <c r="Y21" s="35"/>
      <c r="AA21">
        <f>B21*10+C21+(D21*Others!$B$33)+E21*500+F21+(G21*Others!$B$33)+H21*I21+J21*10+K21+(L21*Others!$B$33)+M21*500+N21+(O21*Others!$B$33)+P21*Q21+R21*10+S21+(T21*Others!$B$33)+U21*500+V21+(W21*Others!$B$33)+X21*Y21</f>
        <v>220</v>
      </c>
      <c r="AB21">
        <f>ROUND(SUM(AA$4:AA21)/A21,0)</f>
        <v>325</v>
      </c>
    </row>
    <row r="22" spans="1:28">
      <c r="A22" s="16">
        <f t="shared" si="0"/>
        <v>19</v>
      </c>
      <c r="B22" s="36"/>
      <c r="C22" s="37">
        <v>50</v>
      </c>
      <c r="D22" s="37"/>
      <c r="E22" s="37"/>
      <c r="F22" s="37"/>
      <c r="G22" s="37"/>
      <c r="H22" s="37"/>
      <c r="I22" s="69"/>
      <c r="J22" s="36"/>
      <c r="K22" s="37">
        <v>50</v>
      </c>
      <c r="L22" s="37"/>
      <c r="M22" s="37"/>
      <c r="N22" s="37"/>
      <c r="O22" s="37"/>
      <c r="P22" s="37"/>
      <c r="Q22" s="35"/>
      <c r="R22" s="234"/>
      <c r="S22" s="37">
        <v>50</v>
      </c>
      <c r="T22" s="37"/>
      <c r="U22" s="37"/>
      <c r="V22" s="37"/>
      <c r="W22" s="37"/>
      <c r="X22" s="37"/>
      <c r="Y22" s="35"/>
      <c r="AA22">
        <f>B22*10+C22+(D22*Others!$B$33)+E22*500+F22+(G22*Others!$B$33)+H22*I22+J22*10+K22+(L22*Others!$B$33)+M22*500+N22+(O22*Others!$B$33)+P22*Q22+R22*10+S22+(T22*Others!$B$33)+U22*500+V22+(W22*Others!$B$33)+X22*Y22</f>
        <v>150</v>
      </c>
      <c r="AB22">
        <f>ROUND(SUM(AA$4:AA22)/A22,0)</f>
        <v>316</v>
      </c>
    </row>
    <row r="23" spans="1:28">
      <c r="A23" s="16">
        <f t="shared" si="0"/>
        <v>20</v>
      </c>
      <c r="B23" s="36"/>
      <c r="C23" s="37">
        <v>1</v>
      </c>
      <c r="D23" s="37"/>
      <c r="E23" s="37"/>
      <c r="F23" s="37"/>
      <c r="G23" s="37"/>
      <c r="H23" s="37"/>
      <c r="I23" s="69"/>
      <c r="J23" s="36"/>
      <c r="K23" s="37">
        <v>5</v>
      </c>
      <c r="L23" s="37"/>
      <c r="M23" s="37"/>
      <c r="N23" s="37"/>
      <c r="O23" s="37"/>
      <c r="P23" s="37"/>
      <c r="Q23" s="35"/>
      <c r="R23" s="234"/>
      <c r="S23" s="37">
        <v>10</v>
      </c>
      <c r="T23" s="37"/>
      <c r="U23" s="37"/>
      <c r="V23" s="37"/>
      <c r="W23" s="37"/>
      <c r="X23" s="37"/>
      <c r="Y23" s="35"/>
      <c r="AA23">
        <f>B23*10+C23+(D23*Others!$B$33)+E23*500+F23+(G23*Others!$B$33)+H23*I23+J23*10+K23+(L23*Others!$B$33)+M23*500+N23+(O23*Others!$B$33)+P23*Q23+R23*10+S23+(T23*Others!$B$33)+U23*500+V23+(W23*Others!$B$33)+X23*Y23</f>
        <v>16</v>
      </c>
      <c r="AB23">
        <f>ROUND(SUM(AA$4:AA23)/A23,0)</f>
        <v>301</v>
      </c>
    </row>
    <row r="24" spans="1:28">
      <c r="A24" s="16">
        <f t="shared" si="0"/>
        <v>21</v>
      </c>
      <c r="B24" s="36"/>
      <c r="C24" s="37">
        <v>10</v>
      </c>
      <c r="D24" s="37"/>
      <c r="E24" s="37"/>
      <c r="F24" s="37"/>
      <c r="G24" s="37"/>
      <c r="H24" s="37"/>
      <c r="I24" s="69"/>
      <c r="J24" s="36">
        <v>10</v>
      </c>
      <c r="K24" s="37"/>
      <c r="L24" s="37"/>
      <c r="M24" s="37"/>
      <c r="N24" s="37"/>
      <c r="O24" s="37"/>
      <c r="P24" s="37"/>
      <c r="Q24" s="35"/>
      <c r="R24" s="234"/>
      <c r="S24" s="37">
        <v>75</v>
      </c>
      <c r="T24" s="37"/>
      <c r="U24" s="37"/>
      <c r="V24" s="37"/>
      <c r="W24" s="37"/>
      <c r="X24" s="37"/>
      <c r="Y24" s="35"/>
      <c r="AA24">
        <f>B24*10+C24+(D24*Others!$B$33)+E24*500+F24+(G24*Others!$B$33)+H24*I24+J24*10+K24+(L24*Others!$B$33)+M24*500+N24+(O24*Others!$B$33)+P24*Q24+R24*10+S24+(T24*Others!$B$33)+U24*500+V24+(W24*Others!$B$33)+X24*Y24</f>
        <v>185</v>
      </c>
      <c r="AB24">
        <f>ROUND(SUM(AA$4:AA24)/A24,0)</f>
        <v>295</v>
      </c>
    </row>
    <row r="25" spans="1:28">
      <c r="A25" s="16">
        <f t="shared" si="0"/>
        <v>22</v>
      </c>
      <c r="B25" s="36"/>
      <c r="C25" s="37">
        <v>6</v>
      </c>
      <c r="D25" s="37"/>
      <c r="E25" s="37"/>
      <c r="F25" s="37"/>
      <c r="G25" s="37"/>
      <c r="H25" s="37"/>
      <c r="I25" s="69"/>
      <c r="J25" s="36"/>
      <c r="K25" s="37">
        <v>6</v>
      </c>
      <c r="L25" s="37"/>
      <c r="M25" s="37"/>
      <c r="N25" s="37"/>
      <c r="O25" s="37"/>
      <c r="P25" s="37"/>
      <c r="Q25" s="35"/>
      <c r="R25" s="234"/>
      <c r="S25" s="37">
        <v>6</v>
      </c>
      <c r="T25" s="37"/>
      <c r="U25" s="37"/>
      <c r="V25" s="37"/>
      <c r="W25" s="37"/>
      <c r="X25" s="37"/>
      <c r="Y25" s="35"/>
      <c r="AA25">
        <f>B25*10+C25+(D25*Others!$B$33)+E25*500+F25+(G25*Others!$B$33)+H25*I25+J25*10+K25+(L25*Others!$B$33)+M25*500+N25+(O25*Others!$B$33)+P25*Q25+R25*10+S25+(T25*Others!$B$33)+U25*500+V25+(W25*Others!$B$33)+X25*Y25</f>
        <v>18</v>
      </c>
      <c r="AB25">
        <f>ROUND(SUM(AA$4:AA25)/A25,0)</f>
        <v>283</v>
      </c>
    </row>
    <row r="26" spans="1:28">
      <c r="A26" s="16">
        <f t="shared" si="0"/>
        <v>23</v>
      </c>
      <c r="B26" s="36"/>
      <c r="C26" s="37">
        <v>200</v>
      </c>
      <c r="D26" s="37"/>
      <c r="E26" s="37"/>
      <c r="F26" s="37"/>
      <c r="G26" s="37"/>
      <c r="H26" s="37"/>
      <c r="I26" s="69"/>
      <c r="J26" s="36">
        <v>1</v>
      </c>
      <c r="K26" s="37"/>
      <c r="L26" s="37"/>
      <c r="M26" s="37"/>
      <c r="N26" s="37"/>
      <c r="O26" s="37"/>
      <c r="P26" s="37"/>
      <c r="Q26" s="35"/>
      <c r="R26" s="234">
        <v>2</v>
      </c>
      <c r="S26" s="37"/>
      <c r="T26" s="37"/>
      <c r="U26" s="37"/>
      <c r="V26" s="37"/>
      <c r="W26" s="37"/>
      <c r="X26" s="37"/>
      <c r="Y26" s="35"/>
      <c r="AA26">
        <f>B26*10+C26+(D26*Others!$B$33)+E26*500+F26+(G26*Others!$B$33)+H26*I26+J26*10+K26+(L26*Others!$B$33)+M26*500+N26+(O26*Others!$B$33)+P26*Q26+R26*10+S26+(T26*Others!$B$33)+U26*500+V26+(W26*Others!$B$33)+X26*Y26</f>
        <v>230</v>
      </c>
      <c r="AB26">
        <f>ROUND(SUM(AA$4:AA26)/A26,0)</f>
        <v>281</v>
      </c>
    </row>
    <row r="27" spans="1:28">
      <c r="A27" s="16">
        <f t="shared" si="0"/>
        <v>24</v>
      </c>
      <c r="B27" s="36"/>
      <c r="C27" s="37"/>
      <c r="D27" s="37">
        <v>1</v>
      </c>
      <c r="E27" s="37"/>
      <c r="F27" s="37"/>
      <c r="G27" s="37"/>
      <c r="H27" s="37"/>
      <c r="I27" s="69"/>
      <c r="J27" s="36">
        <v>2</v>
      </c>
      <c r="K27" s="37"/>
      <c r="L27" s="37"/>
      <c r="M27" s="37"/>
      <c r="N27" s="37"/>
      <c r="O27" s="37"/>
      <c r="P27" s="37"/>
      <c r="Q27" s="35"/>
      <c r="R27" s="234"/>
      <c r="S27" s="37">
        <v>3</v>
      </c>
      <c r="T27" s="37"/>
      <c r="U27" s="37"/>
      <c r="V27" s="37"/>
      <c r="W27" s="37"/>
      <c r="X27" s="37"/>
      <c r="Y27" s="35"/>
      <c r="AA27">
        <f>B27*10+C27+(D27*Others!$B$33)+E27*500+F27+(G27*Others!$B$33)+H27*I27+J27*10+K27+(L27*Others!$B$33)+M27*500+N27+(O27*Others!$B$33)+P27*Q27+R27*10+S27+(T27*Others!$B$33)+U27*500+V27+(W27*Others!$B$33)+X27*Y27</f>
        <v>73</v>
      </c>
      <c r="AB27">
        <f>ROUND(SUM(AA$4:AA27)/A27,0)</f>
        <v>272</v>
      </c>
    </row>
    <row r="28" spans="1:28">
      <c r="A28" s="16">
        <f t="shared" si="0"/>
        <v>25</v>
      </c>
      <c r="B28" s="36"/>
      <c r="C28" s="37">
        <v>5</v>
      </c>
      <c r="D28" s="37"/>
      <c r="E28" s="37"/>
      <c r="F28" s="37"/>
      <c r="G28" s="37"/>
      <c r="H28" s="37"/>
      <c r="I28" s="69"/>
      <c r="J28" s="36"/>
      <c r="K28" s="37">
        <v>10</v>
      </c>
      <c r="L28" s="37"/>
      <c r="M28" s="37"/>
      <c r="N28" s="37"/>
      <c r="O28" s="37"/>
      <c r="P28" s="37"/>
      <c r="Q28" s="35"/>
      <c r="R28" s="234"/>
      <c r="S28" s="37">
        <v>50</v>
      </c>
      <c r="T28" s="37"/>
      <c r="U28" s="37"/>
      <c r="V28" s="37"/>
      <c r="W28" s="37"/>
      <c r="X28" s="37"/>
      <c r="Y28" s="35"/>
      <c r="AA28">
        <f>B28*10+C28+(D28*Others!$B$33)+E28*500+F28+(G28*Others!$B$33)+H28*I28+J28*10+K28+(L28*Others!$B$33)+M28*500+N28+(O28*Others!$B$33)+P28*Q28+R28*10+S28+(T28*Others!$B$33)+U28*500+V28+(W28*Others!$B$33)+X28*Y28</f>
        <v>65</v>
      </c>
      <c r="AB28">
        <f>ROUND(SUM(AA$4:AA28)/A28,0)</f>
        <v>264</v>
      </c>
    </row>
    <row r="29" spans="1:28">
      <c r="A29" s="16">
        <f t="shared" si="0"/>
        <v>26</v>
      </c>
      <c r="B29" s="36"/>
      <c r="C29" s="37">
        <v>5</v>
      </c>
      <c r="D29" s="37"/>
      <c r="E29" s="37"/>
      <c r="F29" s="37"/>
      <c r="G29" s="37"/>
      <c r="H29" s="37"/>
      <c r="I29" s="69"/>
      <c r="J29" s="36"/>
      <c r="K29" s="37">
        <v>5</v>
      </c>
      <c r="L29" s="37"/>
      <c r="M29" s="37"/>
      <c r="N29" s="37"/>
      <c r="O29" s="37"/>
      <c r="P29" s="37"/>
      <c r="Q29" s="35"/>
      <c r="R29" s="234"/>
      <c r="S29" s="37">
        <v>10</v>
      </c>
      <c r="T29" s="37"/>
      <c r="U29" s="37"/>
      <c r="V29" s="37"/>
      <c r="W29" s="37"/>
      <c r="X29" s="37"/>
      <c r="Y29" s="35"/>
      <c r="AA29">
        <f>B29*10+C29+(D29*Others!$B$33)+E29*500+F29+(G29*Others!$B$33)+H29*I29+J29*10+K29+(L29*Others!$B$33)+M29*500+N29+(O29*Others!$B$33)+P29*Q29+R29*10+S29+(T29*Others!$B$33)+U29*500+V29+(W29*Others!$B$33)+X29*Y29</f>
        <v>20</v>
      </c>
      <c r="AB29">
        <f>ROUND(SUM(AA$4:AA29)/A29,0)</f>
        <v>254</v>
      </c>
    </row>
    <row r="30" spans="1:28">
      <c r="A30" s="16">
        <f t="shared" si="0"/>
        <v>27</v>
      </c>
      <c r="B30" s="36"/>
      <c r="C30" s="37">
        <v>100</v>
      </c>
      <c r="D30" s="37"/>
      <c r="E30" s="37"/>
      <c r="F30" s="37"/>
      <c r="G30" s="37"/>
      <c r="H30" s="37"/>
      <c r="I30" s="69"/>
      <c r="J30" s="36"/>
      <c r="K30" s="37">
        <v>100</v>
      </c>
      <c r="L30" s="37"/>
      <c r="M30" s="37"/>
      <c r="N30" s="37"/>
      <c r="O30" s="37"/>
      <c r="P30" s="37"/>
      <c r="Q30" s="35"/>
      <c r="R30" s="234"/>
      <c r="S30" s="37">
        <v>1</v>
      </c>
      <c r="T30" s="37"/>
      <c r="U30" s="37"/>
      <c r="V30" s="37"/>
      <c r="W30" s="37"/>
      <c r="X30" s="37"/>
      <c r="Y30" s="35"/>
      <c r="AA30">
        <f>B30*10+C30+(D30*Others!$B$33)+E30*500+F30+(G30*Others!$B$33)+H30*I30+J30*10+K30+(L30*Others!$B$33)+M30*500+N30+(O30*Others!$B$33)+P30*Q30+R30*10+S30+(T30*Others!$B$33)+U30*500+V30+(W30*Others!$B$33)+X30*Y30</f>
        <v>201</v>
      </c>
      <c r="AB30">
        <f>ROUND(SUM(AA$4:AA30)/A30,0)</f>
        <v>252</v>
      </c>
    </row>
    <row r="31" spans="1:28">
      <c r="A31" s="16">
        <f t="shared" si="0"/>
        <v>28</v>
      </c>
      <c r="B31" s="36"/>
      <c r="C31" s="37">
        <v>100</v>
      </c>
      <c r="D31" s="37"/>
      <c r="E31" s="37"/>
      <c r="F31" s="37"/>
      <c r="G31" s="37"/>
      <c r="H31" s="37"/>
      <c r="I31" s="69"/>
      <c r="J31" s="36"/>
      <c r="K31" s="37">
        <v>50</v>
      </c>
      <c r="L31" s="37"/>
      <c r="M31" s="37"/>
      <c r="N31" s="37"/>
      <c r="O31" s="37"/>
      <c r="P31" s="37"/>
      <c r="Q31" s="35"/>
      <c r="R31" s="234"/>
      <c r="S31" s="37">
        <v>5</v>
      </c>
      <c r="T31" s="37"/>
      <c r="U31" s="37"/>
      <c r="V31" s="37"/>
      <c r="W31" s="37"/>
      <c r="X31" s="37"/>
      <c r="Y31" s="35"/>
      <c r="AA31">
        <f>B31*10+C31+(D31*Others!$B$33)+E31*500+F31+(G31*Others!$B$33)+H31*I31+J31*10+K31+(L31*Others!$B$33)+M31*500+N31+(O31*Others!$B$33)+P31*Q31+R31*10+S31+(T31*Others!$B$33)+U31*500+V31+(W31*Others!$B$33)+X31*Y31</f>
        <v>155</v>
      </c>
      <c r="AB31">
        <f>ROUND(SUM(AA$4:AA31)/A31,0)</f>
        <v>249</v>
      </c>
    </row>
    <row r="32" spans="1:28">
      <c r="A32" s="16">
        <f t="shared" si="0"/>
        <v>29</v>
      </c>
      <c r="B32" s="36">
        <v>1</v>
      </c>
      <c r="C32" s="37"/>
      <c r="D32" s="37"/>
      <c r="E32" s="37"/>
      <c r="F32" s="37"/>
      <c r="G32" s="37"/>
      <c r="H32" s="37"/>
      <c r="I32" s="69"/>
      <c r="J32" s="36"/>
      <c r="K32" s="37">
        <v>25</v>
      </c>
      <c r="L32" s="37"/>
      <c r="M32" s="37"/>
      <c r="N32" s="37"/>
      <c r="O32" s="37"/>
      <c r="P32" s="37"/>
      <c r="Q32" s="35"/>
      <c r="R32" s="234"/>
      <c r="S32" s="37">
        <v>10</v>
      </c>
      <c r="T32" s="37"/>
      <c r="U32" s="37"/>
      <c r="V32" s="37"/>
      <c r="W32" s="37"/>
      <c r="X32" s="37"/>
      <c r="Y32" s="35"/>
      <c r="AA32">
        <f>B32*10+C32+(D32*Others!$B$33)+E32*500+F32+(G32*Others!$B$33)+H32*I32+J32*10+K32+(L32*Others!$B$33)+M32*500+N32+(O32*Others!$B$33)+P32*Q32+R32*10+S32+(T32*Others!$B$33)+U32*500+V32+(W32*Others!$B$33)+X32*Y32</f>
        <v>45</v>
      </c>
      <c r="AB32">
        <f>ROUND(SUM(AA$4:AA32)/A32,0)</f>
        <v>242</v>
      </c>
    </row>
    <row r="33" spans="1:28">
      <c r="A33" s="16">
        <f t="shared" si="0"/>
        <v>30</v>
      </c>
      <c r="B33" s="36"/>
      <c r="C33" s="37"/>
      <c r="D33" s="37"/>
      <c r="E33" s="37"/>
      <c r="F33" s="37"/>
      <c r="G33" s="37"/>
      <c r="H33" s="37">
        <v>200</v>
      </c>
      <c r="I33" s="69">
        <v>2</v>
      </c>
      <c r="J33" s="36"/>
      <c r="K33" s="37">
        <v>5</v>
      </c>
      <c r="L33" s="37"/>
      <c r="M33" s="37"/>
      <c r="N33" s="37"/>
      <c r="O33" s="37"/>
      <c r="P33" s="37"/>
      <c r="Q33" s="35"/>
      <c r="R33" s="234">
        <v>4</v>
      </c>
      <c r="S33" s="37"/>
      <c r="T33" s="37"/>
      <c r="U33" s="37"/>
      <c r="V33" s="37"/>
      <c r="W33" s="37"/>
      <c r="X33" s="37"/>
      <c r="Y33" s="35"/>
      <c r="AA33">
        <f>B33*10+C33+(D33*Others!$B$33)+E33*500+F33+(G33*Others!$B$33)+H33*I33+J33*10+K33+(L33*Others!$B$33)+M33*500+N33+(O33*Others!$B$33)+P33*Q33+R33*10+S33+(T33*Others!$B$33)+U33*500+V33+(W33*Others!$B$33)+X33*Y33</f>
        <v>445</v>
      </c>
      <c r="AB33">
        <f>ROUND(SUM(AA$4:AA33)/A33,0)</f>
        <v>249</v>
      </c>
    </row>
    <row r="34" spans="1:28">
      <c r="A34" s="16">
        <f t="shared" si="0"/>
        <v>31</v>
      </c>
      <c r="B34" s="36"/>
      <c r="C34" s="37">
        <v>10</v>
      </c>
      <c r="D34" s="37"/>
      <c r="E34" s="37"/>
      <c r="F34" s="37"/>
      <c r="G34" s="37"/>
      <c r="H34" s="37"/>
      <c r="I34" s="69"/>
      <c r="J34" s="36"/>
      <c r="K34" s="37">
        <v>25</v>
      </c>
      <c r="L34" s="37"/>
      <c r="M34" s="37"/>
      <c r="N34" s="37"/>
      <c r="O34" s="37"/>
      <c r="P34" s="37"/>
      <c r="Q34" s="35"/>
      <c r="R34" s="234"/>
      <c r="S34" s="37">
        <v>50</v>
      </c>
      <c r="T34" s="37"/>
      <c r="U34" s="37"/>
      <c r="V34" s="37"/>
      <c r="W34" s="37"/>
      <c r="X34" s="37"/>
      <c r="Y34" s="35"/>
      <c r="AA34">
        <f>B34*10+C34+(D34*Others!$B$33)+E34*500+F34+(G34*Others!$B$33)+H34*I34+J34*10+K34+(L34*Others!$B$33)+M34*500+N34+(O34*Others!$B$33)+P34*Q34+R34*10+S34+(T34*Others!$B$33)+U34*500+V34+(W34*Others!$B$33)+X34*Y34</f>
        <v>85</v>
      </c>
      <c r="AB34">
        <f>ROUND(SUM(AA$4:AA34)/A34,0)</f>
        <v>243</v>
      </c>
    </row>
    <row r="35" spans="1:28">
      <c r="A35" s="16">
        <f t="shared" si="0"/>
        <v>32</v>
      </c>
      <c r="B35" s="36"/>
      <c r="C35" s="37">
        <v>5</v>
      </c>
      <c r="D35" s="37"/>
      <c r="E35" s="37"/>
      <c r="F35" s="37"/>
      <c r="G35" s="37"/>
      <c r="H35" s="37"/>
      <c r="I35" s="69"/>
      <c r="J35" s="36"/>
      <c r="K35" s="37">
        <v>10</v>
      </c>
      <c r="L35" s="37"/>
      <c r="M35" s="37"/>
      <c r="N35" s="37"/>
      <c r="O35" s="37"/>
      <c r="P35" s="37"/>
      <c r="Q35" s="35"/>
      <c r="R35" s="234"/>
      <c r="S35" s="37">
        <v>25</v>
      </c>
      <c r="T35" s="37"/>
      <c r="U35" s="37"/>
      <c r="V35" s="37"/>
      <c r="W35" s="37"/>
      <c r="X35" s="37"/>
      <c r="Y35" s="35"/>
      <c r="AA35">
        <f>B35*10+C35+(D35*Others!$B$33)+E35*500+F35+(G35*Others!$B$33)+H35*I35+J35*10+K35+(L35*Others!$B$33)+M35*500+N35+(O35*Others!$B$33)+P35*Q35+R35*10+S35+(T35*Others!$B$33)+U35*500+V35+(W35*Others!$B$33)+X35*Y35</f>
        <v>40</v>
      </c>
      <c r="AB35">
        <f>ROUND(SUM(AA$4:AA35)/A35,0)</f>
        <v>237</v>
      </c>
    </row>
    <row r="36" spans="1:28">
      <c r="A36" s="16">
        <f t="shared" si="0"/>
        <v>33</v>
      </c>
      <c r="B36" s="36">
        <v>5</v>
      </c>
      <c r="C36" s="37"/>
      <c r="D36" s="37"/>
      <c r="E36" s="37"/>
      <c r="F36" s="37"/>
      <c r="G36" s="37"/>
      <c r="H36" s="37"/>
      <c r="I36" s="69"/>
      <c r="J36" s="36"/>
      <c r="K36" s="37">
        <v>5</v>
      </c>
      <c r="L36" s="37"/>
      <c r="M36" s="37"/>
      <c r="N36" s="37"/>
      <c r="O36" s="37"/>
      <c r="P36" s="37"/>
      <c r="Q36" s="35"/>
      <c r="R36" s="234"/>
      <c r="S36" s="37">
        <v>100</v>
      </c>
      <c r="T36" s="37"/>
      <c r="U36" s="37"/>
      <c r="V36" s="37"/>
      <c r="W36" s="37"/>
      <c r="X36" s="37"/>
      <c r="Y36" s="35"/>
      <c r="AA36">
        <f>B36*10+C36+(D36*Others!$B$33)+E36*500+F36+(G36*Others!$B$33)+H36*I36+J36*10+K36+(L36*Others!$B$33)+M36*500+N36+(O36*Others!$B$33)+P36*Q36+R36*10+S36+(T36*Others!$B$33)+U36*500+V36+(W36*Others!$B$33)+X36*Y36</f>
        <v>155</v>
      </c>
      <c r="AB36">
        <f>ROUND(SUM(AA$4:AA36)/A36,0)</f>
        <v>234</v>
      </c>
    </row>
    <row r="37" spans="1:28">
      <c r="A37" s="16">
        <f t="shared" si="0"/>
        <v>34</v>
      </c>
      <c r="B37" s="36"/>
      <c r="C37" s="37">
        <v>1</v>
      </c>
      <c r="D37" s="37"/>
      <c r="E37" s="37"/>
      <c r="F37" s="37"/>
      <c r="G37" s="37"/>
      <c r="H37" s="37"/>
      <c r="I37" s="69"/>
      <c r="J37" s="36"/>
      <c r="K37" s="37">
        <v>100</v>
      </c>
      <c r="L37" s="37"/>
      <c r="M37" s="37"/>
      <c r="N37" s="37"/>
      <c r="O37" s="37"/>
      <c r="P37" s="37"/>
      <c r="Q37" s="35"/>
      <c r="R37" s="234">
        <v>7</v>
      </c>
      <c r="S37" s="37"/>
      <c r="T37" s="37"/>
      <c r="U37" s="37"/>
      <c r="V37" s="37"/>
      <c r="W37" s="37"/>
      <c r="X37" s="37"/>
      <c r="Y37" s="35"/>
      <c r="AA37">
        <f>B37*10+C37+(D37*Others!$B$33)+E37*500+F37+(G37*Others!$B$33)+H37*I37+J37*10+K37+(L37*Others!$B$33)+M37*500+N37+(O37*Others!$B$33)+P37*Q37+R37*10+S37+(T37*Others!$B$33)+U37*500+V37+(W37*Others!$B$33)+X37*Y37</f>
        <v>171</v>
      </c>
      <c r="AB37">
        <f>ROUND(SUM(AA$4:AA37)/A37,0)</f>
        <v>233</v>
      </c>
    </row>
    <row r="38" spans="1:28">
      <c r="A38" s="16">
        <f t="shared" si="0"/>
        <v>35</v>
      </c>
      <c r="B38" s="36"/>
      <c r="C38" s="37">
        <v>5</v>
      </c>
      <c r="D38" s="37"/>
      <c r="E38" s="37"/>
      <c r="F38" s="37"/>
      <c r="G38" s="37"/>
      <c r="H38" s="37"/>
      <c r="I38" s="69"/>
      <c r="J38" s="36">
        <v>1</v>
      </c>
      <c r="K38" s="37"/>
      <c r="L38" s="37"/>
      <c r="M38" s="37"/>
      <c r="N38" s="37"/>
      <c r="O38" s="37"/>
      <c r="P38" s="37"/>
      <c r="Q38" s="35"/>
      <c r="R38" s="234"/>
      <c r="S38" s="37">
        <v>150</v>
      </c>
      <c r="T38" s="37"/>
      <c r="U38" s="37"/>
      <c r="V38" s="37"/>
      <c r="W38" s="37"/>
      <c r="X38" s="37"/>
      <c r="Y38" s="35"/>
      <c r="AA38">
        <f>B38*10+C38+(D38*Others!$B$33)+E38*500+F38+(G38*Others!$B$33)+H38*I38+J38*10+K38+(L38*Others!$B$33)+M38*500+N38+(O38*Others!$B$33)+P38*Q38+R38*10+S38+(T38*Others!$B$33)+U38*500+V38+(W38*Others!$B$33)+X38*Y38</f>
        <v>165</v>
      </c>
      <c r="AB38">
        <f>ROUND(SUM(AA$4:AA38)/A38,0)</f>
        <v>231</v>
      </c>
    </row>
    <row r="39" spans="1:28">
      <c r="A39" s="16">
        <f t="shared" si="0"/>
        <v>36</v>
      </c>
      <c r="B39" s="36"/>
      <c r="C39" s="37">
        <v>1</v>
      </c>
      <c r="D39" s="37"/>
      <c r="E39" s="37"/>
      <c r="F39" s="37"/>
      <c r="G39" s="37"/>
      <c r="H39" s="37"/>
      <c r="I39" s="69"/>
      <c r="J39" s="36"/>
      <c r="K39" s="37">
        <v>50</v>
      </c>
      <c r="L39" s="37"/>
      <c r="M39" s="37"/>
      <c r="N39" s="37"/>
      <c r="O39" s="37"/>
      <c r="P39" s="37"/>
      <c r="Q39" s="35"/>
      <c r="R39" s="234"/>
      <c r="S39" s="37">
        <v>50</v>
      </c>
      <c r="T39" s="37"/>
      <c r="U39" s="37"/>
      <c r="V39" s="37"/>
      <c r="W39" s="37"/>
      <c r="X39" s="37"/>
      <c r="Y39" s="35"/>
      <c r="AA39">
        <f>B39*10+C39+(D39*Others!$B$33)+E39*500+F39+(G39*Others!$B$33)+H39*I39+J39*10+K39+(L39*Others!$B$33)+M39*500+N39+(O39*Others!$B$33)+P39*Q39+R39*10+S39+(T39*Others!$B$33)+U39*500+V39+(W39*Others!$B$33)+X39*Y39</f>
        <v>101</v>
      </c>
      <c r="AB39">
        <f>ROUND(SUM(AA$4:AA39)/A39,0)</f>
        <v>227</v>
      </c>
    </row>
    <row r="40" spans="1:28">
      <c r="A40" s="16">
        <f t="shared" si="0"/>
        <v>37</v>
      </c>
      <c r="B40" s="36"/>
      <c r="C40" s="37">
        <v>5</v>
      </c>
      <c r="D40" s="37"/>
      <c r="E40" s="37"/>
      <c r="F40" s="37"/>
      <c r="G40" s="37"/>
      <c r="H40" s="37"/>
      <c r="I40" s="69"/>
      <c r="J40" s="36"/>
      <c r="K40" s="37">
        <v>5</v>
      </c>
      <c r="L40" s="37"/>
      <c r="M40" s="37"/>
      <c r="N40" s="37"/>
      <c r="O40" s="37"/>
      <c r="P40" s="37"/>
      <c r="Q40" s="35"/>
      <c r="R40" s="234"/>
      <c r="S40" s="37">
        <v>5</v>
      </c>
      <c r="T40" s="37"/>
      <c r="U40" s="37"/>
      <c r="V40" s="37"/>
      <c r="W40" s="37"/>
      <c r="X40" s="37"/>
      <c r="Y40" s="35"/>
      <c r="AA40">
        <f>B40*10+C40+(D40*Others!$B$33)+E40*500+F40+(G40*Others!$B$33)+H40*I40+J40*10+K40+(L40*Others!$B$33)+M40*500+N40+(O40*Others!$B$33)+P40*Q40+R40*10+S40+(T40*Others!$B$33)+U40*500+V40+(W40*Others!$B$33)+X40*Y40</f>
        <v>15</v>
      </c>
      <c r="AB40">
        <f>ROUND(SUM(AA$4:AA40)/A40,0)</f>
        <v>221</v>
      </c>
    </row>
    <row r="41" spans="1:28">
      <c r="A41" s="16">
        <f t="shared" si="0"/>
        <v>38</v>
      </c>
      <c r="B41" s="36">
        <v>1</v>
      </c>
      <c r="C41" s="37"/>
      <c r="D41" s="37"/>
      <c r="E41" s="37"/>
      <c r="F41" s="37"/>
      <c r="G41" s="37"/>
      <c r="H41" s="37"/>
      <c r="I41" s="69"/>
      <c r="J41" s="36"/>
      <c r="K41" s="37">
        <v>1</v>
      </c>
      <c r="L41" s="37"/>
      <c r="M41" s="37"/>
      <c r="N41" s="37"/>
      <c r="O41" s="37"/>
      <c r="P41" s="37"/>
      <c r="Q41" s="35"/>
      <c r="R41" s="234"/>
      <c r="S41" s="37">
        <v>200</v>
      </c>
      <c r="T41" s="37"/>
      <c r="U41" s="37"/>
      <c r="V41" s="37"/>
      <c r="W41" s="37"/>
      <c r="X41" s="37"/>
      <c r="Y41" s="35"/>
      <c r="AA41">
        <f>B41*10+C41+(D41*Others!$B$33)+E41*500+F41+(G41*Others!$B$33)+H41*I41+J41*10+K41+(L41*Others!$B$33)+M41*500+N41+(O41*Others!$B$33)+P41*Q41+R41*10+S41+(T41*Others!$B$33)+U41*500+V41+(W41*Others!$B$33)+X41*Y41</f>
        <v>211</v>
      </c>
      <c r="AB41">
        <f>ROUND(SUM(AA$4:AA41)/A41,0)</f>
        <v>221</v>
      </c>
    </row>
    <row r="42" spans="1:28">
      <c r="A42" s="16">
        <f t="shared" si="0"/>
        <v>39</v>
      </c>
      <c r="B42" s="36"/>
      <c r="C42" s="37">
        <v>200</v>
      </c>
      <c r="D42" s="37"/>
      <c r="E42" s="37"/>
      <c r="F42" s="37"/>
      <c r="G42" s="37"/>
      <c r="H42" s="37"/>
      <c r="I42" s="69"/>
      <c r="J42" s="36"/>
      <c r="K42" s="37">
        <v>5</v>
      </c>
      <c r="L42" s="37"/>
      <c r="M42" s="37"/>
      <c r="N42" s="37"/>
      <c r="O42" s="37"/>
      <c r="P42" s="37"/>
      <c r="Q42" s="35"/>
      <c r="R42" s="234">
        <v>5</v>
      </c>
      <c r="S42" s="37"/>
      <c r="T42" s="37"/>
      <c r="U42" s="37"/>
      <c r="V42" s="37"/>
      <c r="W42" s="37"/>
      <c r="X42" s="37"/>
      <c r="Y42" s="35"/>
      <c r="AA42">
        <f>B42*10+C42+(D42*Others!$B$33)+E42*500+F42+(G42*Others!$B$33)+H42*I42+J42*10+K42+(L42*Others!$B$33)+M42*500+N42+(O42*Others!$B$33)+P42*Q42+R42*10+S42+(T42*Others!$B$33)+U42*500+V42+(W42*Others!$B$33)+X42*Y42</f>
        <v>255</v>
      </c>
      <c r="AB42">
        <f>ROUND(SUM(AA$4:AA42)/A42,0)</f>
        <v>222</v>
      </c>
    </row>
    <row r="43" spans="1:28">
      <c r="A43" s="16">
        <f t="shared" si="0"/>
        <v>40</v>
      </c>
      <c r="B43" s="36"/>
      <c r="C43" s="37"/>
      <c r="D43" s="37"/>
      <c r="E43" s="37"/>
      <c r="F43" s="37">
        <v>1000</v>
      </c>
      <c r="G43" s="37"/>
      <c r="H43" s="37"/>
      <c r="I43" s="69"/>
      <c r="J43" s="36">
        <v>1</v>
      </c>
      <c r="K43" s="37"/>
      <c r="L43" s="37"/>
      <c r="M43" s="37"/>
      <c r="N43" s="37"/>
      <c r="O43" s="37"/>
      <c r="P43" s="37"/>
      <c r="Q43" s="35"/>
      <c r="R43" s="234"/>
      <c r="S43" s="37">
        <v>50</v>
      </c>
      <c r="T43" s="37"/>
      <c r="U43" s="37"/>
      <c r="V43" s="37"/>
      <c r="W43" s="37"/>
      <c r="X43" s="37"/>
      <c r="Y43" s="35"/>
      <c r="AA43">
        <f>B43*10+C43+(D43*Others!$B$33)+E43*500+F43+(G43*Others!$B$33)+H43*I43+J43*10+K43+(L43*Others!$B$33)+M43*500+N43+(O43*Others!$B$33)+P43*Q43+R43*10+S43+(T43*Others!$B$33)+U43*500+V43+(W43*Others!$B$33)+X43*Y43</f>
        <v>1060</v>
      </c>
      <c r="AB43">
        <f>ROUND(SUM(AA$4:AA43)/A43,0)</f>
        <v>243</v>
      </c>
    </row>
    <row r="44" spans="1:28">
      <c r="A44" s="16">
        <f t="shared" si="0"/>
        <v>41</v>
      </c>
      <c r="B44" s="36"/>
      <c r="C44" s="37"/>
      <c r="D44" s="37"/>
      <c r="E44" s="37"/>
      <c r="F44" s="37"/>
      <c r="G44" s="37"/>
      <c r="H44" s="37"/>
      <c r="I44" s="69"/>
      <c r="J44" s="36"/>
      <c r="K44" s="37"/>
      <c r="L44" s="37"/>
      <c r="M44" s="37"/>
      <c r="N44" s="37"/>
      <c r="O44" s="37"/>
      <c r="P44" s="37"/>
      <c r="Q44" s="35"/>
      <c r="R44" s="234"/>
      <c r="S44" s="37"/>
      <c r="T44" s="37"/>
      <c r="U44" s="37"/>
      <c r="V44" s="37"/>
      <c r="W44" s="37"/>
      <c r="X44" s="37"/>
      <c r="Y44" s="35"/>
      <c r="AA44">
        <f>B44*10+C44+(D44*Others!$B$33)+E44*500+F44+(G44*Others!$B$33)+H44*I44+J44*10+K44+(L44*Others!$B$33)+M44*500+N44+(O44*Others!$B$33)+P44*Q44+R44*10+S44+(T44*Others!$B$33)+U44*500+V44+(W44*Others!$B$33)+X44*Y44</f>
        <v>0</v>
      </c>
      <c r="AB44">
        <f>ROUND(SUM(AA$4:AA44)/A44,0)</f>
        <v>237</v>
      </c>
    </row>
    <row r="45" spans="1:28">
      <c r="A45" s="16">
        <f t="shared" si="0"/>
        <v>42</v>
      </c>
      <c r="B45" s="36"/>
      <c r="C45" s="37"/>
      <c r="D45" s="37"/>
      <c r="E45" s="37"/>
      <c r="F45" s="37"/>
      <c r="G45" s="37"/>
      <c r="H45" s="37"/>
      <c r="I45" s="69"/>
      <c r="J45" s="36"/>
      <c r="K45" s="37"/>
      <c r="L45" s="37"/>
      <c r="M45" s="37"/>
      <c r="N45" s="37"/>
      <c r="O45" s="37"/>
      <c r="P45" s="37"/>
      <c r="Q45" s="35"/>
      <c r="R45" s="234"/>
      <c r="S45" s="37"/>
      <c r="T45" s="37"/>
      <c r="U45" s="37"/>
      <c r="V45" s="37"/>
      <c r="W45" s="37"/>
      <c r="X45" s="37"/>
      <c r="Y45" s="35"/>
      <c r="AA45">
        <f>B45*10+C45+(D45*Others!$B$33)+E45*500+F45+(G45*Others!$B$33)+H45*I45+J45*10+K45+(L45*Others!$B$33)+M45*500+N45+(O45*Others!$B$33)+P45*Q45+R45*10+S45+(T45*Others!$B$33)+U45*500+V45+(W45*Others!$B$33)+X45*Y45</f>
        <v>0</v>
      </c>
      <c r="AB45">
        <f>ROUND(SUM(AA$4:AA45)/A45,0)</f>
        <v>231</v>
      </c>
    </row>
    <row r="46" spans="1:28">
      <c r="A46" s="16">
        <f t="shared" si="0"/>
        <v>43</v>
      </c>
      <c r="B46" s="36"/>
      <c r="C46" s="37"/>
      <c r="D46" s="37"/>
      <c r="E46" s="37"/>
      <c r="F46" s="37"/>
      <c r="G46" s="37"/>
      <c r="H46" s="37"/>
      <c r="I46" s="69"/>
      <c r="J46" s="36"/>
      <c r="K46" s="37"/>
      <c r="L46" s="37"/>
      <c r="M46" s="37"/>
      <c r="N46" s="37"/>
      <c r="O46" s="37"/>
      <c r="P46" s="37"/>
      <c r="Q46" s="35"/>
      <c r="R46" s="234"/>
      <c r="S46" s="37"/>
      <c r="T46" s="37"/>
      <c r="U46" s="37"/>
      <c r="V46" s="37"/>
      <c r="W46" s="37"/>
      <c r="X46" s="37"/>
      <c r="Y46" s="35"/>
      <c r="AA46">
        <f>B46*10+C46+(D46*Others!$B$33)+E46*500+F46+(G46*Others!$B$33)+H46*I46+J46*10+K46+(L46*Others!$B$33)+M46*500+N46+(O46*Others!$B$33)+P46*Q46+R46*10+S46+(T46*Others!$B$33)+U46*500+V46+(W46*Others!$B$33)+X46*Y46</f>
        <v>0</v>
      </c>
      <c r="AB46">
        <f>ROUND(SUM(AA$4:AA46)/A46,0)</f>
        <v>226</v>
      </c>
    </row>
    <row r="47" spans="1:28">
      <c r="A47" s="16">
        <f t="shared" si="0"/>
        <v>44</v>
      </c>
      <c r="B47" s="36"/>
      <c r="C47" s="37"/>
      <c r="D47" s="37"/>
      <c r="E47" s="37"/>
      <c r="F47" s="37"/>
      <c r="G47" s="37"/>
      <c r="H47" s="37"/>
      <c r="I47" s="69"/>
      <c r="J47" s="36"/>
      <c r="K47" s="37"/>
      <c r="L47" s="37"/>
      <c r="M47" s="37"/>
      <c r="N47" s="37"/>
      <c r="O47" s="37"/>
      <c r="P47" s="37"/>
      <c r="Q47" s="35"/>
      <c r="R47" s="234"/>
      <c r="S47" s="37"/>
      <c r="T47" s="37"/>
      <c r="U47" s="37"/>
      <c r="V47" s="37"/>
      <c r="W47" s="37"/>
      <c r="X47" s="37"/>
      <c r="Y47" s="35"/>
      <c r="AA47">
        <f>B47*10+C47+(D47*Others!$B$33)+E47*500+F47+(G47*Others!$B$33)+H47*I47+J47*10+K47+(L47*Others!$B$33)+M47*500+N47+(O47*Others!$B$33)+P47*Q47+R47*10+S47+(T47*Others!$B$33)+U47*500+V47+(W47*Others!$B$33)+X47*Y47</f>
        <v>0</v>
      </c>
      <c r="AB47">
        <f>ROUND(SUM(AA$4:AA47)/A47,0)</f>
        <v>221</v>
      </c>
    </row>
    <row r="48" spans="1:28">
      <c r="A48" s="16">
        <f t="shared" si="0"/>
        <v>45</v>
      </c>
      <c r="B48" s="36"/>
      <c r="C48" s="37"/>
      <c r="D48" s="37"/>
      <c r="E48" s="37"/>
      <c r="F48" s="37"/>
      <c r="G48" s="37"/>
      <c r="H48" s="37"/>
      <c r="I48" s="69"/>
      <c r="J48" s="36"/>
      <c r="K48" s="37"/>
      <c r="L48" s="37"/>
      <c r="M48" s="37"/>
      <c r="N48" s="37"/>
      <c r="O48" s="37"/>
      <c r="P48" s="37"/>
      <c r="Q48" s="35"/>
      <c r="R48" s="234"/>
      <c r="S48" s="37"/>
      <c r="T48" s="37"/>
      <c r="U48" s="37"/>
      <c r="V48" s="37"/>
      <c r="W48" s="37"/>
      <c r="X48" s="37"/>
      <c r="Y48" s="35"/>
      <c r="AA48">
        <f>B48*10+C48+(D48*Others!$B$33)+E48*500+F48+(G48*Others!$B$33)+H48*I48+J48*10+K48+(L48*Others!$B$33)+M48*500+N48+(O48*Others!$B$33)+P48*Q48+R48*10+S48+(T48*Others!$B$33)+U48*500+V48+(W48*Others!$B$33)+X48*Y48</f>
        <v>0</v>
      </c>
      <c r="AB48">
        <f>ROUND(SUM(AA$4:AA48)/A48,0)</f>
        <v>216</v>
      </c>
    </row>
    <row r="49" spans="1:28">
      <c r="A49" s="16">
        <f t="shared" si="0"/>
        <v>46</v>
      </c>
      <c r="B49" s="36"/>
      <c r="C49" s="37"/>
      <c r="D49" s="37"/>
      <c r="E49" s="37"/>
      <c r="F49" s="37"/>
      <c r="G49" s="37"/>
      <c r="H49" s="37"/>
      <c r="I49" s="69"/>
      <c r="J49" s="36"/>
      <c r="K49" s="37"/>
      <c r="L49" s="37"/>
      <c r="M49" s="37"/>
      <c r="N49" s="37"/>
      <c r="O49" s="37"/>
      <c r="P49" s="37"/>
      <c r="Q49" s="35"/>
      <c r="R49" s="234"/>
      <c r="S49" s="37"/>
      <c r="T49" s="37"/>
      <c r="U49" s="37"/>
      <c r="V49" s="37"/>
      <c r="W49" s="37"/>
      <c r="X49" s="37"/>
      <c r="Y49" s="35"/>
      <c r="AA49">
        <f>B49*10+C49+(D49*Others!$B$33)+E49*500+F49+(G49*Others!$B$33)+H49*I49+J49*10+K49+(L49*Others!$B$33)+M49*500+N49+(O49*Others!$B$33)+P49*Q49+R49*10+S49+(T49*Others!$B$33)+U49*500+V49+(W49*Others!$B$33)+X49*Y49</f>
        <v>0</v>
      </c>
      <c r="AB49">
        <f>ROUND(SUM(AA$4:AA49)/A49,0)</f>
        <v>211</v>
      </c>
    </row>
    <row r="50" spans="1:28">
      <c r="A50" s="16">
        <f t="shared" si="0"/>
        <v>47</v>
      </c>
      <c r="B50" s="36"/>
      <c r="C50" s="37"/>
      <c r="D50" s="37"/>
      <c r="E50" s="37"/>
      <c r="F50" s="37"/>
      <c r="G50" s="37"/>
      <c r="H50" s="37"/>
      <c r="I50" s="69"/>
      <c r="J50" s="36"/>
      <c r="K50" s="37"/>
      <c r="L50" s="37"/>
      <c r="M50" s="37"/>
      <c r="N50" s="37"/>
      <c r="O50" s="37"/>
      <c r="P50" s="37"/>
      <c r="Q50" s="35"/>
      <c r="R50" s="234"/>
      <c r="S50" s="37"/>
      <c r="T50" s="37"/>
      <c r="U50" s="37"/>
      <c r="V50" s="37"/>
      <c r="W50" s="37"/>
      <c r="X50" s="37"/>
      <c r="Y50" s="35"/>
      <c r="AA50">
        <f>B50*10+C50+(D50*Others!$B$33)+E50*500+F50+(G50*Others!$B$33)+H50*I50+J50*10+K50+(L50*Others!$B$33)+M50*500+N50+(O50*Others!$B$33)+P50*Q50+R50*10+S50+(T50*Others!$B$33)+U50*500+V50+(W50*Others!$B$33)+X50*Y50</f>
        <v>0</v>
      </c>
      <c r="AB50">
        <f>ROUND(SUM(AA$4:AA50)/A50,0)</f>
        <v>207</v>
      </c>
    </row>
    <row r="51" spans="1:28">
      <c r="A51" s="16">
        <f t="shared" si="0"/>
        <v>48</v>
      </c>
      <c r="B51" s="36"/>
      <c r="C51" s="37"/>
      <c r="D51" s="37"/>
      <c r="E51" s="37"/>
      <c r="F51" s="37"/>
      <c r="G51" s="37"/>
      <c r="H51" s="37"/>
      <c r="I51" s="69"/>
      <c r="J51" s="36"/>
      <c r="K51" s="37"/>
      <c r="L51" s="37"/>
      <c r="M51" s="37"/>
      <c r="N51" s="37"/>
      <c r="O51" s="37"/>
      <c r="P51" s="37"/>
      <c r="Q51" s="35"/>
      <c r="R51" s="234"/>
      <c r="S51" s="37"/>
      <c r="T51" s="37"/>
      <c r="U51" s="37"/>
      <c r="V51" s="37"/>
      <c r="W51" s="37"/>
      <c r="X51" s="37"/>
      <c r="Y51" s="35"/>
      <c r="AA51">
        <f>B51*10+C51+(D51*Others!$B$33)+E51*500+F51+(G51*Others!$B$33)+H51*I51+J51*10+K51+(L51*Others!$B$33)+M51*500+N51+(O51*Others!$B$33)+P51*Q51+R51*10+S51+(T51*Others!$B$33)+U51*500+V51+(W51*Others!$B$33)+X51*Y51</f>
        <v>0</v>
      </c>
      <c r="AB51">
        <f>ROUND(SUM(AA$4:AA51)/A51,0)</f>
        <v>202</v>
      </c>
    </row>
    <row r="52" spans="1:28">
      <c r="A52" s="16">
        <f t="shared" si="0"/>
        <v>49</v>
      </c>
      <c r="B52" s="36"/>
      <c r="C52" s="37"/>
      <c r="D52" s="37"/>
      <c r="E52" s="37"/>
      <c r="F52" s="37"/>
      <c r="G52" s="37"/>
      <c r="H52" s="37"/>
      <c r="I52" s="69"/>
      <c r="J52" s="36"/>
      <c r="K52" s="37"/>
      <c r="L52" s="37"/>
      <c r="M52" s="37"/>
      <c r="N52" s="37"/>
      <c r="O52" s="37"/>
      <c r="P52" s="37"/>
      <c r="Q52" s="35"/>
      <c r="R52" s="234"/>
      <c r="S52" s="37"/>
      <c r="T52" s="37"/>
      <c r="U52" s="37"/>
      <c r="V52" s="37"/>
      <c r="W52" s="37"/>
      <c r="X52" s="37"/>
      <c r="Y52" s="35"/>
      <c r="AA52">
        <f>B52*10+C52+(D52*Others!$B$33)+E52*500+F52+(G52*Others!$B$33)+H52*I52+J52*10+K52+(L52*Others!$B$33)+M52*500+N52+(O52*Others!$B$33)+P52*Q52+R52*10+S52+(T52*Others!$B$33)+U52*500+V52+(W52*Others!$B$33)+X52*Y52</f>
        <v>0</v>
      </c>
      <c r="AB52">
        <f>ROUND(SUM(AA$4:AA52)/A52,0)</f>
        <v>198</v>
      </c>
    </row>
    <row r="53" spans="1:28">
      <c r="A53" s="16">
        <f t="shared" si="0"/>
        <v>50</v>
      </c>
      <c r="B53" s="36"/>
      <c r="C53" s="37"/>
      <c r="D53" s="37"/>
      <c r="E53" s="37"/>
      <c r="F53" s="37"/>
      <c r="G53" s="37"/>
      <c r="H53" s="37"/>
      <c r="I53" s="69"/>
      <c r="J53" s="36"/>
      <c r="K53" s="37"/>
      <c r="L53" s="37"/>
      <c r="M53" s="37"/>
      <c r="N53" s="37"/>
      <c r="O53" s="37"/>
      <c r="P53" s="37"/>
      <c r="Q53" s="35"/>
      <c r="R53" s="234"/>
      <c r="S53" s="37"/>
      <c r="T53" s="37"/>
      <c r="U53" s="37"/>
      <c r="V53" s="37"/>
      <c r="W53" s="37"/>
      <c r="X53" s="37"/>
      <c r="Y53" s="35"/>
      <c r="AA53">
        <f>B53*10+C53+(D53*Others!$B$33)+E53*500+F53+(G53*Others!$B$33)+H53*I53+J53*10+K53+(L53*Others!$B$33)+M53*500+N53+(O53*Others!$B$33)+P53*Q53+R53*10+S53+(T53*Others!$B$33)+U53*500+V53+(W53*Others!$B$33)+X53*Y53</f>
        <v>0</v>
      </c>
      <c r="AB53">
        <f>ROUND(SUM(AA$4:AA53)/A53,0)</f>
        <v>194</v>
      </c>
    </row>
    <row r="54" spans="1:28">
      <c r="A54" s="16">
        <f t="shared" si="0"/>
        <v>51</v>
      </c>
      <c r="B54" s="36"/>
      <c r="C54" s="37"/>
      <c r="D54" s="37"/>
      <c r="E54" s="37"/>
      <c r="F54" s="37"/>
      <c r="G54" s="37"/>
      <c r="H54" s="37"/>
      <c r="I54" s="69"/>
      <c r="J54" s="36"/>
      <c r="K54" s="37"/>
      <c r="L54" s="37"/>
      <c r="M54" s="37"/>
      <c r="N54" s="37"/>
      <c r="O54" s="37"/>
      <c r="P54" s="37"/>
      <c r="Q54" s="35"/>
      <c r="R54" s="234"/>
      <c r="S54" s="37"/>
      <c r="T54" s="37"/>
      <c r="U54" s="37"/>
      <c r="V54" s="37"/>
      <c r="W54" s="37"/>
      <c r="X54" s="37"/>
      <c r="Y54" s="35"/>
      <c r="AA54">
        <f>B54*10+C54+(D54*Others!$B$33)+E54*500+F54+(G54*Others!$B$33)+H54*I54+J54*10+K54+(L54*Others!$B$33)+M54*500+N54+(O54*Others!$B$33)+P54*Q54+R54*10+S54+(T54*Others!$B$33)+U54*500+V54+(W54*Others!$B$33)+X54*Y54</f>
        <v>0</v>
      </c>
      <c r="AB54">
        <f>ROUND(SUM(AA$4:AA54)/A54,0)</f>
        <v>190</v>
      </c>
    </row>
    <row r="55" spans="1:28">
      <c r="A55" s="16">
        <f t="shared" si="0"/>
        <v>52</v>
      </c>
      <c r="B55" s="36"/>
      <c r="C55" s="37"/>
      <c r="D55" s="37"/>
      <c r="E55" s="37"/>
      <c r="F55" s="37"/>
      <c r="G55" s="37"/>
      <c r="H55" s="37"/>
      <c r="I55" s="69"/>
      <c r="J55" s="36"/>
      <c r="K55" s="37"/>
      <c r="L55" s="37"/>
      <c r="M55" s="37"/>
      <c r="N55" s="37"/>
      <c r="O55" s="37"/>
      <c r="P55" s="37"/>
      <c r="Q55" s="35"/>
      <c r="R55" s="234"/>
      <c r="S55" s="37"/>
      <c r="T55" s="37"/>
      <c r="U55" s="37"/>
      <c r="V55" s="37"/>
      <c r="W55" s="37"/>
      <c r="X55" s="37"/>
      <c r="Y55" s="35"/>
      <c r="AA55">
        <f>B55*10+C55+(D55*Others!$B$33)+E55*500+F55+(G55*Others!$B$33)+H55*I55+J55*10+K55+(L55*Others!$B$33)+M55*500+N55+(O55*Others!$B$33)+P55*Q55+R55*10+S55+(T55*Others!$B$33)+U55*500+V55+(W55*Others!$B$33)+X55*Y55</f>
        <v>0</v>
      </c>
      <c r="AB55">
        <f>ROUND(SUM(AA$4:AA55)/A55,0)</f>
        <v>187</v>
      </c>
    </row>
    <row r="56" spans="1:28">
      <c r="A56" s="16">
        <f t="shared" si="0"/>
        <v>53</v>
      </c>
      <c r="B56" s="36"/>
      <c r="C56" s="37"/>
      <c r="D56" s="37"/>
      <c r="E56" s="37"/>
      <c r="F56" s="37"/>
      <c r="G56" s="37"/>
      <c r="H56" s="37"/>
      <c r="I56" s="69"/>
      <c r="J56" s="36"/>
      <c r="K56" s="37"/>
      <c r="L56" s="37"/>
      <c r="M56" s="37"/>
      <c r="N56" s="37"/>
      <c r="O56" s="37"/>
      <c r="P56" s="37"/>
      <c r="Q56" s="35"/>
      <c r="R56" s="234"/>
      <c r="S56" s="37"/>
      <c r="T56" s="37"/>
      <c r="U56" s="37"/>
      <c r="V56" s="37"/>
      <c r="W56" s="37"/>
      <c r="X56" s="37"/>
      <c r="Y56" s="35"/>
      <c r="AA56">
        <f>B56*10+C56+(D56*Others!$B$33)+E56*500+F56+(G56*Others!$B$33)+H56*I56+J56*10+K56+(L56*Others!$B$33)+M56*500+N56+(O56*Others!$B$33)+P56*Q56+R56*10+S56+(T56*Others!$B$33)+U56*500+V56+(W56*Others!$B$33)+X56*Y56</f>
        <v>0</v>
      </c>
      <c r="AB56">
        <f>ROUND(SUM(AA$4:AA56)/A56,0)</f>
        <v>183</v>
      </c>
    </row>
    <row r="57" spans="1:28">
      <c r="A57" s="16">
        <f t="shared" si="0"/>
        <v>54</v>
      </c>
      <c r="B57" s="36"/>
      <c r="C57" s="37"/>
      <c r="D57" s="37"/>
      <c r="E57" s="37"/>
      <c r="F57" s="37"/>
      <c r="G57" s="37"/>
      <c r="H57" s="37"/>
      <c r="I57" s="69"/>
      <c r="J57" s="36"/>
      <c r="K57" s="37"/>
      <c r="L57" s="37"/>
      <c r="M57" s="37"/>
      <c r="N57" s="37"/>
      <c r="O57" s="37"/>
      <c r="P57" s="37"/>
      <c r="Q57" s="35"/>
      <c r="R57" s="234"/>
      <c r="S57" s="37"/>
      <c r="T57" s="37"/>
      <c r="U57" s="37"/>
      <c r="V57" s="37"/>
      <c r="W57" s="37"/>
      <c r="X57" s="37"/>
      <c r="Y57" s="35"/>
      <c r="AA57">
        <f>B57*10+C57+(D57*Others!$B$33)+E57*500+F57+(G57*Others!$B$33)+H57*I57+J57*10+K57+(L57*Others!$B$33)+M57*500+N57+(O57*Others!$B$33)+P57*Q57+R57*10+S57+(T57*Others!$B$33)+U57*500+V57+(W57*Others!$B$33)+X57*Y57</f>
        <v>0</v>
      </c>
      <c r="AB57">
        <f>ROUND(SUM(AA$4:AA57)/A57,0)</f>
        <v>180</v>
      </c>
    </row>
    <row r="58" spans="1:28">
      <c r="A58" s="16">
        <f t="shared" si="0"/>
        <v>55</v>
      </c>
      <c r="B58" s="36"/>
      <c r="C58" s="37"/>
      <c r="D58" s="37"/>
      <c r="E58" s="37"/>
      <c r="F58" s="37"/>
      <c r="G58" s="37"/>
      <c r="H58" s="37"/>
      <c r="I58" s="69"/>
      <c r="J58" s="36"/>
      <c r="K58" s="37"/>
      <c r="L58" s="37"/>
      <c r="M58" s="37"/>
      <c r="N58" s="37"/>
      <c r="O58" s="37"/>
      <c r="P58" s="37"/>
      <c r="Q58" s="35"/>
      <c r="R58" s="234"/>
      <c r="S58" s="37"/>
      <c r="T58" s="37"/>
      <c r="U58" s="37"/>
      <c r="V58" s="37"/>
      <c r="W58" s="37"/>
      <c r="X58" s="37"/>
      <c r="Y58" s="35"/>
      <c r="AA58">
        <f>B58*10+C58+(D58*Others!$B$33)+E58*500+F58+(G58*Others!$B$33)+H58*I58+J58*10+K58+(L58*Others!$B$33)+M58*500+N58+(O58*Others!$B$33)+P58*Q58+R58*10+S58+(T58*Others!$B$33)+U58*500+V58+(W58*Others!$B$33)+X58*Y58</f>
        <v>0</v>
      </c>
      <c r="AB58">
        <f>ROUND(SUM(AA$4:AA58)/A58,0)</f>
        <v>177</v>
      </c>
    </row>
    <row r="59" spans="1:28">
      <c r="A59" s="16">
        <f t="shared" si="0"/>
        <v>56</v>
      </c>
      <c r="B59" s="36"/>
      <c r="C59" s="37"/>
      <c r="D59" s="37"/>
      <c r="E59" s="37"/>
      <c r="F59" s="37"/>
      <c r="G59" s="37"/>
      <c r="H59" s="37"/>
      <c r="I59" s="69"/>
      <c r="J59" s="36"/>
      <c r="K59" s="37"/>
      <c r="L59" s="37"/>
      <c r="M59" s="37"/>
      <c r="N59" s="37"/>
      <c r="O59" s="37"/>
      <c r="P59" s="37"/>
      <c r="Q59" s="35"/>
      <c r="R59" s="234"/>
      <c r="S59" s="37"/>
      <c r="T59" s="37"/>
      <c r="U59" s="37"/>
      <c r="V59" s="37"/>
      <c r="W59" s="37"/>
      <c r="X59" s="37"/>
      <c r="Y59" s="35"/>
      <c r="AA59">
        <f>B59*10+C59+(D59*Others!$B$33)+E59*500+F59+(G59*Others!$B$33)+H59*I59+J59*10+K59+(L59*Others!$B$33)+M59*500+N59+(O59*Others!$B$33)+P59*Q59+R59*10+S59+(T59*Others!$B$33)+U59*500+V59+(W59*Others!$B$33)+X59*Y59</f>
        <v>0</v>
      </c>
      <c r="AB59">
        <f>ROUND(SUM(AA$4:AA59)/A59,0)</f>
        <v>173</v>
      </c>
    </row>
    <row r="60" spans="1:28">
      <c r="A60" s="16">
        <f t="shared" si="0"/>
        <v>57</v>
      </c>
      <c r="B60" s="36"/>
      <c r="C60" s="37"/>
      <c r="D60" s="37"/>
      <c r="E60" s="37"/>
      <c r="F60" s="37"/>
      <c r="G60" s="37"/>
      <c r="H60" s="37"/>
      <c r="I60" s="69"/>
      <c r="J60" s="36"/>
      <c r="K60" s="37"/>
      <c r="L60" s="37"/>
      <c r="M60" s="37"/>
      <c r="N60" s="37"/>
      <c r="O60" s="37"/>
      <c r="P60" s="37"/>
      <c r="Q60" s="35"/>
      <c r="R60" s="234"/>
      <c r="S60" s="37"/>
      <c r="T60" s="37"/>
      <c r="U60" s="37"/>
      <c r="V60" s="37"/>
      <c r="W60" s="37"/>
      <c r="X60" s="37"/>
      <c r="Y60" s="35"/>
      <c r="AA60">
        <f>B60*10+C60+(D60*Others!$B$33)+E60*500+F60+(G60*Others!$B$33)+H60*I60+J60*10+K60+(L60*Others!$B$33)+M60*500+N60+(O60*Others!$B$33)+P60*Q60+R60*10+S60+(T60*Others!$B$33)+U60*500+V60+(W60*Others!$B$33)+X60*Y60</f>
        <v>0</v>
      </c>
      <c r="AB60">
        <f>ROUND(SUM(AA$4:AA60)/A60,0)</f>
        <v>170</v>
      </c>
    </row>
    <row r="61" spans="1:28">
      <c r="A61" s="16">
        <f t="shared" si="0"/>
        <v>58</v>
      </c>
      <c r="B61" s="36"/>
      <c r="C61" s="37"/>
      <c r="D61" s="37"/>
      <c r="E61" s="37"/>
      <c r="F61" s="37"/>
      <c r="G61" s="37"/>
      <c r="H61" s="37"/>
      <c r="I61" s="69"/>
      <c r="J61" s="36"/>
      <c r="K61" s="37"/>
      <c r="L61" s="37"/>
      <c r="M61" s="37"/>
      <c r="N61" s="37"/>
      <c r="O61" s="37"/>
      <c r="P61" s="37"/>
      <c r="Q61" s="35"/>
      <c r="R61" s="234"/>
      <c r="S61" s="37"/>
      <c r="T61" s="37"/>
      <c r="U61" s="37"/>
      <c r="V61" s="37"/>
      <c r="W61" s="37"/>
      <c r="X61" s="37"/>
      <c r="Y61" s="35"/>
      <c r="AA61">
        <f>B61*10+C61+(D61*Others!$B$33)+E61*500+F61+(G61*Others!$B$33)+H61*I61+J61*10+K61+(L61*Others!$B$33)+M61*500+N61+(O61*Others!$B$33)+P61*Q61+R61*10+S61+(T61*Others!$B$33)+U61*500+V61+(W61*Others!$B$33)+X61*Y61</f>
        <v>0</v>
      </c>
      <c r="AB61">
        <f>ROUND(SUM(AA$4:AA61)/A61,0)</f>
        <v>168</v>
      </c>
    </row>
    <row r="62" spans="1:28">
      <c r="A62" s="16">
        <f t="shared" si="0"/>
        <v>59</v>
      </c>
      <c r="B62" s="36"/>
      <c r="C62" s="37"/>
      <c r="D62" s="37"/>
      <c r="E62" s="37"/>
      <c r="F62" s="37"/>
      <c r="G62" s="37"/>
      <c r="H62" s="37"/>
      <c r="I62" s="69"/>
      <c r="J62" s="36"/>
      <c r="K62" s="37"/>
      <c r="L62" s="37"/>
      <c r="M62" s="37"/>
      <c r="N62" s="37"/>
      <c r="O62" s="37"/>
      <c r="P62" s="37"/>
      <c r="Q62" s="35"/>
      <c r="R62" s="234"/>
      <c r="S62" s="37"/>
      <c r="T62" s="37"/>
      <c r="U62" s="37"/>
      <c r="V62" s="37"/>
      <c r="W62" s="37"/>
      <c r="X62" s="37"/>
      <c r="Y62" s="35"/>
      <c r="AA62">
        <f>B62*10+C62+(D62*Others!$B$33)+E62*500+F62+(G62*Others!$B$33)+H62*I62+J62*10+K62+(L62*Others!$B$33)+M62*500+N62+(O62*Others!$B$33)+P62*Q62+R62*10+S62+(T62*Others!$B$33)+U62*500+V62+(W62*Others!$B$33)+X62*Y62</f>
        <v>0</v>
      </c>
      <c r="AB62">
        <f>ROUND(SUM(AA$4:AA62)/A62,0)</f>
        <v>165</v>
      </c>
    </row>
    <row r="63" spans="1:28">
      <c r="A63" s="16">
        <f t="shared" si="0"/>
        <v>60</v>
      </c>
      <c r="B63" s="36"/>
      <c r="C63" s="37"/>
      <c r="D63" s="37"/>
      <c r="E63" s="37"/>
      <c r="F63" s="37"/>
      <c r="G63" s="37"/>
      <c r="H63" s="37"/>
      <c r="I63" s="69"/>
      <c r="J63" s="36"/>
      <c r="K63" s="37"/>
      <c r="L63" s="37"/>
      <c r="M63" s="37"/>
      <c r="N63" s="37"/>
      <c r="O63" s="37"/>
      <c r="P63" s="37"/>
      <c r="Q63" s="35"/>
      <c r="R63" s="234"/>
      <c r="S63" s="37"/>
      <c r="T63" s="37"/>
      <c r="U63" s="37"/>
      <c r="V63" s="37"/>
      <c r="W63" s="37"/>
      <c r="X63" s="37"/>
      <c r="Y63" s="35"/>
      <c r="AA63">
        <f>B63*10+C63+(D63*Others!$B$33)+E63*500+F63+(G63*Others!$B$33)+H63*I63+J63*10+K63+(L63*Others!$B$33)+M63*500+N63+(O63*Others!$B$33)+P63*Q63+R63*10+S63+(T63*Others!$B$33)+U63*500+V63+(W63*Others!$B$33)+X63*Y63</f>
        <v>0</v>
      </c>
      <c r="AB63">
        <f>ROUND(SUM(AA$4:AA63)/A63,0)</f>
        <v>162</v>
      </c>
    </row>
    <row r="64" spans="1:28">
      <c r="A64" s="16">
        <f t="shared" si="0"/>
        <v>61</v>
      </c>
      <c r="B64" s="36"/>
      <c r="C64" s="37"/>
      <c r="D64" s="37"/>
      <c r="E64" s="37"/>
      <c r="F64" s="37"/>
      <c r="G64" s="37"/>
      <c r="H64" s="37"/>
      <c r="I64" s="69"/>
      <c r="J64" s="36"/>
      <c r="K64" s="37"/>
      <c r="L64" s="37"/>
      <c r="M64" s="37"/>
      <c r="N64" s="37"/>
      <c r="O64" s="37"/>
      <c r="P64" s="37"/>
      <c r="Q64" s="35"/>
      <c r="R64" s="234"/>
      <c r="S64" s="37"/>
      <c r="T64" s="37"/>
      <c r="U64" s="37"/>
      <c r="V64" s="37"/>
      <c r="W64" s="37"/>
      <c r="X64" s="37"/>
      <c r="Y64" s="35"/>
      <c r="AA64">
        <f>B64*10+C64+(D64*Others!$B$33)+E64*500+F64+(G64*Others!$B$33)+H64*I64+J64*10+K64+(L64*Others!$B$33)+M64*500+N64+(O64*Others!$B$33)+P64*Q64+R64*10+S64+(T64*Others!$B$33)+U64*500+V64+(W64*Others!$B$33)+X64*Y64</f>
        <v>0</v>
      </c>
      <c r="AB64">
        <f>ROUND(SUM(AA$4:AA64)/A64,0)</f>
        <v>159</v>
      </c>
    </row>
    <row r="65" spans="1:28">
      <c r="A65" s="16">
        <f t="shared" si="0"/>
        <v>62</v>
      </c>
      <c r="B65" s="36"/>
      <c r="C65" s="37"/>
      <c r="D65" s="37"/>
      <c r="E65" s="37"/>
      <c r="F65" s="37"/>
      <c r="G65" s="37"/>
      <c r="H65" s="37"/>
      <c r="I65" s="69"/>
      <c r="J65" s="36"/>
      <c r="K65" s="37"/>
      <c r="L65" s="37"/>
      <c r="M65" s="37"/>
      <c r="N65" s="37"/>
      <c r="O65" s="37"/>
      <c r="P65" s="37"/>
      <c r="Q65" s="35"/>
      <c r="R65" s="234"/>
      <c r="S65" s="37"/>
      <c r="T65" s="37"/>
      <c r="U65" s="37"/>
      <c r="V65" s="37"/>
      <c r="W65" s="37"/>
      <c r="X65" s="37"/>
      <c r="Y65" s="35"/>
      <c r="AA65">
        <f>B65*10+C65+(D65*Others!$B$33)+E65*500+F65+(G65*Others!$B$33)+H65*I65+J65*10+K65+(L65*Others!$B$33)+M65*500+N65+(O65*Others!$B$33)+P65*Q65+R65*10+S65+(T65*Others!$B$33)+U65*500+V65+(W65*Others!$B$33)+X65*Y65</f>
        <v>0</v>
      </c>
      <c r="AB65">
        <f>ROUND(SUM(AA$4:AA65)/A65,0)</f>
        <v>157</v>
      </c>
    </row>
    <row r="66" spans="1:28">
      <c r="A66" s="16">
        <f t="shared" si="0"/>
        <v>63</v>
      </c>
      <c r="B66" s="36"/>
      <c r="C66" s="37"/>
      <c r="D66" s="37"/>
      <c r="E66" s="37"/>
      <c r="F66" s="37"/>
      <c r="G66" s="37"/>
      <c r="H66" s="37"/>
      <c r="I66" s="69"/>
      <c r="J66" s="36"/>
      <c r="K66" s="37"/>
      <c r="L66" s="37"/>
      <c r="M66" s="37"/>
      <c r="N66" s="37"/>
      <c r="O66" s="37"/>
      <c r="P66" s="37"/>
      <c r="Q66" s="35"/>
      <c r="R66" s="234"/>
      <c r="S66" s="37"/>
      <c r="T66" s="37"/>
      <c r="U66" s="37"/>
      <c r="V66" s="37"/>
      <c r="W66" s="37"/>
      <c r="X66" s="37"/>
      <c r="Y66" s="35"/>
      <c r="AA66">
        <f>B66*10+C66+(D66*Others!$B$33)+E66*500+F66+(G66*Others!$B$33)+H66*I66+J66*10+K66+(L66*Others!$B$33)+M66*500+N66+(O66*Others!$B$33)+P66*Q66+R66*10+S66+(T66*Others!$B$33)+U66*500+V66+(W66*Others!$B$33)+X66*Y66</f>
        <v>0</v>
      </c>
      <c r="AB66">
        <f>ROUND(SUM(AA$4:AA66)/A66,0)</f>
        <v>154</v>
      </c>
    </row>
    <row r="67" spans="1:28">
      <c r="A67" s="16">
        <f t="shared" si="0"/>
        <v>64</v>
      </c>
      <c r="B67" s="36"/>
      <c r="C67" s="37"/>
      <c r="D67" s="37"/>
      <c r="E67" s="37"/>
      <c r="F67" s="37"/>
      <c r="G67" s="37"/>
      <c r="H67" s="37"/>
      <c r="I67" s="69"/>
      <c r="J67" s="36"/>
      <c r="K67" s="37"/>
      <c r="L67" s="37"/>
      <c r="M67" s="37"/>
      <c r="N67" s="37"/>
      <c r="O67" s="37"/>
      <c r="P67" s="37"/>
      <c r="Q67" s="35"/>
      <c r="R67" s="234"/>
      <c r="S67" s="37"/>
      <c r="T67" s="37"/>
      <c r="U67" s="37"/>
      <c r="V67" s="37"/>
      <c r="W67" s="37"/>
      <c r="X67" s="37"/>
      <c r="Y67" s="35"/>
      <c r="AA67">
        <f>B67*10+C67+(D67*Others!$B$33)+E67*500+F67+(G67*Others!$B$33)+H67*I67+J67*10+K67+(L67*Others!$B$33)+M67*500+N67+(O67*Others!$B$33)+P67*Q67+R67*10+S67+(T67*Others!$B$33)+U67*500+V67+(W67*Others!$B$33)+X67*Y67</f>
        <v>0</v>
      </c>
      <c r="AB67">
        <f>ROUND(SUM(AA$4:AA67)/A67,0)</f>
        <v>152</v>
      </c>
    </row>
    <row r="68" spans="1:28">
      <c r="A68" s="16">
        <f t="shared" si="0"/>
        <v>65</v>
      </c>
      <c r="B68" s="36"/>
      <c r="C68" s="37"/>
      <c r="D68" s="37"/>
      <c r="E68" s="37"/>
      <c r="F68" s="37"/>
      <c r="G68" s="37"/>
      <c r="H68" s="37"/>
      <c r="I68" s="69"/>
      <c r="J68" s="36"/>
      <c r="K68" s="37"/>
      <c r="L68" s="37"/>
      <c r="M68" s="37"/>
      <c r="N68" s="37"/>
      <c r="O68" s="37"/>
      <c r="P68" s="37"/>
      <c r="Q68" s="35"/>
      <c r="R68" s="234"/>
      <c r="S68" s="37"/>
      <c r="T68" s="37"/>
      <c r="U68" s="37"/>
      <c r="V68" s="37"/>
      <c r="W68" s="37"/>
      <c r="X68" s="37"/>
      <c r="Y68" s="35"/>
      <c r="AA68">
        <f>B68*10+C68+(D68*Others!$B$33)+E68*500+F68+(G68*Others!$B$33)+H68*I68+J68*10+K68+(L68*Others!$B$33)+M68*500+N68+(O68*Others!$B$33)+P68*Q68+R68*10+S68+(T68*Others!$B$33)+U68*500+V68+(W68*Others!$B$33)+X68*Y68</f>
        <v>0</v>
      </c>
      <c r="AB68">
        <f>ROUND(SUM(AA$4:AA68)/A68,0)</f>
        <v>149</v>
      </c>
    </row>
    <row r="69" spans="1:28">
      <c r="A69" s="16">
        <f t="shared" ref="A69:A132" si="1">IF(ISNUMBER(A68),A68,0)+1</f>
        <v>66</v>
      </c>
      <c r="B69" s="36"/>
      <c r="C69" s="37"/>
      <c r="D69" s="37"/>
      <c r="E69" s="37"/>
      <c r="F69" s="37"/>
      <c r="G69" s="37"/>
      <c r="H69" s="37"/>
      <c r="I69" s="69"/>
      <c r="J69" s="36"/>
      <c r="K69" s="37"/>
      <c r="L69" s="37"/>
      <c r="M69" s="37"/>
      <c r="N69" s="37"/>
      <c r="O69" s="37"/>
      <c r="P69" s="37"/>
      <c r="Q69" s="35"/>
      <c r="R69" s="234"/>
      <c r="S69" s="37"/>
      <c r="T69" s="37"/>
      <c r="U69" s="37"/>
      <c r="V69" s="37"/>
      <c r="W69" s="37"/>
      <c r="X69" s="37"/>
      <c r="Y69" s="35"/>
      <c r="AA69">
        <f>B69*10+C69+(D69*Others!$B$33)+E69*500+F69+(G69*Others!$B$33)+H69*I69+J69*10+K69+(L69*Others!$B$33)+M69*500+N69+(O69*Others!$B$33)+P69*Q69+R69*10+S69+(T69*Others!$B$33)+U69*500+V69+(W69*Others!$B$33)+X69*Y69</f>
        <v>0</v>
      </c>
      <c r="AB69">
        <f>ROUND(SUM(AA$4:AA69)/A69,0)</f>
        <v>147</v>
      </c>
    </row>
    <row r="70" spans="1:28">
      <c r="A70" s="16">
        <f t="shared" si="1"/>
        <v>67</v>
      </c>
      <c r="B70" s="36"/>
      <c r="C70" s="37"/>
      <c r="D70" s="37"/>
      <c r="E70" s="37"/>
      <c r="F70" s="37"/>
      <c r="G70" s="37"/>
      <c r="H70" s="37"/>
      <c r="I70" s="69"/>
      <c r="J70" s="36"/>
      <c r="K70" s="37"/>
      <c r="L70" s="37"/>
      <c r="M70" s="37"/>
      <c r="N70" s="37"/>
      <c r="O70" s="37"/>
      <c r="P70" s="37"/>
      <c r="Q70" s="35"/>
      <c r="R70" s="234"/>
      <c r="S70" s="37"/>
      <c r="T70" s="37"/>
      <c r="U70" s="37"/>
      <c r="V70" s="37"/>
      <c r="W70" s="37"/>
      <c r="X70" s="37"/>
      <c r="Y70" s="35"/>
      <c r="AA70">
        <f>B70*10+C70+(D70*Others!$B$33)+E70*500+F70+(G70*Others!$B$33)+H70*I70+J70*10+K70+(L70*Others!$B$33)+M70*500+N70+(O70*Others!$B$33)+P70*Q70+R70*10+S70+(T70*Others!$B$33)+U70*500+V70+(W70*Others!$B$33)+X70*Y70</f>
        <v>0</v>
      </c>
      <c r="AB70">
        <f>ROUND(SUM(AA$4:AA70)/A70,0)</f>
        <v>145</v>
      </c>
    </row>
    <row r="71" spans="1:28">
      <c r="A71" s="16">
        <f t="shared" si="1"/>
        <v>68</v>
      </c>
      <c r="B71" s="36"/>
      <c r="C71" s="37"/>
      <c r="D71" s="37"/>
      <c r="E71" s="37"/>
      <c r="F71" s="37"/>
      <c r="G71" s="37"/>
      <c r="H71" s="37"/>
      <c r="I71" s="69"/>
      <c r="J71" s="36"/>
      <c r="K71" s="37"/>
      <c r="L71" s="37"/>
      <c r="M71" s="37"/>
      <c r="N71" s="37"/>
      <c r="O71" s="37"/>
      <c r="P71" s="37"/>
      <c r="Q71" s="35"/>
      <c r="R71" s="234"/>
      <c r="S71" s="37"/>
      <c r="T71" s="37"/>
      <c r="U71" s="37"/>
      <c r="V71" s="37"/>
      <c r="W71" s="37"/>
      <c r="X71" s="37"/>
      <c r="Y71" s="35"/>
      <c r="AA71">
        <f>B71*10+C71+(D71*Others!$B$33)+E71*500+F71+(G71*Others!$B$33)+H71*I71+J71*10+K71+(L71*Others!$B$33)+M71*500+N71+(O71*Others!$B$33)+P71*Q71+R71*10+S71+(T71*Others!$B$33)+U71*500+V71+(W71*Others!$B$33)+X71*Y71</f>
        <v>0</v>
      </c>
      <c r="AB71">
        <f>ROUND(SUM(AA$4:AA71)/A71,0)</f>
        <v>143</v>
      </c>
    </row>
    <row r="72" spans="1:28">
      <c r="A72" s="16">
        <f t="shared" si="1"/>
        <v>69</v>
      </c>
      <c r="B72" s="36"/>
      <c r="C72" s="37"/>
      <c r="D72" s="37"/>
      <c r="E72" s="37"/>
      <c r="F72" s="37"/>
      <c r="G72" s="37"/>
      <c r="H72" s="37"/>
      <c r="I72" s="69"/>
      <c r="J72" s="36"/>
      <c r="K72" s="37"/>
      <c r="L72" s="37"/>
      <c r="M72" s="37"/>
      <c r="N72" s="37"/>
      <c r="O72" s="37"/>
      <c r="P72" s="37"/>
      <c r="Q72" s="35"/>
      <c r="R72" s="234"/>
      <c r="S72" s="37"/>
      <c r="T72" s="37"/>
      <c r="U72" s="37"/>
      <c r="V72" s="37"/>
      <c r="W72" s="37"/>
      <c r="X72" s="37"/>
      <c r="Y72" s="35"/>
      <c r="AA72">
        <f>B72*10+C72+(D72*Others!$B$33)+E72*500+F72+(G72*Others!$B$33)+H72*I72+J72*10+K72+(L72*Others!$B$33)+M72*500+N72+(O72*Others!$B$33)+P72*Q72+R72*10+S72+(T72*Others!$B$33)+U72*500+V72+(W72*Others!$B$33)+X72*Y72</f>
        <v>0</v>
      </c>
      <c r="AB72">
        <f>ROUND(SUM(AA$4:AA72)/A72,0)</f>
        <v>141</v>
      </c>
    </row>
    <row r="73" spans="1:28">
      <c r="A73" s="16">
        <f t="shared" si="1"/>
        <v>70</v>
      </c>
      <c r="B73" s="36"/>
      <c r="C73" s="37"/>
      <c r="D73" s="37"/>
      <c r="E73" s="37"/>
      <c r="F73" s="37"/>
      <c r="G73" s="37"/>
      <c r="H73" s="37"/>
      <c r="I73" s="69"/>
      <c r="J73" s="36"/>
      <c r="K73" s="37"/>
      <c r="L73" s="37"/>
      <c r="M73" s="37"/>
      <c r="N73" s="37"/>
      <c r="O73" s="37"/>
      <c r="P73" s="37"/>
      <c r="Q73" s="35"/>
      <c r="R73" s="234"/>
      <c r="S73" s="37"/>
      <c r="T73" s="37"/>
      <c r="U73" s="37"/>
      <c r="V73" s="37"/>
      <c r="W73" s="37"/>
      <c r="X73" s="37"/>
      <c r="Y73" s="35"/>
      <c r="AA73">
        <f>B73*10+C73+(D73*Others!$B$33)+E73*500+F73+(G73*Others!$B$33)+H73*I73+J73*10+K73+(L73*Others!$B$33)+M73*500+N73+(O73*Others!$B$33)+P73*Q73+R73*10+S73+(T73*Others!$B$33)+U73*500+V73+(W73*Others!$B$33)+X73*Y73</f>
        <v>0</v>
      </c>
      <c r="AB73">
        <f>ROUND(SUM(AA$4:AA73)/A73,0)</f>
        <v>139</v>
      </c>
    </row>
    <row r="74" spans="1:28">
      <c r="A74" s="16">
        <f t="shared" si="1"/>
        <v>71</v>
      </c>
      <c r="B74" s="36"/>
      <c r="C74" s="37"/>
      <c r="D74" s="37"/>
      <c r="E74" s="37"/>
      <c r="F74" s="37"/>
      <c r="G74" s="37"/>
      <c r="H74" s="37"/>
      <c r="I74" s="69"/>
      <c r="J74" s="36"/>
      <c r="K74" s="37"/>
      <c r="L74" s="37"/>
      <c r="M74" s="37"/>
      <c r="N74" s="37"/>
      <c r="O74" s="37"/>
      <c r="P74" s="37"/>
      <c r="Q74" s="35"/>
      <c r="R74" s="234"/>
      <c r="S74" s="37"/>
      <c r="T74" s="37"/>
      <c r="U74" s="37"/>
      <c r="V74" s="37"/>
      <c r="W74" s="37"/>
      <c r="X74" s="37"/>
      <c r="Y74" s="35"/>
      <c r="AA74">
        <f>B74*10+C74+(D74*Others!$B$33)+E74*500+F74+(G74*Others!$B$33)+H74*I74+J74*10+K74+(L74*Others!$B$33)+M74*500+N74+(O74*Others!$B$33)+P74*Q74+R74*10+S74+(T74*Others!$B$33)+U74*500+V74+(W74*Others!$B$33)+X74*Y74</f>
        <v>0</v>
      </c>
      <c r="AB74">
        <f>ROUND(SUM(AA$4:AA74)/A74,0)</f>
        <v>137</v>
      </c>
    </row>
    <row r="75" spans="1:28">
      <c r="A75" s="16">
        <f t="shared" si="1"/>
        <v>72</v>
      </c>
      <c r="B75" s="36"/>
      <c r="C75" s="37"/>
      <c r="D75" s="37"/>
      <c r="E75" s="37"/>
      <c r="F75" s="37"/>
      <c r="G75" s="37"/>
      <c r="H75" s="37"/>
      <c r="I75" s="69"/>
      <c r="J75" s="36"/>
      <c r="K75" s="37"/>
      <c r="L75" s="37"/>
      <c r="M75" s="37"/>
      <c r="N75" s="37"/>
      <c r="O75" s="37"/>
      <c r="P75" s="37"/>
      <c r="Q75" s="35"/>
      <c r="R75" s="234"/>
      <c r="S75" s="37"/>
      <c r="T75" s="37"/>
      <c r="U75" s="37"/>
      <c r="V75" s="37"/>
      <c r="W75" s="37"/>
      <c r="X75" s="37"/>
      <c r="Y75" s="35"/>
      <c r="AA75">
        <f>B75*10+C75+(D75*Others!$B$33)+E75*500+F75+(G75*Others!$B$33)+H75*I75+J75*10+K75+(L75*Others!$B$33)+M75*500+N75+(O75*Others!$B$33)+P75*Q75+R75*10+S75+(T75*Others!$B$33)+U75*500+V75+(W75*Others!$B$33)+X75*Y75</f>
        <v>0</v>
      </c>
      <c r="AB75">
        <f>ROUND(SUM(AA$4:AA75)/A75,0)</f>
        <v>135</v>
      </c>
    </row>
    <row r="76" spans="1:28">
      <c r="A76" s="16">
        <f t="shared" si="1"/>
        <v>73</v>
      </c>
      <c r="B76" s="36"/>
      <c r="C76" s="37"/>
      <c r="D76" s="37"/>
      <c r="E76" s="37"/>
      <c r="F76" s="37"/>
      <c r="G76" s="37"/>
      <c r="H76" s="37"/>
      <c r="I76" s="69"/>
      <c r="J76" s="36"/>
      <c r="K76" s="37"/>
      <c r="L76" s="37"/>
      <c r="M76" s="37"/>
      <c r="N76" s="37"/>
      <c r="O76" s="37"/>
      <c r="P76" s="37"/>
      <c r="Q76" s="35"/>
      <c r="R76" s="234"/>
      <c r="S76" s="37"/>
      <c r="T76" s="37"/>
      <c r="U76" s="37"/>
      <c r="V76" s="37"/>
      <c r="W76" s="37"/>
      <c r="X76" s="37"/>
      <c r="Y76" s="35"/>
      <c r="AA76">
        <f>B76*10+C76+(D76*Others!$B$33)+E76*500+F76+(G76*Others!$B$33)+H76*I76+J76*10+K76+(L76*Others!$B$33)+M76*500+N76+(O76*Others!$B$33)+P76*Q76+R76*10+S76+(T76*Others!$B$33)+U76*500+V76+(W76*Others!$B$33)+X76*Y76</f>
        <v>0</v>
      </c>
      <c r="AB76">
        <f>ROUND(SUM(AA$4:AA76)/A76,0)</f>
        <v>133</v>
      </c>
    </row>
    <row r="77" spans="1:28">
      <c r="A77" s="16">
        <f t="shared" si="1"/>
        <v>74</v>
      </c>
      <c r="B77" s="36"/>
      <c r="C77" s="37"/>
      <c r="D77" s="37"/>
      <c r="E77" s="37"/>
      <c r="F77" s="37"/>
      <c r="G77" s="37"/>
      <c r="H77" s="37"/>
      <c r="I77" s="69"/>
      <c r="J77" s="36"/>
      <c r="K77" s="37"/>
      <c r="L77" s="37"/>
      <c r="M77" s="37"/>
      <c r="N77" s="37"/>
      <c r="O77" s="37"/>
      <c r="P77" s="37"/>
      <c r="Q77" s="35"/>
      <c r="R77" s="234"/>
      <c r="S77" s="37"/>
      <c r="T77" s="37"/>
      <c r="U77" s="37"/>
      <c r="V77" s="37"/>
      <c r="W77" s="37"/>
      <c r="X77" s="37"/>
      <c r="Y77" s="35"/>
      <c r="AA77">
        <f>B77*10+C77+(D77*Others!$B$33)+E77*500+F77+(G77*Others!$B$33)+H77*I77+J77*10+K77+(L77*Others!$B$33)+M77*500+N77+(O77*Others!$B$33)+P77*Q77+R77*10+S77+(T77*Others!$B$33)+U77*500+V77+(W77*Others!$B$33)+X77*Y77</f>
        <v>0</v>
      </c>
      <c r="AB77">
        <f>ROUND(SUM(AA$4:AA77)/A77,0)</f>
        <v>131</v>
      </c>
    </row>
    <row r="78" spans="1:28">
      <c r="A78" s="16">
        <f t="shared" si="1"/>
        <v>75</v>
      </c>
      <c r="B78" s="36"/>
      <c r="C78" s="37"/>
      <c r="D78" s="37"/>
      <c r="E78" s="37"/>
      <c r="F78" s="37"/>
      <c r="G78" s="37"/>
      <c r="H78" s="37"/>
      <c r="I78" s="69"/>
      <c r="J78" s="36"/>
      <c r="K78" s="37"/>
      <c r="L78" s="37"/>
      <c r="M78" s="37"/>
      <c r="N78" s="37"/>
      <c r="O78" s="37"/>
      <c r="P78" s="37"/>
      <c r="Q78" s="35"/>
      <c r="R78" s="234"/>
      <c r="S78" s="37"/>
      <c r="T78" s="37"/>
      <c r="U78" s="37"/>
      <c r="V78" s="37"/>
      <c r="W78" s="37"/>
      <c r="X78" s="37"/>
      <c r="Y78" s="35"/>
      <c r="AA78">
        <f>B78*10+C78+(D78*Others!$B$33)+E78*500+F78+(G78*Others!$B$33)+H78*I78+J78*10+K78+(L78*Others!$B$33)+M78*500+N78+(O78*Others!$B$33)+P78*Q78+R78*10+S78+(T78*Others!$B$33)+U78*500+V78+(W78*Others!$B$33)+X78*Y78</f>
        <v>0</v>
      </c>
      <c r="AB78">
        <f>ROUND(SUM(AA$4:AA78)/A78,0)</f>
        <v>130</v>
      </c>
    </row>
    <row r="79" spans="1:28">
      <c r="A79" s="16">
        <f t="shared" si="1"/>
        <v>76</v>
      </c>
      <c r="B79" s="36"/>
      <c r="C79" s="37"/>
      <c r="D79" s="37"/>
      <c r="E79" s="37"/>
      <c r="F79" s="37"/>
      <c r="G79" s="37"/>
      <c r="H79" s="37"/>
      <c r="I79" s="69"/>
      <c r="J79" s="36"/>
      <c r="K79" s="37"/>
      <c r="L79" s="37"/>
      <c r="M79" s="37"/>
      <c r="N79" s="37"/>
      <c r="O79" s="37"/>
      <c r="P79" s="37"/>
      <c r="Q79" s="35"/>
      <c r="R79" s="234"/>
      <c r="S79" s="37"/>
      <c r="T79" s="37"/>
      <c r="U79" s="37"/>
      <c r="V79" s="37"/>
      <c r="W79" s="37"/>
      <c r="X79" s="37"/>
      <c r="Y79" s="35"/>
      <c r="AA79">
        <f>B79*10+C79+(D79*Others!$B$33)+E79*500+F79+(G79*Others!$B$33)+H79*I79+J79*10+K79+(L79*Others!$B$33)+M79*500+N79+(O79*Others!$B$33)+P79*Q79+R79*10+S79+(T79*Others!$B$33)+U79*500+V79+(W79*Others!$B$33)+X79*Y79</f>
        <v>0</v>
      </c>
      <c r="AB79">
        <f>ROUND(SUM(AA$4:AA79)/A79,0)</f>
        <v>128</v>
      </c>
    </row>
    <row r="80" spans="1:28">
      <c r="A80" s="16">
        <f t="shared" si="1"/>
        <v>77</v>
      </c>
      <c r="B80" s="36"/>
      <c r="C80" s="37"/>
      <c r="D80" s="37"/>
      <c r="E80" s="37"/>
      <c r="F80" s="37"/>
      <c r="G80" s="37"/>
      <c r="H80" s="37"/>
      <c r="I80" s="69"/>
      <c r="J80" s="36"/>
      <c r="K80" s="37"/>
      <c r="L80" s="37"/>
      <c r="M80" s="37"/>
      <c r="N80" s="37"/>
      <c r="O80" s="37"/>
      <c r="P80" s="37"/>
      <c r="Q80" s="35"/>
      <c r="R80" s="234"/>
      <c r="S80" s="37"/>
      <c r="T80" s="37"/>
      <c r="U80" s="37"/>
      <c r="V80" s="37"/>
      <c r="W80" s="37"/>
      <c r="X80" s="37"/>
      <c r="Y80" s="35"/>
      <c r="AA80">
        <f>B80*10+C80+(D80*Others!$B$33)+E80*500+F80+(G80*Others!$B$33)+H80*I80+J80*10+K80+(L80*Others!$B$33)+M80*500+N80+(O80*Others!$B$33)+P80*Q80+R80*10+S80+(T80*Others!$B$33)+U80*500+V80+(W80*Others!$B$33)+X80*Y80</f>
        <v>0</v>
      </c>
      <c r="AB80">
        <f>ROUND(SUM(AA$4:AA80)/A80,0)</f>
        <v>126</v>
      </c>
    </row>
    <row r="81" spans="1:28">
      <c r="A81" s="16">
        <f t="shared" si="1"/>
        <v>78</v>
      </c>
      <c r="B81" s="36"/>
      <c r="C81" s="37"/>
      <c r="D81" s="37"/>
      <c r="E81" s="37"/>
      <c r="F81" s="37"/>
      <c r="G81" s="37"/>
      <c r="H81" s="37"/>
      <c r="I81" s="69"/>
      <c r="J81" s="36"/>
      <c r="K81" s="37"/>
      <c r="L81" s="37"/>
      <c r="M81" s="37"/>
      <c r="N81" s="37"/>
      <c r="O81" s="37"/>
      <c r="P81" s="37"/>
      <c r="Q81" s="35"/>
      <c r="R81" s="234"/>
      <c r="S81" s="37"/>
      <c r="T81" s="37"/>
      <c r="U81" s="37"/>
      <c r="V81" s="37"/>
      <c r="W81" s="37"/>
      <c r="X81" s="37"/>
      <c r="Y81" s="35"/>
      <c r="AA81">
        <f>B81*10+C81+(D81*Others!$B$33)+E81*500+F81+(G81*Others!$B$33)+H81*I81+J81*10+K81+(L81*Others!$B$33)+M81*500+N81+(O81*Others!$B$33)+P81*Q81+R81*10+S81+(T81*Others!$B$33)+U81*500+V81+(W81*Others!$B$33)+X81*Y81</f>
        <v>0</v>
      </c>
      <c r="AB81">
        <f>ROUND(SUM(AA$4:AA81)/A81,0)</f>
        <v>125</v>
      </c>
    </row>
    <row r="82" spans="1:28">
      <c r="A82" s="16">
        <f t="shared" si="1"/>
        <v>79</v>
      </c>
      <c r="B82" s="36"/>
      <c r="C82" s="37"/>
      <c r="D82" s="37"/>
      <c r="E82" s="37"/>
      <c r="F82" s="37"/>
      <c r="G82" s="37"/>
      <c r="H82" s="37"/>
      <c r="I82" s="69"/>
      <c r="J82" s="36"/>
      <c r="K82" s="37"/>
      <c r="L82" s="37"/>
      <c r="M82" s="37"/>
      <c r="N82" s="37"/>
      <c r="O82" s="37"/>
      <c r="P82" s="37"/>
      <c r="Q82" s="35"/>
      <c r="R82" s="234"/>
      <c r="S82" s="37"/>
      <c r="T82" s="37"/>
      <c r="U82" s="37"/>
      <c r="V82" s="37"/>
      <c r="W82" s="37"/>
      <c r="X82" s="37"/>
      <c r="Y82" s="35"/>
      <c r="AA82">
        <f>B82*10+C82+(D82*Others!$B$33)+E82*500+F82+(G82*Others!$B$33)+H82*I82+J82*10+K82+(L82*Others!$B$33)+M82*500+N82+(O82*Others!$B$33)+P82*Q82+R82*10+S82+(T82*Others!$B$33)+U82*500+V82+(W82*Others!$B$33)+X82*Y82</f>
        <v>0</v>
      </c>
      <c r="AB82">
        <f>ROUND(SUM(AA$4:AA82)/A82,0)</f>
        <v>123</v>
      </c>
    </row>
    <row r="83" spans="1:28">
      <c r="A83" s="16">
        <f t="shared" si="1"/>
        <v>80</v>
      </c>
      <c r="B83" s="36"/>
      <c r="C83" s="37"/>
      <c r="D83" s="37"/>
      <c r="E83" s="37"/>
      <c r="F83" s="37"/>
      <c r="G83" s="37"/>
      <c r="H83" s="37"/>
      <c r="I83" s="69"/>
      <c r="J83" s="36"/>
      <c r="K83" s="37"/>
      <c r="L83" s="37"/>
      <c r="M83" s="37"/>
      <c r="N83" s="37"/>
      <c r="O83" s="37"/>
      <c r="P83" s="37"/>
      <c r="Q83" s="35"/>
      <c r="R83" s="234"/>
      <c r="S83" s="37"/>
      <c r="T83" s="37"/>
      <c r="U83" s="37"/>
      <c r="V83" s="37"/>
      <c r="W83" s="37"/>
      <c r="X83" s="37"/>
      <c r="Y83" s="35"/>
      <c r="AA83">
        <f>B83*10+C83+(D83*Others!$B$33)+E83*500+F83+(G83*Others!$B$33)+H83*I83+J83*10+K83+(L83*Others!$B$33)+M83*500+N83+(O83*Others!$B$33)+P83*Q83+R83*10+S83+(T83*Others!$B$33)+U83*500+V83+(W83*Others!$B$33)+X83*Y83</f>
        <v>0</v>
      </c>
      <c r="AB83">
        <f>ROUND(SUM(AA$4:AA83)/A83,0)</f>
        <v>121</v>
      </c>
    </row>
    <row r="84" spans="1:28">
      <c r="A84" s="16">
        <f t="shared" si="1"/>
        <v>81</v>
      </c>
      <c r="B84" s="36"/>
      <c r="C84" s="37"/>
      <c r="D84" s="37"/>
      <c r="E84" s="37"/>
      <c r="F84" s="37"/>
      <c r="G84" s="37"/>
      <c r="H84" s="37"/>
      <c r="I84" s="69"/>
      <c r="J84" s="36"/>
      <c r="K84" s="37"/>
      <c r="L84" s="37"/>
      <c r="M84" s="37"/>
      <c r="N84" s="37"/>
      <c r="O84" s="37"/>
      <c r="P84" s="37"/>
      <c r="Q84" s="35"/>
      <c r="R84" s="234"/>
      <c r="S84" s="37"/>
      <c r="T84" s="37"/>
      <c r="U84" s="37"/>
      <c r="V84" s="37"/>
      <c r="W84" s="37"/>
      <c r="X84" s="37"/>
      <c r="Y84" s="35"/>
      <c r="AA84">
        <f>B84*10+C84+(D84*Others!$B$33)+E84*500+F84+(G84*Others!$B$33)+H84*I84+J84*10+K84+(L84*Others!$B$33)+M84*500+N84+(O84*Others!$B$33)+P84*Q84+R84*10+S84+(T84*Others!$B$33)+U84*500+V84+(W84*Others!$B$33)+X84*Y84</f>
        <v>0</v>
      </c>
      <c r="AB84">
        <f>ROUND(SUM(AA$4:AA84)/A84,0)</f>
        <v>120</v>
      </c>
    </row>
    <row r="85" spans="1:28">
      <c r="A85" s="16">
        <f t="shared" si="1"/>
        <v>82</v>
      </c>
      <c r="B85" s="36"/>
      <c r="C85" s="37"/>
      <c r="D85" s="37"/>
      <c r="E85" s="37"/>
      <c r="F85" s="37"/>
      <c r="G85" s="37"/>
      <c r="H85" s="37"/>
      <c r="I85" s="69"/>
      <c r="J85" s="36"/>
      <c r="K85" s="37"/>
      <c r="L85" s="37"/>
      <c r="M85" s="37"/>
      <c r="N85" s="37"/>
      <c r="O85" s="37"/>
      <c r="P85" s="37"/>
      <c r="Q85" s="35"/>
      <c r="R85" s="234"/>
      <c r="S85" s="37"/>
      <c r="T85" s="37"/>
      <c r="U85" s="37"/>
      <c r="V85" s="37"/>
      <c r="W85" s="37"/>
      <c r="X85" s="37"/>
      <c r="Y85" s="35"/>
      <c r="AA85">
        <f>B85*10+C85+(D85*Others!$B$33)+E85*500+F85+(G85*Others!$B$33)+H85*I85+J85*10+K85+(L85*Others!$B$33)+M85*500+N85+(O85*Others!$B$33)+P85*Q85+R85*10+S85+(T85*Others!$B$33)+U85*500+V85+(W85*Others!$B$33)+X85*Y85</f>
        <v>0</v>
      </c>
      <c r="AB85">
        <f>ROUND(SUM(AA$4:AA85)/A85,0)</f>
        <v>118</v>
      </c>
    </row>
    <row r="86" spans="1:28">
      <c r="A86" s="16">
        <f t="shared" si="1"/>
        <v>83</v>
      </c>
      <c r="B86" s="36"/>
      <c r="C86" s="37"/>
      <c r="D86" s="37"/>
      <c r="E86" s="37"/>
      <c r="F86" s="37"/>
      <c r="G86" s="37"/>
      <c r="H86" s="37"/>
      <c r="I86" s="69"/>
      <c r="J86" s="36"/>
      <c r="K86" s="37"/>
      <c r="L86" s="37"/>
      <c r="M86" s="37"/>
      <c r="N86" s="37"/>
      <c r="O86" s="37"/>
      <c r="P86" s="37"/>
      <c r="Q86" s="35"/>
      <c r="R86" s="234"/>
      <c r="S86" s="37"/>
      <c r="T86" s="37"/>
      <c r="U86" s="37"/>
      <c r="V86" s="37"/>
      <c r="W86" s="37"/>
      <c r="X86" s="37"/>
      <c r="Y86" s="35"/>
      <c r="AA86">
        <f>B86*10+C86+(D86*Others!$B$33)+E86*500+F86+(G86*Others!$B$33)+H86*I86+J86*10+K86+(L86*Others!$B$33)+M86*500+N86+(O86*Others!$B$33)+P86*Q86+R86*10+S86+(T86*Others!$B$33)+U86*500+V86+(W86*Others!$B$33)+X86*Y86</f>
        <v>0</v>
      </c>
      <c r="AB86">
        <f>ROUND(SUM(AA$4:AA86)/A86,0)</f>
        <v>117</v>
      </c>
    </row>
    <row r="87" spans="1:28">
      <c r="A87" s="16">
        <f t="shared" si="1"/>
        <v>84</v>
      </c>
      <c r="B87" s="36"/>
      <c r="C87" s="37"/>
      <c r="D87" s="37"/>
      <c r="E87" s="37"/>
      <c r="F87" s="37"/>
      <c r="G87" s="37"/>
      <c r="H87" s="37"/>
      <c r="I87" s="69"/>
      <c r="J87" s="36"/>
      <c r="K87" s="37"/>
      <c r="L87" s="37"/>
      <c r="M87" s="37"/>
      <c r="N87" s="37"/>
      <c r="O87" s="37"/>
      <c r="P87" s="37"/>
      <c r="Q87" s="35"/>
      <c r="R87" s="234"/>
      <c r="S87" s="37"/>
      <c r="T87" s="37"/>
      <c r="U87" s="37"/>
      <c r="V87" s="37"/>
      <c r="W87" s="37"/>
      <c r="X87" s="37"/>
      <c r="Y87" s="35"/>
      <c r="AA87">
        <f>B87*10+C87+(D87*Others!$B$33)+E87*500+F87+(G87*Others!$B$33)+H87*I87+J87*10+K87+(L87*Others!$B$33)+M87*500+N87+(O87*Others!$B$33)+P87*Q87+R87*10+S87+(T87*Others!$B$33)+U87*500+V87+(W87*Others!$B$33)+X87*Y87</f>
        <v>0</v>
      </c>
      <c r="AB87">
        <f>ROUND(SUM(AA$4:AA87)/A87,0)</f>
        <v>116</v>
      </c>
    </row>
    <row r="88" spans="1:28">
      <c r="A88" s="16">
        <f t="shared" si="1"/>
        <v>85</v>
      </c>
      <c r="B88" s="36"/>
      <c r="C88" s="37"/>
      <c r="D88" s="37"/>
      <c r="E88" s="37"/>
      <c r="F88" s="37"/>
      <c r="G88" s="37"/>
      <c r="H88" s="37"/>
      <c r="I88" s="69"/>
      <c r="J88" s="36"/>
      <c r="K88" s="37"/>
      <c r="L88" s="37"/>
      <c r="M88" s="37"/>
      <c r="N88" s="37"/>
      <c r="O88" s="37"/>
      <c r="P88" s="37"/>
      <c r="Q88" s="35"/>
      <c r="R88" s="234"/>
      <c r="S88" s="37"/>
      <c r="T88" s="37"/>
      <c r="U88" s="37"/>
      <c r="V88" s="37"/>
      <c r="W88" s="37"/>
      <c r="X88" s="37"/>
      <c r="Y88" s="35"/>
      <c r="AA88">
        <f>B88*10+C88+(D88*Others!$B$33)+E88*500+F88+(G88*Others!$B$33)+H88*I88+J88*10+K88+(L88*Others!$B$33)+M88*500+N88+(O88*Others!$B$33)+P88*Q88+R88*10+S88+(T88*Others!$B$33)+U88*500+V88+(W88*Others!$B$33)+X88*Y88</f>
        <v>0</v>
      </c>
      <c r="AB88">
        <f>ROUND(SUM(AA$4:AA88)/A88,0)</f>
        <v>114</v>
      </c>
    </row>
    <row r="89" spans="1:28">
      <c r="A89" s="16">
        <f t="shared" si="1"/>
        <v>86</v>
      </c>
      <c r="B89" s="36"/>
      <c r="C89" s="37"/>
      <c r="D89" s="37"/>
      <c r="E89" s="37"/>
      <c r="F89" s="37"/>
      <c r="G89" s="37"/>
      <c r="H89" s="37"/>
      <c r="I89" s="69"/>
      <c r="J89" s="36"/>
      <c r="K89" s="37"/>
      <c r="L89" s="37"/>
      <c r="M89" s="37"/>
      <c r="N89" s="37"/>
      <c r="O89" s="37"/>
      <c r="P89" s="37"/>
      <c r="Q89" s="35"/>
      <c r="R89" s="234"/>
      <c r="S89" s="37"/>
      <c r="T89" s="37"/>
      <c r="U89" s="37"/>
      <c r="V89" s="37"/>
      <c r="W89" s="37"/>
      <c r="X89" s="37"/>
      <c r="Y89" s="35"/>
      <c r="AA89">
        <f>B89*10+C89+(D89*Others!$B$33)+E89*500+F89+(G89*Others!$B$33)+H89*I89+J89*10+K89+(L89*Others!$B$33)+M89*500+N89+(O89*Others!$B$33)+P89*Q89+R89*10+S89+(T89*Others!$B$33)+U89*500+V89+(W89*Others!$B$33)+X89*Y89</f>
        <v>0</v>
      </c>
      <c r="AB89">
        <f>ROUND(SUM(AA$4:AA89)/A89,0)</f>
        <v>113</v>
      </c>
    </row>
    <row r="90" spans="1:28">
      <c r="A90" s="16">
        <f t="shared" si="1"/>
        <v>87</v>
      </c>
      <c r="B90" s="36"/>
      <c r="C90" s="37"/>
      <c r="D90" s="37"/>
      <c r="E90" s="37"/>
      <c r="F90" s="37"/>
      <c r="G90" s="37"/>
      <c r="H90" s="37"/>
      <c r="I90" s="69"/>
      <c r="J90" s="36"/>
      <c r="K90" s="37"/>
      <c r="L90" s="37"/>
      <c r="M90" s="37"/>
      <c r="N90" s="37"/>
      <c r="O90" s="37"/>
      <c r="P90" s="37"/>
      <c r="Q90" s="35"/>
      <c r="R90" s="234"/>
      <c r="S90" s="37"/>
      <c r="T90" s="37"/>
      <c r="U90" s="37"/>
      <c r="V90" s="37"/>
      <c r="W90" s="37"/>
      <c r="X90" s="37"/>
      <c r="Y90" s="35"/>
      <c r="AA90">
        <f>B90*10+C90+(D90*Others!$B$33)+E90*500+F90+(G90*Others!$B$33)+H90*I90+J90*10+K90+(L90*Others!$B$33)+M90*500+N90+(O90*Others!$B$33)+P90*Q90+R90*10+S90+(T90*Others!$B$33)+U90*500+V90+(W90*Others!$B$33)+X90*Y90</f>
        <v>0</v>
      </c>
      <c r="AB90">
        <f>ROUND(SUM(AA$4:AA90)/A90,0)</f>
        <v>112</v>
      </c>
    </row>
    <row r="91" spans="1:28">
      <c r="A91" s="16">
        <f t="shared" si="1"/>
        <v>88</v>
      </c>
      <c r="B91" s="36"/>
      <c r="C91" s="37"/>
      <c r="D91" s="37"/>
      <c r="E91" s="37"/>
      <c r="F91" s="37"/>
      <c r="G91" s="37"/>
      <c r="H91" s="37"/>
      <c r="I91" s="69"/>
      <c r="J91" s="36"/>
      <c r="K91" s="37"/>
      <c r="L91" s="37"/>
      <c r="M91" s="37"/>
      <c r="N91" s="37"/>
      <c r="O91" s="37"/>
      <c r="P91" s="37"/>
      <c r="Q91" s="35"/>
      <c r="R91" s="234"/>
      <c r="S91" s="37"/>
      <c r="T91" s="37"/>
      <c r="U91" s="37"/>
      <c r="V91" s="37"/>
      <c r="W91" s="37"/>
      <c r="X91" s="37"/>
      <c r="Y91" s="35"/>
      <c r="AA91">
        <f>B91*10+C91+(D91*Others!$B$33)+E91*500+F91+(G91*Others!$B$33)+H91*I91+J91*10+K91+(L91*Others!$B$33)+M91*500+N91+(O91*Others!$B$33)+P91*Q91+R91*10+S91+(T91*Others!$B$33)+U91*500+V91+(W91*Others!$B$33)+X91*Y91</f>
        <v>0</v>
      </c>
      <c r="AB91">
        <f>ROUND(SUM(AA$4:AA91)/A91,0)</f>
        <v>110</v>
      </c>
    </row>
    <row r="92" spans="1:28">
      <c r="A92" s="16">
        <f t="shared" si="1"/>
        <v>89</v>
      </c>
      <c r="B92" s="36"/>
      <c r="C92" s="37"/>
      <c r="D92" s="37"/>
      <c r="E92" s="37"/>
      <c r="F92" s="37"/>
      <c r="G92" s="37"/>
      <c r="H92" s="37"/>
      <c r="I92" s="69"/>
      <c r="J92" s="36"/>
      <c r="K92" s="37"/>
      <c r="L92" s="37"/>
      <c r="M92" s="37"/>
      <c r="N92" s="37"/>
      <c r="O92" s="37"/>
      <c r="P92" s="37"/>
      <c r="Q92" s="35"/>
      <c r="R92" s="234"/>
      <c r="S92" s="37"/>
      <c r="T92" s="37"/>
      <c r="U92" s="37"/>
      <c r="V92" s="37"/>
      <c r="W92" s="37"/>
      <c r="X92" s="37"/>
      <c r="Y92" s="35"/>
      <c r="AA92">
        <f>B92*10+C92+(D92*Others!$B$33)+E92*500+F92+(G92*Others!$B$33)+H92*I92+J92*10+K92+(L92*Others!$B$33)+M92*500+N92+(O92*Others!$B$33)+P92*Q92+R92*10+S92+(T92*Others!$B$33)+U92*500+V92+(W92*Others!$B$33)+X92*Y92</f>
        <v>0</v>
      </c>
      <c r="AB92">
        <f>ROUND(SUM(AA$4:AA92)/A92,0)</f>
        <v>109</v>
      </c>
    </row>
    <row r="93" spans="1:28">
      <c r="A93" s="16">
        <f t="shared" si="1"/>
        <v>90</v>
      </c>
      <c r="B93" s="36"/>
      <c r="C93" s="37"/>
      <c r="D93" s="37"/>
      <c r="E93" s="37"/>
      <c r="F93" s="37"/>
      <c r="G93" s="37"/>
      <c r="H93" s="37"/>
      <c r="I93" s="69"/>
      <c r="J93" s="36"/>
      <c r="K93" s="37"/>
      <c r="L93" s="37"/>
      <c r="M93" s="37"/>
      <c r="N93" s="37"/>
      <c r="O93" s="37"/>
      <c r="P93" s="37"/>
      <c r="Q93" s="35"/>
      <c r="R93" s="234"/>
      <c r="S93" s="37"/>
      <c r="T93" s="37"/>
      <c r="U93" s="37"/>
      <c r="V93" s="37"/>
      <c r="W93" s="37"/>
      <c r="X93" s="37"/>
      <c r="Y93" s="35"/>
      <c r="AA93">
        <f>B93*10+C93+(D93*Others!$B$33)+E93*500+F93+(G93*Others!$B$33)+H93*I93+J93*10+K93+(L93*Others!$B$33)+M93*500+N93+(O93*Others!$B$33)+P93*Q93+R93*10+S93+(T93*Others!$B$33)+U93*500+V93+(W93*Others!$B$33)+X93*Y93</f>
        <v>0</v>
      </c>
      <c r="AB93">
        <f>ROUND(SUM(AA$4:AA93)/A93,0)</f>
        <v>108</v>
      </c>
    </row>
    <row r="94" spans="1:28">
      <c r="A94" s="16">
        <f t="shared" si="1"/>
        <v>91</v>
      </c>
      <c r="B94" s="36"/>
      <c r="C94" s="37"/>
      <c r="D94" s="37"/>
      <c r="E94" s="37"/>
      <c r="F94" s="37"/>
      <c r="G94" s="37"/>
      <c r="H94" s="37"/>
      <c r="I94" s="69"/>
      <c r="J94" s="36"/>
      <c r="K94" s="37"/>
      <c r="L94" s="37"/>
      <c r="M94" s="37"/>
      <c r="N94" s="37"/>
      <c r="O94" s="37"/>
      <c r="P94" s="37"/>
      <c r="Q94" s="35"/>
      <c r="R94" s="234"/>
      <c r="S94" s="37"/>
      <c r="T94" s="37"/>
      <c r="U94" s="37"/>
      <c r="V94" s="37"/>
      <c r="W94" s="37"/>
      <c r="X94" s="37"/>
      <c r="Y94" s="35"/>
      <c r="AA94">
        <f>B94*10+C94+(D94*Others!$B$33)+E94*500+F94+(G94*Others!$B$33)+H94*I94+J94*10+K94+(L94*Others!$B$33)+M94*500+N94+(O94*Others!$B$33)+P94*Q94+R94*10+S94+(T94*Others!$B$33)+U94*500+V94+(W94*Others!$B$33)+X94*Y94</f>
        <v>0</v>
      </c>
      <c r="AB94">
        <f>ROUND(SUM(AA$4:AA94)/A94,0)</f>
        <v>107</v>
      </c>
    </row>
    <row r="95" spans="1:28">
      <c r="A95" s="16">
        <f t="shared" si="1"/>
        <v>92</v>
      </c>
      <c r="B95" s="36"/>
      <c r="C95" s="37"/>
      <c r="D95" s="37"/>
      <c r="E95" s="37"/>
      <c r="F95" s="37"/>
      <c r="G95" s="37"/>
      <c r="H95" s="37"/>
      <c r="I95" s="69"/>
      <c r="J95" s="36"/>
      <c r="K95" s="37"/>
      <c r="L95" s="37"/>
      <c r="M95" s="37"/>
      <c r="N95" s="37"/>
      <c r="O95" s="37"/>
      <c r="P95" s="37"/>
      <c r="Q95" s="35"/>
      <c r="R95" s="234"/>
      <c r="S95" s="37"/>
      <c r="T95" s="37"/>
      <c r="U95" s="37"/>
      <c r="V95" s="37"/>
      <c r="W95" s="37"/>
      <c r="X95" s="37"/>
      <c r="Y95" s="35"/>
      <c r="AA95">
        <f>B95*10+C95+(D95*Others!$B$33)+E95*500+F95+(G95*Others!$B$33)+H95*I95+J95*10+K95+(L95*Others!$B$33)+M95*500+N95+(O95*Others!$B$33)+P95*Q95+R95*10+S95+(T95*Others!$B$33)+U95*500+V95+(W95*Others!$B$33)+X95*Y95</f>
        <v>0</v>
      </c>
      <c r="AB95">
        <f>ROUND(SUM(AA$4:AA95)/A95,0)</f>
        <v>106</v>
      </c>
    </row>
    <row r="96" spans="1:28">
      <c r="A96" s="16">
        <f t="shared" si="1"/>
        <v>93</v>
      </c>
      <c r="B96" s="36"/>
      <c r="C96" s="37"/>
      <c r="D96" s="37"/>
      <c r="E96" s="37"/>
      <c r="F96" s="37"/>
      <c r="G96" s="37"/>
      <c r="H96" s="37"/>
      <c r="I96" s="69"/>
      <c r="J96" s="36"/>
      <c r="K96" s="37"/>
      <c r="L96" s="37"/>
      <c r="M96" s="37"/>
      <c r="N96" s="37"/>
      <c r="O96" s="37"/>
      <c r="P96" s="37"/>
      <c r="Q96" s="35"/>
      <c r="R96" s="234"/>
      <c r="S96" s="37"/>
      <c r="T96" s="37"/>
      <c r="U96" s="37"/>
      <c r="V96" s="37"/>
      <c r="W96" s="37"/>
      <c r="X96" s="37"/>
      <c r="Y96" s="35"/>
      <c r="AA96">
        <f>B96*10+C96+(D96*Others!$B$33)+E96*500+F96+(G96*Others!$B$33)+H96*I96+J96*10+K96+(L96*Others!$B$33)+M96*500+N96+(O96*Others!$B$33)+P96*Q96+R96*10+S96+(T96*Others!$B$33)+U96*500+V96+(W96*Others!$B$33)+X96*Y96</f>
        <v>0</v>
      </c>
      <c r="AB96">
        <f>ROUND(SUM(AA$4:AA96)/A96,0)</f>
        <v>104</v>
      </c>
    </row>
    <row r="97" spans="1:28">
      <c r="A97" s="16">
        <f t="shared" si="1"/>
        <v>94</v>
      </c>
      <c r="B97" s="36"/>
      <c r="C97" s="37"/>
      <c r="D97" s="37"/>
      <c r="E97" s="37"/>
      <c r="F97" s="37"/>
      <c r="G97" s="37"/>
      <c r="H97" s="37"/>
      <c r="I97" s="69"/>
      <c r="J97" s="36"/>
      <c r="K97" s="37"/>
      <c r="L97" s="37"/>
      <c r="M97" s="37"/>
      <c r="N97" s="37"/>
      <c r="O97" s="37"/>
      <c r="P97" s="37"/>
      <c r="Q97" s="35"/>
      <c r="R97" s="234"/>
      <c r="S97" s="37"/>
      <c r="T97" s="37"/>
      <c r="U97" s="37"/>
      <c r="V97" s="37"/>
      <c r="W97" s="37"/>
      <c r="X97" s="37"/>
      <c r="Y97" s="35"/>
      <c r="AA97">
        <f>B97*10+C97+(D97*Others!$B$33)+E97*500+F97+(G97*Others!$B$33)+H97*I97+J97*10+K97+(L97*Others!$B$33)+M97*500+N97+(O97*Others!$B$33)+P97*Q97+R97*10+S97+(T97*Others!$B$33)+U97*500+V97+(W97*Others!$B$33)+X97*Y97</f>
        <v>0</v>
      </c>
      <c r="AB97">
        <f>ROUND(SUM(AA$4:AA97)/A97,0)</f>
        <v>103</v>
      </c>
    </row>
    <row r="98" spans="1:28">
      <c r="A98" s="16">
        <f t="shared" si="1"/>
        <v>95</v>
      </c>
      <c r="B98" s="36"/>
      <c r="C98" s="37"/>
      <c r="D98" s="37"/>
      <c r="E98" s="37"/>
      <c r="F98" s="37"/>
      <c r="G98" s="37"/>
      <c r="H98" s="37"/>
      <c r="I98" s="69"/>
      <c r="J98" s="36"/>
      <c r="K98" s="37"/>
      <c r="L98" s="37"/>
      <c r="M98" s="37"/>
      <c r="N98" s="37"/>
      <c r="O98" s="37"/>
      <c r="P98" s="37"/>
      <c r="Q98" s="35"/>
      <c r="R98" s="234"/>
      <c r="S98" s="37"/>
      <c r="T98" s="37"/>
      <c r="U98" s="37"/>
      <c r="V98" s="37"/>
      <c r="W98" s="37"/>
      <c r="X98" s="37"/>
      <c r="Y98" s="35"/>
      <c r="AA98">
        <f>B98*10+C98+(D98*Others!$B$33)+E98*500+F98+(G98*Others!$B$33)+H98*I98+J98*10+K98+(L98*Others!$B$33)+M98*500+N98+(O98*Others!$B$33)+P98*Q98+R98*10+S98+(T98*Others!$B$33)+U98*500+V98+(W98*Others!$B$33)+X98*Y98</f>
        <v>0</v>
      </c>
      <c r="AB98">
        <f>ROUND(SUM(AA$4:AA98)/A98,0)</f>
        <v>102</v>
      </c>
    </row>
    <row r="99" spans="1:28">
      <c r="A99" s="16">
        <f t="shared" si="1"/>
        <v>96</v>
      </c>
      <c r="B99" s="36"/>
      <c r="C99" s="37"/>
      <c r="D99" s="37"/>
      <c r="E99" s="37"/>
      <c r="F99" s="37"/>
      <c r="G99" s="37"/>
      <c r="H99" s="37"/>
      <c r="I99" s="69"/>
      <c r="J99" s="36"/>
      <c r="K99" s="37"/>
      <c r="L99" s="37"/>
      <c r="M99" s="37"/>
      <c r="N99" s="37"/>
      <c r="O99" s="37"/>
      <c r="P99" s="37"/>
      <c r="Q99" s="35"/>
      <c r="R99" s="234"/>
      <c r="S99" s="37"/>
      <c r="T99" s="37"/>
      <c r="U99" s="37"/>
      <c r="V99" s="37"/>
      <c r="W99" s="37"/>
      <c r="X99" s="37"/>
      <c r="Y99" s="35"/>
      <c r="AA99">
        <f>B99*10+C99+(D99*Others!$B$33)+E99*500+F99+(G99*Others!$B$33)+H99*I99+J99*10+K99+(L99*Others!$B$33)+M99*500+N99+(O99*Others!$B$33)+P99*Q99+R99*10+S99+(T99*Others!$B$33)+U99*500+V99+(W99*Others!$B$33)+X99*Y99</f>
        <v>0</v>
      </c>
      <c r="AB99">
        <f>ROUND(SUM(AA$4:AA99)/A99,0)</f>
        <v>101</v>
      </c>
    </row>
    <row r="100" spans="1:28">
      <c r="A100" s="16">
        <f t="shared" si="1"/>
        <v>97</v>
      </c>
      <c r="B100" s="36"/>
      <c r="C100" s="37"/>
      <c r="D100" s="37"/>
      <c r="E100" s="37"/>
      <c r="F100" s="37"/>
      <c r="G100" s="37"/>
      <c r="H100" s="37"/>
      <c r="I100" s="69"/>
      <c r="J100" s="36"/>
      <c r="K100" s="37"/>
      <c r="L100" s="37"/>
      <c r="M100" s="37"/>
      <c r="N100" s="37"/>
      <c r="O100" s="37"/>
      <c r="P100" s="37"/>
      <c r="Q100" s="35"/>
      <c r="R100" s="234"/>
      <c r="S100" s="37"/>
      <c r="T100" s="37"/>
      <c r="U100" s="37"/>
      <c r="V100" s="37"/>
      <c r="W100" s="37"/>
      <c r="X100" s="37"/>
      <c r="Y100" s="35"/>
      <c r="AA100">
        <f>B100*10+C100+(D100*Others!$B$33)+E100*500+F100+(G100*Others!$B$33)+H100*I100+J100*10+K100+(L100*Others!$B$33)+M100*500+N100+(O100*Others!$B$33)+P100*Q100+R100*10+S100+(T100*Others!$B$33)+U100*500+V100+(W100*Others!$B$33)+X100*Y100</f>
        <v>0</v>
      </c>
      <c r="AB100">
        <f>ROUND(SUM(AA$4:AA100)/A100,0)</f>
        <v>100</v>
      </c>
    </row>
    <row r="101" spans="1:28">
      <c r="A101" s="16">
        <f t="shared" si="1"/>
        <v>98</v>
      </c>
      <c r="B101" s="36"/>
      <c r="C101" s="37"/>
      <c r="D101" s="37"/>
      <c r="E101" s="37"/>
      <c r="F101" s="37"/>
      <c r="G101" s="37"/>
      <c r="H101" s="37"/>
      <c r="I101" s="69"/>
      <c r="J101" s="36"/>
      <c r="K101" s="37"/>
      <c r="L101" s="37"/>
      <c r="M101" s="37"/>
      <c r="N101" s="37"/>
      <c r="O101" s="37"/>
      <c r="P101" s="37"/>
      <c r="Q101" s="35"/>
      <c r="R101" s="234"/>
      <c r="S101" s="37"/>
      <c r="T101" s="37"/>
      <c r="U101" s="37"/>
      <c r="V101" s="37"/>
      <c r="W101" s="37"/>
      <c r="X101" s="37"/>
      <c r="Y101" s="35"/>
      <c r="AA101">
        <f>B101*10+C101+(D101*Others!$B$33)+E101*500+F101+(G101*Others!$B$33)+H101*I101+J101*10+K101+(L101*Others!$B$33)+M101*500+N101+(O101*Others!$B$33)+P101*Q101+R101*10+S101+(T101*Others!$B$33)+U101*500+V101+(W101*Others!$B$33)+X101*Y101</f>
        <v>0</v>
      </c>
      <c r="AB101">
        <f>ROUND(SUM(AA$4:AA101)/A101,0)</f>
        <v>99</v>
      </c>
    </row>
    <row r="102" spans="1:28">
      <c r="A102" s="16">
        <f t="shared" si="1"/>
        <v>99</v>
      </c>
      <c r="B102" s="36"/>
      <c r="C102" s="37"/>
      <c r="D102" s="37"/>
      <c r="E102" s="37"/>
      <c r="F102" s="37"/>
      <c r="G102" s="37"/>
      <c r="H102" s="37"/>
      <c r="I102" s="69"/>
      <c r="J102" s="36"/>
      <c r="K102" s="37"/>
      <c r="L102" s="37"/>
      <c r="M102" s="37"/>
      <c r="N102" s="37"/>
      <c r="O102" s="37"/>
      <c r="P102" s="37"/>
      <c r="Q102" s="35"/>
      <c r="R102" s="234"/>
      <c r="S102" s="37"/>
      <c r="T102" s="37"/>
      <c r="U102" s="37"/>
      <c r="V102" s="37"/>
      <c r="W102" s="37"/>
      <c r="X102" s="37"/>
      <c r="Y102" s="35"/>
      <c r="AA102">
        <f>B102*10+C102+(D102*Others!$B$33)+E102*500+F102+(G102*Others!$B$33)+H102*I102+J102*10+K102+(L102*Others!$B$33)+M102*500+N102+(O102*Others!$B$33)+P102*Q102+R102*10+S102+(T102*Others!$B$33)+U102*500+V102+(W102*Others!$B$33)+X102*Y102</f>
        <v>0</v>
      </c>
      <c r="AB102">
        <f>ROUND(SUM(AA$4:AA102)/A102,0)</f>
        <v>98</v>
      </c>
    </row>
    <row r="103" spans="1:28">
      <c r="A103" s="16">
        <f t="shared" si="1"/>
        <v>100</v>
      </c>
      <c r="B103" s="36"/>
      <c r="C103" s="37"/>
      <c r="D103" s="37"/>
      <c r="E103" s="37"/>
      <c r="F103" s="37"/>
      <c r="G103" s="37"/>
      <c r="H103" s="37"/>
      <c r="I103" s="69"/>
      <c r="J103" s="36"/>
      <c r="K103" s="37"/>
      <c r="L103" s="37"/>
      <c r="M103" s="37"/>
      <c r="N103" s="37"/>
      <c r="O103" s="37"/>
      <c r="P103" s="37"/>
      <c r="Q103" s="35"/>
      <c r="R103" s="234"/>
      <c r="S103" s="37"/>
      <c r="T103" s="37"/>
      <c r="U103" s="37"/>
      <c r="V103" s="37"/>
      <c r="W103" s="37"/>
      <c r="X103" s="37"/>
      <c r="Y103" s="35"/>
      <c r="AA103">
        <f>B103*10+C103+(D103*Others!$B$33)+E103*500+F103+(G103*Others!$B$33)+H103*I103+J103*10+K103+(L103*Others!$B$33)+M103*500+N103+(O103*Others!$B$33)+P103*Q103+R103*10+S103+(T103*Others!$B$33)+U103*500+V103+(W103*Others!$B$33)+X103*Y103</f>
        <v>0</v>
      </c>
      <c r="AB103">
        <f>ROUND(SUM(AA$4:AA103)/A103,0)</f>
        <v>97</v>
      </c>
    </row>
    <row r="104" spans="1:28">
      <c r="A104" s="16">
        <f t="shared" si="1"/>
        <v>101</v>
      </c>
      <c r="B104" s="36"/>
      <c r="C104" s="37"/>
      <c r="D104" s="37"/>
      <c r="E104" s="37"/>
      <c r="F104" s="37"/>
      <c r="G104" s="37"/>
      <c r="H104" s="37"/>
      <c r="I104" s="69"/>
      <c r="J104" s="36"/>
      <c r="K104" s="37"/>
      <c r="L104" s="37"/>
      <c r="M104" s="37"/>
      <c r="N104" s="37"/>
      <c r="O104" s="37"/>
      <c r="P104" s="37"/>
      <c r="Q104" s="35"/>
      <c r="R104" s="234"/>
      <c r="S104" s="37"/>
      <c r="T104" s="37"/>
      <c r="U104" s="37"/>
      <c r="V104" s="37"/>
      <c r="W104" s="37"/>
      <c r="X104" s="37"/>
      <c r="Y104" s="35"/>
      <c r="AA104">
        <f>B104*10+C104+(D104*Others!$B$33)+E104*500+F104+(G104*Others!$B$33)+H104*I104+J104*10+K104+(L104*Others!$B$33)+M104*500+N104+(O104*Others!$B$33)+P104*Q104+R104*10+S104+(T104*Others!$B$33)+U104*500+V104+(W104*Others!$B$33)+X104*Y104</f>
        <v>0</v>
      </c>
      <c r="AB104">
        <f>ROUND(SUM(AA$4:AA104)/A104,0)</f>
        <v>96</v>
      </c>
    </row>
    <row r="105" spans="1:28">
      <c r="A105" s="16">
        <f t="shared" si="1"/>
        <v>102</v>
      </c>
      <c r="B105" s="36"/>
      <c r="C105" s="37"/>
      <c r="D105" s="37"/>
      <c r="E105" s="37"/>
      <c r="F105" s="37"/>
      <c r="G105" s="37"/>
      <c r="H105" s="37"/>
      <c r="I105" s="69"/>
      <c r="J105" s="36"/>
      <c r="K105" s="37"/>
      <c r="L105" s="37"/>
      <c r="M105" s="37"/>
      <c r="N105" s="37"/>
      <c r="O105" s="37"/>
      <c r="P105" s="37"/>
      <c r="Q105" s="35"/>
      <c r="R105" s="234"/>
      <c r="S105" s="37"/>
      <c r="T105" s="37"/>
      <c r="U105" s="37"/>
      <c r="V105" s="37"/>
      <c r="W105" s="37"/>
      <c r="X105" s="37"/>
      <c r="Y105" s="35"/>
      <c r="AA105">
        <f>B105*10+C105+(D105*Others!$B$33)+E105*500+F105+(G105*Others!$B$33)+H105*I105+J105*10+K105+(L105*Others!$B$33)+M105*500+N105+(O105*Others!$B$33)+P105*Q105+R105*10+S105+(T105*Others!$B$33)+U105*500+V105+(W105*Others!$B$33)+X105*Y105</f>
        <v>0</v>
      </c>
      <c r="AB105">
        <f>ROUND(SUM(AA$4:AA105)/A105,0)</f>
        <v>95</v>
      </c>
    </row>
    <row r="106" spans="1:28">
      <c r="A106" s="16">
        <f t="shared" si="1"/>
        <v>103</v>
      </c>
      <c r="B106" s="36"/>
      <c r="C106" s="37"/>
      <c r="D106" s="37"/>
      <c r="E106" s="37"/>
      <c r="F106" s="37"/>
      <c r="G106" s="37"/>
      <c r="H106" s="37"/>
      <c r="I106" s="69"/>
      <c r="J106" s="36"/>
      <c r="K106" s="37"/>
      <c r="L106" s="37"/>
      <c r="M106" s="37"/>
      <c r="N106" s="37"/>
      <c r="O106" s="37"/>
      <c r="P106" s="37"/>
      <c r="Q106" s="35"/>
      <c r="R106" s="234"/>
      <c r="S106" s="37"/>
      <c r="T106" s="37"/>
      <c r="U106" s="37"/>
      <c r="V106" s="37"/>
      <c r="W106" s="37"/>
      <c r="X106" s="37"/>
      <c r="Y106" s="35"/>
      <c r="AA106">
        <f>B106*10+C106+(D106*Others!$B$33)+E106*500+F106+(G106*Others!$B$33)+H106*I106+J106*10+K106+(L106*Others!$B$33)+M106*500+N106+(O106*Others!$B$33)+P106*Q106+R106*10+S106+(T106*Others!$B$33)+U106*500+V106+(W106*Others!$B$33)+X106*Y106</f>
        <v>0</v>
      </c>
      <c r="AB106">
        <f>ROUND(SUM(AA$4:AA106)/A106,0)</f>
        <v>94</v>
      </c>
    </row>
    <row r="107" spans="1:28">
      <c r="A107" s="16">
        <f t="shared" si="1"/>
        <v>104</v>
      </c>
      <c r="B107" s="36"/>
      <c r="C107" s="37"/>
      <c r="D107" s="37"/>
      <c r="E107" s="37"/>
      <c r="F107" s="37"/>
      <c r="G107" s="37"/>
      <c r="H107" s="37"/>
      <c r="I107" s="69"/>
      <c r="J107" s="36"/>
      <c r="K107" s="37"/>
      <c r="L107" s="37"/>
      <c r="M107" s="37"/>
      <c r="N107" s="37"/>
      <c r="O107" s="37"/>
      <c r="P107" s="37"/>
      <c r="Q107" s="35"/>
      <c r="R107" s="234"/>
      <c r="S107" s="37"/>
      <c r="T107" s="37"/>
      <c r="U107" s="37"/>
      <c r="V107" s="37"/>
      <c r="W107" s="37"/>
      <c r="X107" s="37"/>
      <c r="Y107" s="35"/>
      <c r="AA107">
        <f>B107*10+C107+(D107*Others!$B$33)+E107*500+F107+(G107*Others!$B$33)+H107*I107+J107*10+K107+(L107*Others!$B$33)+M107*500+N107+(O107*Others!$B$33)+P107*Q107+R107*10+S107+(T107*Others!$B$33)+U107*500+V107+(W107*Others!$B$33)+X107*Y107</f>
        <v>0</v>
      </c>
      <c r="AB107">
        <f>ROUND(SUM(AA$4:AA107)/A107,0)</f>
        <v>93</v>
      </c>
    </row>
    <row r="108" spans="1:28">
      <c r="A108" s="16">
        <f t="shared" si="1"/>
        <v>105</v>
      </c>
      <c r="B108" s="36"/>
      <c r="C108" s="37"/>
      <c r="D108" s="37"/>
      <c r="E108" s="37"/>
      <c r="F108" s="37"/>
      <c r="G108" s="37"/>
      <c r="H108" s="37"/>
      <c r="I108" s="69"/>
      <c r="J108" s="36"/>
      <c r="K108" s="37"/>
      <c r="L108" s="37"/>
      <c r="M108" s="37"/>
      <c r="N108" s="37"/>
      <c r="O108" s="37"/>
      <c r="P108" s="37"/>
      <c r="Q108" s="35"/>
      <c r="R108" s="234"/>
      <c r="S108" s="37"/>
      <c r="T108" s="37"/>
      <c r="U108" s="37"/>
      <c r="V108" s="37"/>
      <c r="W108" s="37"/>
      <c r="X108" s="37"/>
      <c r="Y108" s="35"/>
      <c r="AA108">
        <f>B108*10+C108+(D108*Others!$B$33)+E108*500+F108+(G108*Others!$B$33)+H108*I108+J108*10+K108+(L108*Others!$B$33)+M108*500+N108+(O108*Others!$B$33)+P108*Q108+R108*10+S108+(T108*Others!$B$33)+U108*500+V108+(W108*Others!$B$33)+X108*Y108</f>
        <v>0</v>
      </c>
      <c r="AB108">
        <f>ROUND(SUM(AA$4:AA108)/A108,0)</f>
        <v>93</v>
      </c>
    </row>
    <row r="109" spans="1:28">
      <c r="A109" s="16">
        <f t="shared" si="1"/>
        <v>106</v>
      </c>
      <c r="B109" s="36"/>
      <c r="C109" s="37"/>
      <c r="D109" s="37"/>
      <c r="E109" s="37"/>
      <c r="F109" s="37"/>
      <c r="G109" s="37"/>
      <c r="H109" s="37"/>
      <c r="I109" s="69"/>
      <c r="J109" s="36"/>
      <c r="K109" s="37"/>
      <c r="L109" s="37"/>
      <c r="M109" s="37"/>
      <c r="N109" s="37"/>
      <c r="O109" s="37"/>
      <c r="P109" s="37"/>
      <c r="Q109" s="35"/>
      <c r="R109" s="234"/>
      <c r="S109" s="37"/>
      <c r="T109" s="37"/>
      <c r="U109" s="37"/>
      <c r="V109" s="37"/>
      <c r="W109" s="37"/>
      <c r="X109" s="37"/>
      <c r="Y109" s="35"/>
      <c r="AA109">
        <f>B109*10+C109+(D109*Others!$B$33)+E109*500+F109+(G109*Others!$B$33)+H109*I109+J109*10+K109+(L109*Others!$B$33)+M109*500+N109+(O109*Others!$B$33)+P109*Q109+R109*10+S109+(T109*Others!$B$33)+U109*500+V109+(W109*Others!$B$33)+X109*Y109</f>
        <v>0</v>
      </c>
      <c r="AB109">
        <f>ROUND(SUM(AA$4:AA109)/A109,0)</f>
        <v>92</v>
      </c>
    </row>
    <row r="110" spans="1:28">
      <c r="A110" s="16">
        <f t="shared" si="1"/>
        <v>107</v>
      </c>
      <c r="B110" s="36"/>
      <c r="C110" s="37"/>
      <c r="D110" s="37"/>
      <c r="E110" s="37"/>
      <c r="F110" s="37"/>
      <c r="G110" s="37"/>
      <c r="H110" s="37"/>
      <c r="I110" s="69"/>
      <c r="J110" s="36"/>
      <c r="K110" s="37"/>
      <c r="L110" s="37"/>
      <c r="M110" s="37"/>
      <c r="N110" s="37"/>
      <c r="O110" s="37"/>
      <c r="P110" s="37"/>
      <c r="Q110" s="35"/>
      <c r="R110" s="234"/>
      <c r="S110" s="37"/>
      <c r="T110" s="37"/>
      <c r="U110" s="37"/>
      <c r="V110" s="37"/>
      <c r="W110" s="37"/>
      <c r="X110" s="37"/>
      <c r="Y110" s="35"/>
      <c r="AA110">
        <f>B110*10+C110+(D110*Others!$B$33)+E110*500+F110+(G110*Others!$B$33)+H110*I110+J110*10+K110+(L110*Others!$B$33)+M110*500+N110+(O110*Others!$B$33)+P110*Q110+R110*10+S110+(T110*Others!$B$33)+U110*500+V110+(W110*Others!$B$33)+X110*Y110</f>
        <v>0</v>
      </c>
      <c r="AB110">
        <f>ROUND(SUM(AA$4:AA110)/A110,0)</f>
        <v>91</v>
      </c>
    </row>
    <row r="111" spans="1:28">
      <c r="A111" s="16">
        <f t="shared" si="1"/>
        <v>108</v>
      </c>
      <c r="B111" s="36"/>
      <c r="C111" s="37"/>
      <c r="D111" s="37"/>
      <c r="E111" s="37"/>
      <c r="F111" s="37"/>
      <c r="G111" s="37"/>
      <c r="H111" s="37"/>
      <c r="I111" s="69"/>
      <c r="J111" s="36"/>
      <c r="K111" s="37"/>
      <c r="L111" s="37"/>
      <c r="M111" s="37"/>
      <c r="N111" s="37"/>
      <c r="O111" s="37"/>
      <c r="P111" s="37"/>
      <c r="Q111" s="35"/>
      <c r="R111" s="234"/>
      <c r="S111" s="37"/>
      <c r="T111" s="37"/>
      <c r="U111" s="37"/>
      <c r="V111" s="37"/>
      <c r="W111" s="37"/>
      <c r="X111" s="37"/>
      <c r="Y111" s="35"/>
      <c r="AA111">
        <f>B111*10+C111+(D111*Others!$B$33)+E111*500+F111+(G111*Others!$B$33)+H111*I111+J111*10+K111+(L111*Others!$B$33)+M111*500+N111+(O111*Others!$B$33)+P111*Q111+R111*10+S111+(T111*Others!$B$33)+U111*500+V111+(W111*Others!$B$33)+X111*Y111</f>
        <v>0</v>
      </c>
      <c r="AB111">
        <f>ROUND(SUM(AA$4:AA111)/A111,0)</f>
        <v>90</v>
      </c>
    </row>
    <row r="112" spans="1:28">
      <c r="A112" s="16">
        <f t="shared" si="1"/>
        <v>109</v>
      </c>
      <c r="B112" s="36"/>
      <c r="C112" s="37"/>
      <c r="D112" s="37"/>
      <c r="E112" s="37"/>
      <c r="F112" s="37"/>
      <c r="G112" s="37"/>
      <c r="H112" s="37"/>
      <c r="I112" s="69"/>
      <c r="J112" s="36"/>
      <c r="K112" s="37"/>
      <c r="L112" s="37"/>
      <c r="M112" s="37"/>
      <c r="N112" s="37"/>
      <c r="O112" s="37"/>
      <c r="P112" s="37"/>
      <c r="Q112" s="35"/>
      <c r="R112" s="234"/>
      <c r="S112" s="37"/>
      <c r="T112" s="37"/>
      <c r="U112" s="37"/>
      <c r="V112" s="37"/>
      <c r="W112" s="37"/>
      <c r="X112" s="37"/>
      <c r="Y112" s="35"/>
      <c r="AA112">
        <f>B112*10+C112+(D112*Others!$B$33)+E112*500+F112+(G112*Others!$B$33)+H112*I112+J112*10+K112+(L112*Others!$B$33)+M112*500+N112+(O112*Others!$B$33)+P112*Q112+R112*10+S112+(T112*Others!$B$33)+U112*500+V112+(W112*Others!$B$33)+X112*Y112</f>
        <v>0</v>
      </c>
      <c r="AB112">
        <f>ROUND(SUM(AA$4:AA112)/A112,0)</f>
        <v>89</v>
      </c>
    </row>
    <row r="113" spans="1:28">
      <c r="A113" s="16">
        <f t="shared" si="1"/>
        <v>110</v>
      </c>
      <c r="B113" s="36"/>
      <c r="C113" s="37"/>
      <c r="D113" s="37"/>
      <c r="E113" s="37"/>
      <c r="F113" s="37"/>
      <c r="G113" s="37"/>
      <c r="H113" s="37"/>
      <c r="I113" s="69"/>
      <c r="J113" s="36"/>
      <c r="K113" s="37"/>
      <c r="L113" s="37"/>
      <c r="M113" s="37"/>
      <c r="N113" s="37"/>
      <c r="O113" s="37"/>
      <c r="P113" s="37"/>
      <c r="Q113" s="35"/>
      <c r="R113" s="234"/>
      <c r="S113" s="37"/>
      <c r="T113" s="37"/>
      <c r="U113" s="37"/>
      <c r="V113" s="37"/>
      <c r="W113" s="37"/>
      <c r="X113" s="37"/>
      <c r="Y113" s="35"/>
      <c r="AA113">
        <f>B113*10+C113+(D113*Others!$B$33)+E113*500+F113+(G113*Others!$B$33)+H113*I113+J113*10+K113+(L113*Others!$B$33)+M113*500+N113+(O113*Others!$B$33)+P113*Q113+R113*10+S113+(T113*Others!$B$33)+U113*500+V113+(W113*Others!$B$33)+X113*Y113</f>
        <v>0</v>
      </c>
      <c r="AB113">
        <f>ROUND(SUM(AA$4:AA113)/A113,0)</f>
        <v>88</v>
      </c>
    </row>
    <row r="114" spans="1:28">
      <c r="A114" s="16">
        <f t="shared" si="1"/>
        <v>111</v>
      </c>
      <c r="B114" s="36"/>
      <c r="C114" s="37"/>
      <c r="D114" s="37"/>
      <c r="E114" s="37"/>
      <c r="F114" s="37"/>
      <c r="G114" s="37"/>
      <c r="H114" s="37"/>
      <c r="I114" s="69"/>
      <c r="J114" s="36"/>
      <c r="K114" s="37"/>
      <c r="L114" s="37"/>
      <c r="M114" s="37"/>
      <c r="N114" s="37"/>
      <c r="O114" s="37"/>
      <c r="P114" s="37"/>
      <c r="Q114" s="35"/>
      <c r="R114" s="234"/>
      <c r="S114" s="37"/>
      <c r="T114" s="37"/>
      <c r="U114" s="37"/>
      <c r="V114" s="37"/>
      <c r="W114" s="37"/>
      <c r="X114" s="37"/>
      <c r="Y114" s="35"/>
      <c r="AA114">
        <f>B114*10+C114+(D114*Others!$B$33)+E114*500+F114+(G114*Others!$B$33)+H114*I114+J114*10+K114+(L114*Others!$B$33)+M114*500+N114+(O114*Others!$B$33)+P114*Q114+R114*10+S114+(T114*Others!$B$33)+U114*500+V114+(W114*Others!$B$33)+X114*Y114</f>
        <v>0</v>
      </c>
      <c r="AB114">
        <f>ROUND(SUM(AA$4:AA114)/A114,0)</f>
        <v>88</v>
      </c>
    </row>
    <row r="115" spans="1:28">
      <c r="A115" s="16">
        <f t="shared" si="1"/>
        <v>112</v>
      </c>
      <c r="B115" s="36"/>
      <c r="C115" s="37"/>
      <c r="D115" s="37"/>
      <c r="E115" s="37"/>
      <c r="F115" s="37"/>
      <c r="G115" s="37"/>
      <c r="H115" s="37"/>
      <c r="I115" s="69"/>
      <c r="J115" s="36"/>
      <c r="K115" s="37"/>
      <c r="L115" s="37"/>
      <c r="M115" s="37"/>
      <c r="N115" s="37"/>
      <c r="O115" s="37"/>
      <c r="P115" s="37"/>
      <c r="Q115" s="35"/>
      <c r="R115" s="234"/>
      <c r="S115" s="37"/>
      <c r="T115" s="37"/>
      <c r="U115" s="37"/>
      <c r="V115" s="37"/>
      <c r="W115" s="37"/>
      <c r="X115" s="37"/>
      <c r="Y115" s="35"/>
      <c r="AA115">
        <f>B115*10+C115+(D115*Others!$B$33)+E115*500+F115+(G115*Others!$B$33)+H115*I115+J115*10+K115+(L115*Others!$B$33)+M115*500+N115+(O115*Others!$B$33)+P115*Q115+R115*10+S115+(T115*Others!$B$33)+U115*500+V115+(W115*Others!$B$33)+X115*Y115</f>
        <v>0</v>
      </c>
      <c r="AB115">
        <f>ROUND(SUM(AA$4:AA115)/A115,0)</f>
        <v>87</v>
      </c>
    </row>
    <row r="116" spans="1:28">
      <c r="A116" s="16">
        <f t="shared" si="1"/>
        <v>113</v>
      </c>
      <c r="B116" s="36"/>
      <c r="C116" s="37"/>
      <c r="D116" s="37"/>
      <c r="E116" s="37"/>
      <c r="F116" s="37"/>
      <c r="G116" s="37"/>
      <c r="H116" s="37"/>
      <c r="I116" s="69"/>
      <c r="J116" s="36"/>
      <c r="K116" s="37"/>
      <c r="L116" s="37"/>
      <c r="M116" s="37"/>
      <c r="N116" s="37"/>
      <c r="O116" s="37"/>
      <c r="P116" s="37"/>
      <c r="Q116" s="35"/>
      <c r="R116" s="234"/>
      <c r="S116" s="37"/>
      <c r="T116" s="37"/>
      <c r="U116" s="37"/>
      <c r="V116" s="37"/>
      <c r="W116" s="37"/>
      <c r="X116" s="37"/>
      <c r="Y116" s="35"/>
      <c r="AA116">
        <f>B116*10+C116+(D116*Others!$B$33)+E116*500+F116+(G116*Others!$B$33)+H116*I116+J116*10+K116+(L116*Others!$B$33)+M116*500+N116+(O116*Others!$B$33)+P116*Q116+R116*10+S116+(T116*Others!$B$33)+U116*500+V116+(W116*Others!$B$33)+X116*Y116</f>
        <v>0</v>
      </c>
      <c r="AB116">
        <f>ROUND(SUM(AA$4:AA116)/A116,0)</f>
        <v>86</v>
      </c>
    </row>
    <row r="117" spans="1:28">
      <c r="A117" s="16">
        <f t="shared" si="1"/>
        <v>114</v>
      </c>
      <c r="B117" s="36"/>
      <c r="C117" s="37"/>
      <c r="D117" s="37"/>
      <c r="E117" s="37"/>
      <c r="F117" s="37"/>
      <c r="G117" s="37"/>
      <c r="H117" s="37"/>
      <c r="I117" s="69"/>
      <c r="J117" s="36"/>
      <c r="K117" s="37"/>
      <c r="L117" s="37"/>
      <c r="M117" s="37"/>
      <c r="N117" s="37"/>
      <c r="O117" s="37"/>
      <c r="P117" s="37"/>
      <c r="Q117" s="35"/>
      <c r="R117" s="234"/>
      <c r="S117" s="37"/>
      <c r="T117" s="37"/>
      <c r="U117" s="37"/>
      <c r="V117" s="37"/>
      <c r="W117" s="37"/>
      <c r="X117" s="37"/>
      <c r="Y117" s="35"/>
      <c r="AA117">
        <f>B117*10+C117+(D117*Others!$B$33)+E117*500+F117+(G117*Others!$B$33)+H117*I117+J117*10+K117+(L117*Others!$B$33)+M117*500+N117+(O117*Others!$B$33)+P117*Q117+R117*10+S117+(T117*Others!$B$33)+U117*500+V117+(W117*Others!$B$33)+X117*Y117</f>
        <v>0</v>
      </c>
      <c r="AB117">
        <f>ROUND(SUM(AA$4:AA117)/A117,0)</f>
        <v>85</v>
      </c>
    </row>
    <row r="118" spans="1:28">
      <c r="A118" s="16">
        <f t="shared" si="1"/>
        <v>115</v>
      </c>
      <c r="B118" s="36"/>
      <c r="C118" s="37"/>
      <c r="D118" s="37"/>
      <c r="E118" s="37"/>
      <c r="F118" s="37"/>
      <c r="G118" s="37"/>
      <c r="H118" s="37"/>
      <c r="I118" s="69"/>
      <c r="J118" s="36"/>
      <c r="K118" s="37"/>
      <c r="L118" s="37"/>
      <c r="M118" s="37"/>
      <c r="N118" s="37"/>
      <c r="O118" s="37"/>
      <c r="P118" s="37"/>
      <c r="Q118" s="35"/>
      <c r="R118" s="234"/>
      <c r="S118" s="37"/>
      <c r="T118" s="37"/>
      <c r="U118" s="37"/>
      <c r="V118" s="37"/>
      <c r="W118" s="37"/>
      <c r="X118" s="37"/>
      <c r="Y118" s="35"/>
      <c r="AA118">
        <f>B118*10+C118+(D118*Others!$B$33)+E118*500+F118+(G118*Others!$B$33)+H118*I118+J118*10+K118+(L118*Others!$B$33)+M118*500+N118+(O118*Others!$B$33)+P118*Q118+R118*10+S118+(T118*Others!$B$33)+U118*500+V118+(W118*Others!$B$33)+X118*Y118</f>
        <v>0</v>
      </c>
      <c r="AB118">
        <f>ROUND(SUM(AA$4:AA118)/A118,0)</f>
        <v>84</v>
      </c>
    </row>
    <row r="119" spans="1:28">
      <c r="A119" s="16">
        <f t="shared" si="1"/>
        <v>116</v>
      </c>
      <c r="B119" s="36"/>
      <c r="C119" s="37"/>
      <c r="D119" s="37"/>
      <c r="E119" s="37"/>
      <c r="F119" s="37"/>
      <c r="G119" s="37"/>
      <c r="H119" s="37"/>
      <c r="I119" s="69"/>
      <c r="J119" s="36"/>
      <c r="K119" s="37"/>
      <c r="L119" s="37"/>
      <c r="M119" s="37"/>
      <c r="N119" s="37"/>
      <c r="O119" s="37"/>
      <c r="P119" s="37"/>
      <c r="Q119" s="35"/>
      <c r="R119" s="234"/>
      <c r="S119" s="37"/>
      <c r="T119" s="37"/>
      <c r="U119" s="37"/>
      <c r="V119" s="37"/>
      <c r="W119" s="37"/>
      <c r="X119" s="37"/>
      <c r="Y119" s="35"/>
      <c r="AA119">
        <f>B119*10+C119+(D119*Others!$B$33)+E119*500+F119+(G119*Others!$B$33)+H119*I119+J119*10+K119+(L119*Others!$B$33)+M119*500+N119+(O119*Others!$B$33)+P119*Q119+R119*10+S119+(T119*Others!$B$33)+U119*500+V119+(W119*Others!$B$33)+X119*Y119</f>
        <v>0</v>
      </c>
      <c r="AB119">
        <f>ROUND(SUM(AA$4:AA119)/A119,0)</f>
        <v>84</v>
      </c>
    </row>
    <row r="120" spans="1:28">
      <c r="A120" s="16">
        <f t="shared" si="1"/>
        <v>117</v>
      </c>
      <c r="B120" s="36"/>
      <c r="C120" s="37"/>
      <c r="D120" s="37"/>
      <c r="E120" s="37"/>
      <c r="F120" s="37"/>
      <c r="G120" s="37"/>
      <c r="H120" s="37"/>
      <c r="I120" s="69"/>
      <c r="J120" s="36"/>
      <c r="K120" s="37"/>
      <c r="L120" s="37"/>
      <c r="M120" s="37"/>
      <c r="N120" s="37"/>
      <c r="O120" s="37"/>
      <c r="P120" s="37"/>
      <c r="Q120" s="35"/>
      <c r="R120" s="234"/>
      <c r="S120" s="37"/>
      <c r="T120" s="37"/>
      <c r="U120" s="37"/>
      <c r="V120" s="37"/>
      <c r="W120" s="37"/>
      <c r="X120" s="37"/>
      <c r="Y120" s="35"/>
      <c r="AA120">
        <f>B120*10+C120+(D120*Others!$B$33)+E120*500+F120+(G120*Others!$B$33)+H120*I120+J120*10+K120+(L120*Others!$B$33)+M120*500+N120+(O120*Others!$B$33)+P120*Q120+R120*10+S120+(T120*Others!$B$33)+U120*500+V120+(W120*Others!$B$33)+X120*Y120</f>
        <v>0</v>
      </c>
      <c r="AB120">
        <f>ROUND(SUM(AA$4:AA120)/A120,0)</f>
        <v>83</v>
      </c>
    </row>
    <row r="121" spans="1:28">
      <c r="A121" s="16">
        <f t="shared" si="1"/>
        <v>118</v>
      </c>
      <c r="B121" s="36"/>
      <c r="C121" s="37"/>
      <c r="D121" s="37"/>
      <c r="E121" s="37"/>
      <c r="F121" s="37"/>
      <c r="G121" s="37"/>
      <c r="H121" s="37"/>
      <c r="I121" s="69"/>
      <c r="J121" s="36"/>
      <c r="K121" s="37"/>
      <c r="L121" s="37"/>
      <c r="M121" s="37"/>
      <c r="N121" s="37"/>
      <c r="O121" s="37"/>
      <c r="P121" s="37"/>
      <c r="Q121" s="35"/>
      <c r="R121" s="234"/>
      <c r="S121" s="37"/>
      <c r="T121" s="37"/>
      <c r="U121" s="37"/>
      <c r="V121" s="37"/>
      <c r="W121" s="37"/>
      <c r="X121" s="37"/>
      <c r="Y121" s="35"/>
      <c r="AA121">
        <f>B121*10+C121+(D121*Others!$B$33)+E121*500+F121+(G121*Others!$B$33)+H121*I121+J121*10+K121+(L121*Others!$B$33)+M121*500+N121+(O121*Others!$B$33)+P121*Q121+R121*10+S121+(T121*Others!$B$33)+U121*500+V121+(W121*Others!$B$33)+X121*Y121</f>
        <v>0</v>
      </c>
      <c r="AB121">
        <f>ROUND(SUM(AA$4:AA121)/A121,0)</f>
        <v>82</v>
      </c>
    </row>
    <row r="122" spans="1:28">
      <c r="A122" s="16">
        <f t="shared" si="1"/>
        <v>119</v>
      </c>
      <c r="B122" s="36"/>
      <c r="C122" s="37"/>
      <c r="D122" s="37"/>
      <c r="E122" s="37"/>
      <c r="F122" s="37"/>
      <c r="G122" s="37"/>
      <c r="H122" s="37"/>
      <c r="I122" s="69"/>
      <c r="J122" s="36"/>
      <c r="K122" s="37"/>
      <c r="L122" s="37"/>
      <c r="M122" s="37"/>
      <c r="N122" s="37"/>
      <c r="O122" s="37"/>
      <c r="P122" s="37"/>
      <c r="Q122" s="35"/>
      <c r="R122" s="234"/>
      <c r="S122" s="37"/>
      <c r="T122" s="37"/>
      <c r="U122" s="37"/>
      <c r="V122" s="37"/>
      <c r="W122" s="37"/>
      <c r="X122" s="37"/>
      <c r="Y122" s="35"/>
      <c r="AA122">
        <f>B122*10+C122+(D122*Others!$B$33)+E122*500+F122+(G122*Others!$B$33)+H122*I122+J122*10+K122+(L122*Others!$B$33)+M122*500+N122+(O122*Others!$B$33)+P122*Q122+R122*10+S122+(T122*Others!$B$33)+U122*500+V122+(W122*Others!$B$33)+X122*Y122</f>
        <v>0</v>
      </c>
      <c r="AB122">
        <f>ROUND(SUM(AA$4:AA122)/A122,0)</f>
        <v>82</v>
      </c>
    </row>
    <row r="123" spans="1:28">
      <c r="A123" s="16">
        <f t="shared" si="1"/>
        <v>120</v>
      </c>
      <c r="B123" s="36"/>
      <c r="C123" s="37"/>
      <c r="D123" s="37"/>
      <c r="E123" s="37"/>
      <c r="F123" s="37"/>
      <c r="G123" s="37"/>
      <c r="H123" s="37"/>
      <c r="I123" s="69"/>
      <c r="J123" s="36"/>
      <c r="K123" s="37"/>
      <c r="L123" s="37"/>
      <c r="M123" s="37"/>
      <c r="N123" s="37"/>
      <c r="O123" s="37"/>
      <c r="P123" s="37"/>
      <c r="Q123" s="35"/>
      <c r="R123" s="234"/>
      <c r="S123" s="37"/>
      <c r="T123" s="37"/>
      <c r="U123" s="37"/>
      <c r="V123" s="37"/>
      <c r="W123" s="37"/>
      <c r="X123" s="37"/>
      <c r="Y123" s="35"/>
      <c r="AA123">
        <f>B123*10+C123+(D123*Others!$B$33)+E123*500+F123+(G123*Others!$B$33)+H123*I123+J123*10+K123+(L123*Others!$B$33)+M123*500+N123+(O123*Others!$B$33)+P123*Q123+R123*10+S123+(T123*Others!$B$33)+U123*500+V123+(W123*Others!$B$33)+X123*Y123</f>
        <v>0</v>
      </c>
      <c r="AB123">
        <f>ROUND(SUM(AA$4:AA123)/A123,0)</f>
        <v>81</v>
      </c>
    </row>
    <row r="124" spans="1:28">
      <c r="A124" s="16">
        <f t="shared" si="1"/>
        <v>121</v>
      </c>
      <c r="B124" s="36"/>
      <c r="C124" s="37"/>
      <c r="D124" s="37"/>
      <c r="E124" s="37"/>
      <c r="F124" s="37"/>
      <c r="G124" s="37"/>
      <c r="H124" s="37"/>
      <c r="I124" s="69"/>
      <c r="J124" s="36"/>
      <c r="K124" s="37"/>
      <c r="L124" s="37"/>
      <c r="M124" s="37"/>
      <c r="N124" s="37"/>
      <c r="O124" s="37"/>
      <c r="P124" s="37"/>
      <c r="Q124" s="35"/>
      <c r="R124" s="234"/>
      <c r="S124" s="37"/>
      <c r="T124" s="37"/>
      <c r="U124" s="37"/>
      <c r="V124" s="37"/>
      <c r="W124" s="37"/>
      <c r="X124" s="37"/>
      <c r="Y124" s="35"/>
      <c r="AA124">
        <f>B124*10+C124+(D124*Others!$B$33)+E124*500+F124+(G124*Others!$B$33)+H124*I124+J124*10+K124+(L124*Others!$B$33)+M124*500+N124+(O124*Others!$B$33)+P124*Q124+R124*10+S124+(T124*Others!$B$33)+U124*500+V124+(W124*Others!$B$33)+X124*Y124</f>
        <v>0</v>
      </c>
      <c r="AB124">
        <f>ROUND(SUM(AA$4:AA124)/A124,0)</f>
        <v>80</v>
      </c>
    </row>
    <row r="125" spans="1:28">
      <c r="A125" s="16">
        <f t="shared" si="1"/>
        <v>122</v>
      </c>
      <c r="B125" s="36"/>
      <c r="C125" s="37"/>
      <c r="D125" s="37"/>
      <c r="E125" s="37"/>
      <c r="F125" s="37"/>
      <c r="G125" s="37"/>
      <c r="H125" s="37"/>
      <c r="I125" s="69"/>
      <c r="J125" s="36"/>
      <c r="K125" s="37"/>
      <c r="L125" s="37"/>
      <c r="M125" s="37"/>
      <c r="N125" s="37"/>
      <c r="O125" s="37"/>
      <c r="P125" s="37"/>
      <c r="Q125" s="35"/>
      <c r="R125" s="234"/>
      <c r="S125" s="37"/>
      <c r="T125" s="37"/>
      <c r="U125" s="37"/>
      <c r="V125" s="37"/>
      <c r="W125" s="37"/>
      <c r="X125" s="37"/>
      <c r="Y125" s="35"/>
      <c r="AA125">
        <f>B125*10+C125+(D125*Others!$B$33)+E125*500+F125+(G125*Others!$B$33)+H125*I125+J125*10+K125+(L125*Others!$B$33)+M125*500+N125+(O125*Others!$B$33)+P125*Q125+R125*10+S125+(T125*Others!$B$33)+U125*500+V125+(W125*Others!$B$33)+X125*Y125</f>
        <v>0</v>
      </c>
      <c r="AB125">
        <f>ROUND(SUM(AA$4:AA125)/A125,0)</f>
        <v>80</v>
      </c>
    </row>
    <row r="126" spans="1:28">
      <c r="A126" s="16">
        <f t="shared" si="1"/>
        <v>123</v>
      </c>
      <c r="B126" s="36"/>
      <c r="C126" s="37"/>
      <c r="D126" s="37"/>
      <c r="E126" s="37"/>
      <c r="F126" s="37"/>
      <c r="G126" s="37"/>
      <c r="H126" s="37"/>
      <c r="I126" s="69"/>
      <c r="J126" s="36"/>
      <c r="K126" s="37"/>
      <c r="L126" s="37"/>
      <c r="M126" s="37"/>
      <c r="N126" s="37"/>
      <c r="O126" s="37"/>
      <c r="P126" s="37"/>
      <c r="Q126" s="35"/>
      <c r="R126" s="234"/>
      <c r="S126" s="37"/>
      <c r="T126" s="37"/>
      <c r="U126" s="37"/>
      <c r="V126" s="37"/>
      <c r="W126" s="37"/>
      <c r="X126" s="37"/>
      <c r="Y126" s="35"/>
      <c r="AA126">
        <f>B126*10+C126+(D126*Others!$B$33)+E126*500+F126+(G126*Others!$B$33)+H126*I126+J126*10+K126+(L126*Others!$B$33)+M126*500+N126+(O126*Others!$B$33)+P126*Q126+R126*10+S126+(T126*Others!$B$33)+U126*500+V126+(W126*Others!$B$33)+X126*Y126</f>
        <v>0</v>
      </c>
      <c r="AB126">
        <f>ROUND(SUM(AA$4:AA126)/A126,0)</f>
        <v>79</v>
      </c>
    </row>
    <row r="127" spans="1:28">
      <c r="A127" s="16">
        <f t="shared" si="1"/>
        <v>124</v>
      </c>
      <c r="B127" s="36"/>
      <c r="C127" s="37"/>
      <c r="D127" s="37"/>
      <c r="E127" s="37"/>
      <c r="F127" s="37"/>
      <c r="G127" s="37"/>
      <c r="H127" s="37"/>
      <c r="I127" s="69"/>
      <c r="J127" s="36"/>
      <c r="K127" s="37"/>
      <c r="L127" s="37"/>
      <c r="M127" s="37"/>
      <c r="N127" s="37"/>
      <c r="O127" s="37"/>
      <c r="P127" s="37"/>
      <c r="Q127" s="35"/>
      <c r="R127" s="234"/>
      <c r="S127" s="37"/>
      <c r="T127" s="37"/>
      <c r="U127" s="37"/>
      <c r="V127" s="37"/>
      <c r="W127" s="37"/>
      <c r="X127" s="37"/>
      <c r="Y127" s="35"/>
      <c r="AA127">
        <f>B127*10+C127+(D127*Others!$B$33)+E127*500+F127+(G127*Others!$B$33)+H127*I127+J127*10+K127+(L127*Others!$B$33)+M127*500+N127+(O127*Others!$B$33)+P127*Q127+R127*10+S127+(T127*Others!$B$33)+U127*500+V127+(W127*Others!$B$33)+X127*Y127</f>
        <v>0</v>
      </c>
      <c r="AB127">
        <f>ROUND(SUM(AA$4:AA127)/A127,0)</f>
        <v>78</v>
      </c>
    </row>
    <row r="128" spans="1:28">
      <c r="A128" s="16">
        <f t="shared" si="1"/>
        <v>125</v>
      </c>
      <c r="B128" s="36"/>
      <c r="C128" s="37"/>
      <c r="D128" s="37"/>
      <c r="E128" s="37"/>
      <c r="F128" s="37"/>
      <c r="G128" s="37"/>
      <c r="H128" s="37"/>
      <c r="I128" s="69"/>
      <c r="J128" s="36"/>
      <c r="K128" s="37"/>
      <c r="L128" s="37"/>
      <c r="M128" s="37"/>
      <c r="N128" s="37"/>
      <c r="O128" s="37"/>
      <c r="P128" s="37"/>
      <c r="Q128" s="35"/>
      <c r="R128" s="234"/>
      <c r="S128" s="37"/>
      <c r="T128" s="37"/>
      <c r="U128" s="37"/>
      <c r="V128" s="37"/>
      <c r="W128" s="37"/>
      <c r="X128" s="37"/>
      <c r="Y128" s="35"/>
      <c r="AA128">
        <f>B128*10+C128+(D128*Others!$B$33)+E128*500+F128+(G128*Others!$B$33)+H128*I128+J128*10+K128+(L128*Others!$B$33)+M128*500+N128+(O128*Others!$B$33)+P128*Q128+R128*10+S128+(T128*Others!$B$33)+U128*500+V128+(W128*Others!$B$33)+X128*Y128</f>
        <v>0</v>
      </c>
      <c r="AB128">
        <f>ROUND(SUM(AA$4:AA128)/A128,0)</f>
        <v>78</v>
      </c>
    </row>
    <row r="129" spans="1:28">
      <c r="A129" s="16">
        <f t="shared" si="1"/>
        <v>126</v>
      </c>
      <c r="B129" s="36"/>
      <c r="C129" s="37"/>
      <c r="D129" s="37"/>
      <c r="E129" s="37"/>
      <c r="F129" s="37"/>
      <c r="G129" s="37"/>
      <c r="H129" s="37"/>
      <c r="I129" s="69"/>
      <c r="J129" s="36"/>
      <c r="K129" s="37"/>
      <c r="L129" s="37"/>
      <c r="M129" s="37"/>
      <c r="N129" s="37"/>
      <c r="O129" s="37"/>
      <c r="P129" s="37"/>
      <c r="Q129" s="35"/>
      <c r="R129" s="234"/>
      <c r="S129" s="37"/>
      <c r="T129" s="37"/>
      <c r="U129" s="37"/>
      <c r="V129" s="37"/>
      <c r="W129" s="37"/>
      <c r="X129" s="37"/>
      <c r="Y129" s="35"/>
      <c r="AA129">
        <f>B129*10+C129+(D129*Others!$B$33)+E129*500+F129+(G129*Others!$B$33)+H129*I129+J129*10+K129+(L129*Others!$B$33)+M129*500+N129+(O129*Others!$B$33)+P129*Q129+R129*10+S129+(T129*Others!$B$33)+U129*500+V129+(W129*Others!$B$33)+X129*Y129</f>
        <v>0</v>
      </c>
      <c r="AB129">
        <f>ROUND(SUM(AA$4:AA129)/A129,0)</f>
        <v>77</v>
      </c>
    </row>
    <row r="130" spans="1:28">
      <c r="A130" s="16">
        <f t="shared" si="1"/>
        <v>127</v>
      </c>
      <c r="B130" s="36"/>
      <c r="C130" s="37"/>
      <c r="D130" s="37"/>
      <c r="E130" s="37"/>
      <c r="F130" s="37"/>
      <c r="G130" s="37"/>
      <c r="H130" s="37"/>
      <c r="I130" s="69"/>
      <c r="J130" s="36"/>
      <c r="K130" s="37"/>
      <c r="L130" s="37"/>
      <c r="M130" s="37"/>
      <c r="N130" s="37"/>
      <c r="O130" s="37"/>
      <c r="P130" s="37"/>
      <c r="Q130" s="35"/>
      <c r="R130" s="234"/>
      <c r="S130" s="37"/>
      <c r="T130" s="37"/>
      <c r="U130" s="37"/>
      <c r="V130" s="37"/>
      <c r="W130" s="37"/>
      <c r="X130" s="37"/>
      <c r="Y130" s="35"/>
      <c r="AA130">
        <f>B130*10+C130+(D130*Others!$B$33)+E130*500+F130+(G130*Others!$B$33)+H130*I130+J130*10+K130+(L130*Others!$B$33)+M130*500+N130+(O130*Others!$B$33)+P130*Q130+R130*10+S130+(T130*Others!$B$33)+U130*500+V130+(W130*Others!$B$33)+X130*Y130</f>
        <v>0</v>
      </c>
      <c r="AB130">
        <f>ROUND(SUM(AA$4:AA130)/A130,0)</f>
        <v>76</v>
      </c>
    </row>
    <row r="131" spans="1:28">
      <c r="A131" s="16">
        <f t="shared" si="1"/>
        <v>128</v>
      </c>
      <c r="B131" s="36"/>
      <c r="C131" s="37"/>
      <c r="D131" s="37"/>
      <c r="E131" s="37"/>
      <c r="F131" s="37"/>
      <c r="G131" s="37"/>
      <c r="H131" s="37"/>
      <c r="I131" s="69"/>
      <c r="J131" s="36"/>
      <c r="K131" s="37"/>
      <c r="L131" s="37"/>
      <c r="M131" s="37"/>
      <c r="N131" s="37"/>
      <c r="O131" s="37"/>
      <c r="P131" s="37"/>
      <c r="Q131" s="35"/>
      <c r="R131" s="234"/>
      <c r="S131" s="37"/>
      <c r="T131" s="37"/>
      <c r="U131" s="37"/>
      <c r="V131" s="37"/>
      <c r="W131" s="37"/>
      <c r="X131" s="37"/>
      <c r="Y131" s="35"/>
      <c r="AA131">
        <f>B131*10+C131+(D131*Others!$B$33)+E131*500+F131+(G131*Others!$B$33)+H131*I131+J131*10+K131+(L131*Others!$B$33)+M131*500+N131+(O131*Others!$B$33)+P131*Q131+R131*10+S131+(T131*Others!$B$33)+U131*500+V131+(W131*Others!$B$33)+X131*Y131</f>
        <v>0</v>
      </c>
      <c r="AB131">
        <f>ROUND(SUM(AA$4:AA131)/A131,0)</f>
        <v>76</v>
      </c>
    </row>
    <row r="132" spans="1:28">
      <c r="A132" s="16">
        <f t="shared" si="1"/>
        <v>129</v>
      </c>
      <c r="B132" s="36"/>
      <c r="C132" s="37"/>
      <c r="D132" s="37"/>
      <c r="E132" s="37"/>
      <c r="F132" s="37"/>
      <c r="G132" s="37"/>
      <c r="H132" s="37"/>
      <c r="I132" s="69"/>
      <c r="J132" s="36"/>
      <c r="K132" s="37"/>
      <c r="L132" s="37"/>
      <c r="M132" s="37"/>
      <c r="N132" s="37"/>
      <c r="O132" s="37"/>
      <c r="P132" s="37"/>
      <c r="Q132" s="35"/>
      <c r="R132" s="234"/>
      <c r="S132" s="37"/>
      <c r="T132" s="37"/>
      <c r="U132" s="37"/>
      <c r="V132" s="37"/>
      <c r="W132" s="37"/>
      <c r="X132" s="37"/>
      <c r="Y132" s="35"/>
      <c r="AA132">
        <f>B132*10+C132+(D132*Others!$B$33)+E132*500+F132+(G132*Others!$B$33)+H132*I132+J132*10+K132+(L132*Others!$B$33)+M132*500+N132+(O132*Others!$B$33)+P132*Q132+R132*10+S132+(T132*Others!$B$33)+U132*500+V132+(W132*Others!$B$33)+X132*Y132</f>
        <v>0</v>
      </c>
      <c r="AB132">
        <f>ROUND(SUM(AA$4:AA132)/A132,0)</f>
        <v>75</v>
      </c>
    </row>
    <row r="133" spans="1:28">
      <c r="A133" s="16">
        <f t="shared" ref="A133:A196" si="2">IF(ISNUMBER(A132),A132,0)+1</f>
        <v>130</v>
      </c>
      <c r="B133" s="36"/>
      <c r="C133" s="37"/>
      <c r="D133" s="37"/>
      <c r="E133" s="37"/>
      <c r="F133" s="37"/>
      <c r="G133" s="37"/>
      <c r="H133" s="37"/>
      <c r="I133" s="69"/>
      <c r="J133" s="36"/>
      <c r="K133" s="37"/>
      <c r="L133" s="37"/>
      <c r="M133" s="37"/>
      <c r="N133" s="37"/>
      <c r="O133" s="37"/>
      <c r="P133" s="37"/>
      <c r="Q133" s="35"/>
      <c r="R133" s="234"/>
      <c r="S133" s="37"/>
      <c r="T133" s="37"/>
      <c r="U133" s="37"/>
      <c r="V133" s="37"/>
      <c r="W133" s="37"/>
      <c r="X133" s="37"/>
      <c r="Y133" s="35"/>
      <c r="AA133">
        <f>B133*10+C133+(D133*Others!$B$33)+E133*500+F133+(G133*Others!$B$33)+H133*I133+J133*10+K133+(L133*Others!$B$33)+M133*500+N133+(O133*Others!$B$33)+P133*Q133+R133*10+S133+(T133*Others!$B$33)+U133*500+V133+(W133*Others!$B$33)+X133*Y133</f>
        <v>0</v>
      </c>
      <c r="AB133">
        <f>ROUND(SUM(AA$4:AA133)/A133,0)</f>
        <v>75</v>
      </c>
    </row>
    <row r="134" spans="1:28">
      <c r="A134" s="16">
        <f t="shared" si="2"/>
        <v>131</v>
      </c>
      <c r="B134" s="36"/>
      <c r="C134" s="37"/>
      <c r="D134" s="37"/>
      <c r="E134" s="37"/>
      <c r="F134" s="37"/>
      <c r="G134" s="37"/>
      <c r="H134" s="37"/>
      <c r="I134" s="69"/>
      <c r="J134" s="36"/>
      <c r="K134" s="37"/>
      <c r="L134" s="37"/>
      <c r="M134" s="37"/>
      <c r="N134" s="37"/>
      <c r="O134" s="37"/>
      <c r="P134" s="37"/>
      <c r="Q134" s="35"/>
      <c r="R134" s="234"/>
      <c r="S134" s="37"/>
      <c r="T134" s="37"/>
      <c r="U134" s="37"/>
      <c r="V134" s="37"/>
      <c r="W134" s="37"/>
      <c r="X134" s="37"/>
      <c r="Y134" s="35"/>
      <c r="AA134">
        <f>B134*10+C134+(D134*Others!$B$33)+E134*500+F134+(G134*Others!$B$33)+H134*I134+J134*10+K134+(L134*Others!$B$33)+M134*500+N134+(O134*Others!$B$33)+P134*Q134+R134*10+S134+(T134*Others!$B$33)+U134*500+V134+(W134*Others!$B$33)+X134*Y134</f>
        <v>0</v>
      </c>
      <c r="AB134">
        <f>ROUND(SUM(AA$4:AA134)/A134,0)</f>
        <v>74</v>
      </c>
    </row>
    <row r="135" spans="1:28">
      <c r="A135" s="16">
        <f t="shared" si="2"/>
        <v>132</v>
      </c>
      <c r="B135" s="36"/>
      <c r="C135" s="37"/>
      <c r="D135" s="37"/>
      <c r="E135" s="37"/>
      <c r="F135" s="37"/>
      <c r="G135" s="37"/>
      <c r="H135" s="37"/>
      <c r="I135" s="69"/>
      <c r="J135" s="36"/>
      <c r="K135" s="37"/>
      <c r="L135" s="37"/>
      <c r="M135" s="37"/>
      <c r="N135" s="37"/>
      <c r="O135" s="37"/>
      <c r="P135" s="37"/>
      <c r="Q135" s="35"/>
      <c r="R135" s="234"/>
      <c r="S135" s="37"/>
      <c r="T135" s="37"/>
      <c r="U135" s="37"/>
      <c r="V135" s="37"/>
      <c r="W135" s="37"/>
      <c r="X135" s="37"/>
      <c r="Y135" s="35"/>
      <c r="AA135">
        <f>B135*10+C135+(D135*Others!$B$33)+E135*500+F135+(G135*Others!$B$33)+H135*I135+J135*10+K135+(L135*Others!$B$33)+M135*500+N135+(O135*Others!$B$33)+P135*Q135+R135*10+S135+(T135*Others!$B$33)+U135*500+V135+(W135*Others!$B$33)+X135*Y135</f>
        <v>0</v>
      </c>
      <c r="AB135">
        <f>ROUND(SUM(AA$4:AA135)/A135,0)</f>
        <v>74</v>
      </c>
    </row>
    <row r="136" spans="1:28">
      <c r="A136" s="16">
        <f t="shared" si="2"/>
        <v>133</v>
      </c>
      <c r="B136" s="36"/>
      <c r="C136" s="37"/>
      <c r="D136" s="37"/>
      <c r="E136" s="37"/>
      <c r="F136" s="37"/>
      <c r="G136" s="37"/>
      <c r="H136" s="37"/>
      <c r="I136" s="69"/>
      <c r="J136" s="36"/>
      <c r="K136" s="37"/>
      <c r="L136" s="37"/>
      <c r="M136" s="37"/>
      <c r="N136" s="37"/>
      <c r="O136" s="37"/>
      <c r="P136" s="37"/>
      <c r="Q136" s="35"/>
      <c r="R136" s="234"/>
      <c r="S136" s="37"/>
      <c r="T136" s="37"/>
      <c r="U136" s="37"/>
      <c r="V136" s="37"/>
      <c r="W136" s="37"/>
      <c r="X136" s="37"/>
      <c r="Y136" s="35"/>
      <c r="AA136">
        <f>B136*10+C136+(D136*Others!$B$33)+E136*500+F136+(G136*Others!$B$33)+H136*I136+J136*10+K136+(L136*Others!$B$33)+M136*500+N136+(O136*Others!$B$33)+P136*Q136+R136*10+S136+(T136*Others!$B$33)+U136*500+V136+(W136*Others!$B$33)+X136*Y136</f>
        <v>0</v>
      </c>
      <c r="AB136">
        <f>ROUND(SUM(AA$4:AA136)/A136,0)</f>
        <v>73</v>
      </c>
    </row>
    <row r="137" spans="1:28">
      <c r="A137" s="16">
        <f t="shared" si="2"/>
        <v>134</v>
      </c>
      <c r="B137" s="36"/>
      <c r="C137" s="37"/>
      <c r="D137" s="37"/>
      <c r="E137" s="37"/>
      <c r="F137" s="37"/>
      <c r="G137" s="37"/>
      <c r="H137" s="37"/>
      <c r="I137" s="69"/>
      <c r="J137" s="36"/>
      <c r="K137" s="37"/>
      <c r="L137" s="37"/>
      <c r="M137" s="37"/>
      <c r="N137" s="37"/>
      <c r="O137" s="37"/>
      <c r="P137" s="37"/>
      <c r="Q137" s="35"/>
      <c r="R137" s="234"/>
      <c r="S137" s="37"/>
      <c r="T137" s="37"/>
      <c r="U137" s="37"/>
      <c r="V137" s="37"/>
      <c r="W137" s="37"/>
      <c r="X137" s="37"/>
      <c r="Y137" s="35"/>
      <c r="AA137">
        <f>B137*10+C137+(D137*Others!$B$33)+E137*500+F137+(G137*Others!$B$33)+H137*I137+J137*10+K137+(L137*Others!$B$33)+M137*500+N137+(O137*Others!$B$33)+P137*Q137+R137*10+S137+(T137*Others!$B$33)+U137*500+V137+(W137*Others!$B$33)+X137*Y137</f>
        <v>0</v>
      </c>
      <c r="AB137">
        <f>ROUND(SUM(AA$4:AA137)/A137,0)</f>
        <v>73</v>
      </c>
    </row>
    <row r="138" spans="1:28">
      <c r="A138" s="16">
        <f t="shared" si="2"/>
        <v>135</v>
      </c>
      <c r="B138" s="36"/>
      <c r="C138" s="37"/>
      <c r="D138" s="37"/>
      <c r="E138" s="37"/>
      <c r="F138" s="37"/>
      <c r="G138" s="37"/>
      <c r="H138" s="37"/>
      <c r="I138" s="69"/>
      <c r="J138" s="36"/>
      <c r="K138" s="37"/>
      <c r="L138" s="37"/>
      <c r="M138" s="37"/>
      <c r="N138" s="37"/>
      <c r="O138" s="37"/>
      <c r="P138" s="37"/>
      <c r="Q138" s="35"/>
      <c r="R138" s="234"/>
      <c r="S138" s="37"/>
      <c r="T138" s="37"/>
      <c r="U138" s="37"/>
      <c r="V138" s="37"/>
      <c r="W138" s="37"/>
      <c r="X138" s="37"/>
      <c r="Y138" s="35"/>
      <c r="AA138">
        <f>B138*10+C138+(D138*Others!$B$33)+E138*500+F138+(G138*Others!$B$33)+H138*I138+J138*10+K138+(L138*Others!$B$33)+M138*500+N138+(O138*Others!$B$33)+P138*Q138+R138*10+S138+(T138*Others!$B$33)+U138*500+V138+(W138*Others!$B$33)+X138*Y138</f>
        <v>0</v>
      </c>
      <c r="AB138">
        <f>ROUND(SUM(AA$4:AA138)/A138,0)</f>
        <v>72</v>
      </c>
    </row>
    <row r="139" spans="1:28">
      <c r="A139" s="16">
        <f t="shared" si="2"/>
        <v>136</v>
      </c>
      <c r="B139" s="36"/>
      <c r="C139" s="37"/>
      <c r="D139" s="37"/>
      <c r="E139" s="37"/>
      <c r="F139" s="37"/>
      <c r="G139" s="37"/>
      <c r="H139" s="37"/>
      <c r="I139" s="69"/>
      <c r="J139" s="36"/>
      <c r="K139" s="37"/>
      <c r="L139" s="37"/>
      <c r="M139" s="37"/>
      <c r="N139" s="37"/>
      <c r="O139" s="37"/>
      <c r="P139" s="37"/>
      <c r="Q139" s="35"/>
      <c r="R139" s="234"/>
      <c r="S139" s="37"/>
      <c r="T139" s="37"/>
      <c r="U139" s="37"/>
      <c r="V139" s="37"/>
      <c r="W139" s="37"/>
      <c r="X139" s="37"/>
      <c r="Y139" s="35"/>
      <c r="AA139">
        <f>B139*10+C139+(D139*Others!$B$33)+E139*500+F139+(G139*Others!$B$33)+H139*I139+J139*10+K139+(L139*Others!$B$33)+M139*500+N139+(O139*Others!$B$33)+P139*Q139+R139*10+S139+(T139*Others!$B$33)+U139*500+V139+(W139*Others!$B$33)+X139*Y139</f>
        <v>0</v>
      </c>
      <c r="AB139">
        <f>ROUND(SUM(AA$4:AA139)/A139,0)</f>
        <v>71</v>
      </c>
    </row>
    <row r="140" spans="1:28">
      <c r="A140" s="16">
        <f t="shared" si="2"/>
        <v>137</v>
      </c>
      <c r="B140" s="36"/>
      <c r="C140" s="37"/>
      <c r="D140" s="37"/>
      <c r="E140" s="37"/>
      <c r="F140" s="37"/>
      <c r="G140" s="37"/>
      <c r="H140" s="37"/>
      <c r="I140" s="69"/>
      <c r="J140" s="36"/>
      <c r="K140" s="37"/>
      <c r="L140" s="37"/>
      <c r="M140" s="37"/>
      <c r="N140" s="37"/>
      <c r="O140" s="37"/>
      <c r="P140" s="37"/>
      <c r="Q140" s="35"/>
      <c r="R140" s="234"/>
      <c r="S140" s="37"/>
      <c r="T140" s="37"/>
      <c r="U140" s="37"/>
      <c r="V140" s="37"/>
      <c r="W140" s="37"/>
      <c r="X140" s="37"/>
      <c r="Y140" s="35"/>
      <c r="AA140">
        <f>B140*10+C140+(D140*Others!$B$33)+E140*500+F140+(G140*Others!$B$33)+H140*I140+J140*10+K140+(L140*Others!$B$33)+M140*500+N140+(O140*Others!$B$33)+P140*Q140+R140*10+S140+(T140*Others!$B$33)+U140*500+V140+(W140*Others!$B$33)+X140*Y140</f>
        <v>0</v>
      </c>
      <c r="AB140">
        <f>ROUND(SUM(AA$4:AA140)/A140,0)</f>
        <v>71</v>
      </c>
    </row>
    <row r="141" spans="1:28">
      <c r="A141" s="16">
        <f t="shared" si="2"/>
        <v>138</v>
      </c>
      <c r="B141" s="36"/>
      <c r="C141" s="37"/>
      <c r="D141" s="37"/>
      <c r="E141" s="37"/>
      <c r="F141" s="37"/>
      <c r="G141" s="37"/>
      <c r="H141" s="37"/>
      <c r="I141" s="69"/>
      <c r="J141" s="36"/>
      <c r="K141" s="37"/>
      <c r="L141" s="37"/>
      <c r="M141" s="37"/>
      <c r="N141" s="37"/>
      <c r="O141" s="37"/>
      <c r="P141" s="37"/>
      <c r="Q141" s="35"/>
      <c r="R141" s="234"/>
      <c r="S141" s="37"/>
      <c r="T141" s="37"/>
      <c r="U141" s="37"/>
      <c r="V141" s="37"/>
      <c r="W141" s="37"/>
      <c r="X141" s="37"/>
      <c r="Y141" s="35"/>
      <c r="AA141">
        <f>B141*10+C141+(D141*Others!$B$33)+E141*500+F141+(G141*Others!$B$33)+H141*I141+J141*10+K141+(L141*Others!$B$33)+M141*500+N141+(O141*Others!$B$33)+P141*Q141+R141*10+S141+(T141*Others!$B$33)+U141*500+V141+(W141*Others!$B$33)+X141*Y141</f>
        <v>0</v>
      </c>
      <c r="AB141">
        <f>ROUND(SUM(AA$4:AA141)/A141,0)</f>
        <v>70</v>
      </c>
    </row>
    <row r="142" spans="1:28">
      <c r="A142" s="16">
        <f t="shared" si="2"/>
        <v>139</v>
      </c>
      <c r="B142" s="36"/>
      <c r="C142" s="37"/>
      <c r="D142" s="37"/>
      <c r="E142" s="37"/>
      <c r="F142" s="37"/>
      <c r="G142" s="37"/>
      <c r="H142" s="37"/>
      <c r="I142" s="69"/>
      <c r="J142" s="36"/>
      <c r="K142" s="37"/>
      <c r="L142" s="37"/>
      <c r="M142" s="37"/>
      <c r="N142" s="37"/>
      <c r="O142" s="37"/>
      <c r="P142" s="37"/>
      <c r="Q142" s="35"/>
      <c r="R142" s="234"/>
      <c r="S142" s="37"/>
      <c r="T142" s="37"/>
      <c r="U142" s="37"/>
      <c r="V142" s="37"/>
      <c r="W142" s="37"/>
      <c r="X142" s="37"/>
      <c r="Y142" s="35"/>
      <c r="AA142">
        <f>B142*10+C142+(D142*Others!$B$33)+E142*500+F142+(G142*Others!$B$33)+H142*I142+J142*10+K142+(L142*Others!$B$33)+M142*500+N142+(O142*Others!$B$33)+P142*Q142+R142*10+S142+(T142*Others!$B$33)+U142*500+V142+(W142*Others!$B$33)+X142*Y142</f>
        <v>0</v>
      </c>
      <c r="AB142">
        <f>ROUND(SUM(AA$4:AA142)/A142,0)</f>
        <v>70</v>
      </c>
    </row>
    <row r="143" spans="1:28">
      <c r="A143" s="16">
        <f t="shared" si="2"/>
        <v>140</v>
      </c>
      <c r="B143" s="36"/>
      <c r="C143" s="37"/>
      <c r="D143" s="37"/>
      <c r="E143" s="37"/>
      <c r="F143" s="37"/>
      <c r="G143" s="37"/>
      <c r="H143" s="37"/>
      <c r="I143" s="69"/>
      <c r="J143" s="36"/>
      <c r="K143" s="37"/>
      <c r="L143" s="37"/>
      <c r="M143" s="37"/>
      <c r="N143" s="37"/>
      <c r="O143" s="37"/>
      <c r="P143" s="37"/>
      <c r="Q143" s="35"/>
      <c r="R143" s="234"/>
      <c r="S143" s="37"/>
      <c r="T143" s="37"/>
      <c r="U143" s="37"/>
      <c r="V143" s="37"/>
      <c r="W143" s="37"/>
      <c r="X143" s="37"/>
      <c r="Y143" s="35"/>
      <c r="AA143">
        <f>B143*10+C143+(D143*Others!$B$33)+E143*500+F143+(G143*Others!$B$33)+H143*I143+J143*10+K143+(L143*Others!$B$33)+M143*500+N143+(O143*Others!$B$33)+P143*Q143+R143*10+S143+(T143*Others!$B$33)+U143*500+V143+(W143*Others!$B$33)+X143*Y143</f>
        <v>0</v>
      </c>
      <c r="AB143">
        <f>ROUND(SUM(AA$4:AA143)/A143,0)</f>
        <v>69</v>
      </c>
    </row>
    <row r="144" spans="1:28">
      <c r="A144" s="16">
        <f t="shared" si="2"/>
        <v>141</v>
      </c>
      <c r="B144" s="36"/>
      <c r="C144" s="37"/>
      <c r="D144" s="37"/>
      <c r="E144" s="37"/>
      <c r="F144" s="37"/>
      <c r="G144" s="37"/>
      <c r="H144" s="37"/>
      <c r="I144" s="69"/>
      <c r="J144" s="36"/>
      <c r="K144" s="37"/>
      <c r="L144" s="37"/>
      <c r="M144" s="37"/>
      <c r="N144" s="37"/>
      <c r="O144" s="37"/>
      <c r="P144" s="37"/>
      <c r="Q144" s="35"/>
      <c r="R144" s="234"/>
      <c r="S144" s="37"/>
      <c r="T144" s="37"/>
      <c r="U144" s="37"/>
      <c r="V144" s="37"/>
      <c r="W144" s="37"/>
      <c r="X144" s="37"/>
      <c r="Y144" s="35"/>
      <c r="AA144">
        <f>B144*10+C144+(D144*Others!$B$33)+E144*500+F144+(G144*Others!$B$33)+H144*I144+J144*10+K144+(L144*Others!$B$33)+M144*500+N144+(O144*Others!$B$33)+P144*Q144+R144*10+S144+(T144*Others!$B$33)+U144*500+V144+(W144*Others!$B$33)+X144*Y144</f>
        <v>0</v>
      </c>
      <c r="AB144">
        <f>ROUND(SUM(AA$4:AA144)/A144,0)</f>
        <v>69</v>
      </c>
    </row>
    <row r="145" spans="1:28">
      <c r="A145" s="16">
        <f t="shared" si="2"/>
        <v>142</v>
      </c>
      <c r="B145" s="36"/>
      <c r="C145" s="37"/>
      <c r="D145" s="37"/>
      <c r="E145" s="37"/>
      <c r="F145" s="37"/>
      <c r="G145" s="37"/>
      <c r="H145" s="37"/>
      <c r="I145" s="69"/>
      <c r="J145" s="36"/>
      <c r="K145" s="37"/>
      <c r="L145" s="37"/>
      <c r="M145" s="37"/>
      <c r="N145" s="37"/>
      <c r="O145" s="37"/>
      <c r="P145" s="37"/>
      <c r="Q145" s="35"/>
      <c r="R145" s="234"/>
      <c r="S145" s="37"/>
      <c r="T145" s="37"/>
      <c r="U145" s="37"/>
      <c r="V145" s="37"/>
      <c r="W145" s="37"/>
      <c r="X145" s="37"/>
      <c r="Y145" s="35"/>
      <c r="AA145">
        <f>B145*10+C145+(D145*Others!$B$33)+E145*500+F145+(G145*Others!$B$33)+H145*I145+J145*10+K145+(L145*Others!$B$33)+M145*500+N145+(O145*Others!$B$33)+P145*Q145+R145*10+S145+(T145*Others!$B$33)+U145*500+V145+(W145*Others!$B$33)+X145*Y145</f>
        <v>0</v>
      </c>
      <c r="AB145">
        <f>ROUND(SUM(AA$4:AA145)/A145,0)</f>
        <v>68</v>
      </c>
    </row>
    <row r="146" spans="1:28">
      <c r="A146" s="16">
        <f t="shared" si="2"/>
        <v>143</v>
      </c>
      <c r="B146" s="36"/>
      <c r="C146" s="37"/>
      <c r="D146" s="37"/>
      <c r="E146" s="37"/>
      <c r="F146" s="37"/>
      <c r="G146" s="37"/>
      <c r="H146" s="37"/>
      <c r="I146" s="69"/>
      <c r="J146" s="36"/>
      <c r="K146" s="37"/>
      <c r="L146" s="37"/>
      <c r="M146" s="37"/>
      <c r="N146" s="37"/>
      <c r="O146" s="37"/>
      <c r="P146" s="37"/>
      <c r="Q146" s="35"/>
      <c r="R146" s="234"/>
      <c r="S146" s="37"/>
      <c r="T146" s="37"/>
      <c r="U146" s="37"/>
      <c r="V146" s="37"/>
      <c r="W146" s="37"/>
      <c r="X146" s="37"/>
      <c r="Y146" s="35"/>
      <c r="AA146">
        <f>B146*10+C146+(D146*Others!$B$33)+E146*500+F146+(G146*Others!$B$33)+H146*I146+J146*10+K146+(L146*Others!$B$33)+M146*500+N146+(O146*Others!$B$33)+P146*Q146+R146*10+S146+(T146*Others!$B$33)+U146*500+V146+(W146*Others!$B$33)+X146*Y146</f>
        <v>0</v>
      </c>
      <c r="AB146">
        <f>ROUND(SUM(AA$4:AA146)/A146,0)</f>
        <v>68</v>
      </c>
    </row>
    <row r="147" spans="1:28">
      <c r="A147" s="16">
        <f t="shared" si="2"/>
        <v>144</v>
      </c>
      <c r="B147" s="36"/>
      <c r="C147" s="37"/>
      <c r="D147" s="37"/>
      <c r="E147" s="37"/>
      <c r="F147" s="37"/>
      <c r="G147" s="37"/>
      <c r="H147" s="37"/>
      <c r="I147" s="69"/>
      <c r="J147" s="36"/>
      <c r="K147" s="37"/>
      <c r="L147" s="37"/>
      <c r="M147" s="37"/>
      <c r="N147" s="37"/>
      <c r="O147" s="37"/>
      <c r="P147" s="37"/>
      <c r="Q147" s="35"/>
      <c r="R147" s="234"/>
      <c r="S147" s="37"/>
      <c r="T147" s="37"/>
      <c r="U147" s="37"/>
      <c r="V147" s="37"/>
      <c r="W147" s="37"/>
      <c r="X147" s="37"/>
      <c r="Y147" s="35"/>
      <c r="AA147">
        <f>B147*10+C147+(D147*Others!$B$33)+E147*500+F147+(G147*Others!$B$33)+H147*I147+J147*10+K147+(L147*Others!$B$33)+M147*500+N147+(O147*Others!$B$33)+P147*Q147+R147*10+S147+(T147*Others!$B$33)+U147*500+V147+(W147*Others!$B$33)+X147*Y147</f>
        <v>0</v>
      </c>
      <c r="AB147">
        <f>ROUND(SUM(AA$4:AA147)/A147,0)</f>
        <v>67</v>
      </c>
    </row>
    <row r="148" spans="1:28">
      <c r="A148" s="16">
        <f t="shared" si="2"/>
        <v>145</v>
      </c>
      <c r="B148" s="36"/>
      <c r="C148" s="37"/>
      <c r="D148" s="37"/>
      <c r="E148" s="37"/>
      <c r="F148" s="37"/>
      <c r="G148" s="37"/>
      <c r="H148" s="37"/>
      <c r="I148" s="69"/>
      <c r="J148" s="36"/>
      <c r="K148" s="37"/>
      <c r="L148" s="37"/>
      <c r="M148" s="37"/>
      <c r="N148" s="37"/>
      <c r="O148" s="37"/>
      <c r="P148" s="37"/>
      <c r="Q148" s="35"/>
      <c r="R148" s="234"/>
      <c r="S148" s="37"/>
      <c r="T148" s="37"/>
      <c r="U148" s="37"/>
      <c r="V148" s="37"/>
      <c r="W148" s="37"/>
      <c r="X148" s="37"/>
      <c r="Y148" s="35"/>
      <c r="AA148">
        <f>B148*10+C148+(D148*Others!$B$33)+E148*500+F148+(G148*Others!$B$33)+H148*I148+J148*10+K148+(L148*Others!$B$33)+M148*500+N148+(O148*Others!$B$33)+P148*Q148+R148*10+S148+(T148*Others!$B$33)+U148*500+V148+(W148*Others!$B$33)+X148*Y148</f>
        <v>0</v>
      </c>
      <c r="AB148">
        <f>ROUND(SUM(AA$4:AA148)/A148,0)</f>
        <v>67</v>
      </c>
    </row>
    <row r="149" spans="1:28">
      <c r="A149" s="16">
        <f t="shared" si="2"/>
        <v>146</v>
      </c>
      <c r="B149" s="36"/>
      <c r="C149" s="37"/>
      <c r="D149" s="37"/>
      <c r="E149" s="37"/>
      <c r="F149" s="37"/>
      <c r="G149" s="37"/>
      <c r="H149" s="37"/>
      <c r="I149" s="69"/>
      <c r="J149" s="36"/>
      <c r="K149" s="37"/>
      <c r="L149" s="37"/>
      <c r="M149" s="37"/>
      <c r="N149" s="37"/>
      <c r="O149" s="37"/>
      <c r="P149" s="37"/>
      <c r="Q149" s="35"/>
      <c r="R149" s="234"/>
      <c r="S149" s="37"/>
      <c r="T149" s="37"/>
      <c r="U149" s="37"/>
      <c r="V149" s="37"/>
      <c r="W149" s="37"/>
      <c r="X149" s="37"/>
      <c r="Y149" s="35"/>
      <c r="AA149">
        <f>B149*10+C149+(D149*Others!$B$33)+E149*500+F149+(G149*Others!$B$33)+H149*I149+J149*10+K149+(L149*Others!$B$33)+M149*500+N149+(O149*Others!$B$33)+P149*Q149+R149*10+S149+(T149*Others!$B$33)+U149*500+V149+(W149*Others!$B$33)+X149*Y149</f>
        <v>0</v>
      </c>
      <c r="AB149">
        <f>ROUND(SUM(AA$4:AA149)/A149,0)</f>
        <v>67</v>
      </c>
    </row>
    <row r="150" spans="1:28">
      <c r="A150" s="16">
        <f t="shared" si="2"/>
        <v>147</v>
      </c>
      <c r="B150" s="36"/>
      <c r="C150" s="37"/>
      <c r="D150" s="37"/>
      <c r="E150" s="37"/>
      <c r="F150" s="37"/>
      <c r="G150" s="37"/>
      <c r="H150" s="37"/>
      <c r="I150" s="69"/>
      <c r="J150" s="36"/>
      <c r="K150" s="37"/>
      <c r="L150" s="37"/>
      <c r="M150" s="37"/>
      <c r="N150" s="37"/>
      <c r="O150" s="37"/>
      <c r="P150" s="37"/>
      <c r="Q150" s="35"/>
      <c r="R150" s="234"/>
      <c r="S150" s="37"/>
      <c r="T150" s="37"/>
      <c r="U150" s="37"/>
      <c r="V150" s="37"/>
      <c r="W150" s="37"/>
      <c r="X150" s="37"/>
      <c r="Y150" s="35"/>
      <c r="AA150">
        <f>B150*10+C150+(D150*Others!$B$33)+E150*500+F150+(G150*Others!$B$33)+H150*I150+J150*10+K150+(L150*Others!$B$33)+M150*500+N150+(O150*Others!$B$33)+P150*Q150+R150*10+S150+(T150*Others!$B$33)+U150*500+V150+(W150*Others!$B$33)+X150*Y150</f>
        <v>0</v>
      </c>
      <c r="AB150">
        <f>ROUND(SUM(AA$4:AA150)/A150,0)</f>
        <v>66</v>
      </c>
    </row>
    <row r="151" spans="1:28">
      <c r="A151" s="16">
        <f t="shared" si="2"/>
        <v>148</v>
      </c>
      <c r="B151" s="36"/>
      <c r="C151" s="37"/>
      <c r="D151" s="37"/>
      <c r="E151" s="37"/>
      <c r="F151" s="37"/>
      <c r="G151" s="37"/>
      <c r="H151" s="37"/>
      <c r="I151" s="69"/>
      <c r="J151" s="36"/>
      <c r="K151" s="37"/>
      <c r="L151" s="37"/>
      <c r="M151" s="37"/>
      <c r="N151" s="37"/>
      <c r="O151" s="37"/>
      <c r="P151" s="37"/>
      <c r="Q151" s="35"/>
      <c r="R151" s="234"/>
      <c r="S151" s="37"/>
      <c r="T151" s="37"/>
      <c r="U151" s="37"/>
      <c r="V151" s="37"/>
      <c r="W151" s="37"/>
      <c r="X151" s="37"/>
      <c r="Y151" s="35"/>
      <c r="AA151">
        <f>B151*10+C151+(D151*Others!$B$33)+E151*500+F151+(G151*Others!$B$33)+H151*I151+J151*10+K151+(L151*Others!$B$33)+M151*500+N151+(O151*Others!$B$33)+P151*Q151+R151*10+S151+(T151*Others!$B$33)+U151*500+V151+(W151*Others!$B$33)+X151*Y151</f>
        <v>0</v>
      </c>
      <c r="AB151">
        <f>ROUND(SUM(AA$4:AA151)/A151,0)</f>
        <v>66</v>
      </c>
    </row>
    <row r="152" spans="1:28">
      <c r="A152" s="16">
        <f t="shared" si="2"/>
        <v>149</v>
      </c>
      <c r="B152" s="36"/>
      <c r="C152" s="37"/>
      <c r="D152" s="37"/>
      <c r="E152" s="37"/>
      <c r="F152" s="37"/>
      <c r="G152" s="37"/>
      <c r="H152" s="37"/>
      <c r="I152" s="69"/>
      <c r="J152" s="36"/>
      <c r="K152" s="37"/>
      <c r="L152" s="37"/>
      <c r="M152" s="37"/>
      <c r="N152" s="37"/>
      <c r="O152" s="37"/>
      <c r="P152" s="37"/>
      <c r="Q152" s="35"/>
      <c r="R152" s="234"/>
      <c r="S152" s="37"/>
      <c r="T152" s="37"/>
      <c r="U152" s="37"/>
      <c r="V152" s="37"/>
      <c r="W152" s="37"/>
      <c r="X152" s="37"/>
      <c r="Y152" s="35"/>
      <c r="AA152">
        <f>B152*10+C152+(D152*Others!$B$33)+E152*500+F152+(G152*Others!$B$33)+H152*I152+J152*10+K152+(L152*Others!$B$33)+M152*500+N152+(O152*Others!$B$33)+P152*Q152+R152*10+S152+(T152*Others!$B$33)+U152*500+V152+(W152*Others!$B$33)+X152*Y152</f>
        <v>0</v>
      </c>
      <c r="AB152">
        <f>ROUND(SUM(AA$4:AA152)/A152,0)</f>
        <v>65</v>
      </c>
    </row>
    <row r="153" spans="1:28">
      <c r="A153" s="16">
        <f t="shared" si="2"/>
        <v>150</v>
      </c>
      <c r="B153" s="36"/>
      <c r="C153" s="37"/>
      <c r="D153" s="37"/>
      <c r="E153" s="37"/>
      <c r="F153" s="37"/>
      <c r="G153" s="37"/>
      <c r="H153" s="37"/>
      <c r="I153" s="69"/>
      <c r="J153" s="36"/>
      <c r="K153" s="37"/>
      <c r="L153" s="37"/>
      <c r="M153" s="37"/>
      <c r="N153" s="37"/>
      <c r="O153" s="37"/>
      <c r="P153" s="37"/>
      <c r="Q153" s="35"/>
      <c r="R153" s="234"/>
      <c r="S153" s="37"/>
      <c r="T153" s="37"/>
      <c r="U153" s="37"/>
      <c r="V153" s="37"/>
      <c r="W153" s="37"/>
      <c r="X153" s="37"/>
      <c r="Y153" s="35"/>
      <c r="AA153">
        <f>B153*10+C153+(D153*Others!$B$33)+E153*500+F153+(G153*Others!$B$33)+H153*I153+J153*10+K153+(L153*Others!$B$33)+M153*500+N153+(O153*Others!$B$33)+P153*Q153+R153*10+S153+(T153*Others!$B$33)+U153*500+V153+(W153*Others!$B$33)+X153*Y153</f>
        <v>0</v>
      </c>
      <c r="AB153">
        <f>ROUND(SUM(AA$4:AA153)/A153,0)</f>
        <v>65</v>
      </c>
    </row>
    <row r="154" spans="1:28">
      <c r="A154" s="16">
        <f t="shared" si="2"/>
        <v>151</v>
      </c>
      <c r="B154" s="36"/>
      <c r="C154" s="37"/>
      <c r="D154" s="37"/>
      <c r="E154" s="37"/>
      <c r="F154" s="37"/>
      <c r="G154" s="37"/>
      <c r="H154" s="37"/>
      <c r="I154" s="69"/>
      <c r="J154" s="36"/>
      <c r="K154" s="37"/>
      <c r="L154" s="37"/>
      <c r="M154" s="37"/>
      <c r="N154" s="37"/>
      <c r="O154" s="37"/>
      <c r="P154" s="37"/>
      <c r="Q154" s="35"/>
      <c r="R154" s="234"/>
      <c r="S154" s="37"/>
      <c r="T154" s="37"/>
      <c r="U154" s="37"/>
      <c r="V154" s="37"/>
      <c r="W154" s="37"/>
      <c r="X154" s="37"/>
      <c r="Y154" s="35"/>
      <c r="AA154">
        <f>B154*10+C154+(D154*Others!$B$33)+E154*500+F154+(G154*Others!$B$33)+H154*I154+J154*10+K154+(L154*Others!$B$33)+M154*500+N154+(O154*Others!$B$33)+P154*Q154+R154*10+S154+(T154*Others!$B$33)+U154*500+V154+(W154*Others!$B$33)+X154*Y154</f>
        <v>0</v>
      </c>
      <c r="AB154">
        <f>ROUND(SUM(AA$4:AA154)/A154,0)</f>
        <v>64</v>
      </c>
    </row>
    <row r="155" spans="1:28">
      <c r="A155" s="16">
        <f t="shared" si="2"/>
        <v>152</v>
      </c>
      <c r="B155" s="36"/>
      <c r="C155" s="37"/>
      <c r="D155" s="37"/>
      <c r="E155" s="37"/>
      <c r="F155" s="37"/>
      <c r="G155" s="37"/>
      <c r="H155" s="37"/>
      <c r="I155" s="69"/>
      <c r="J155" s="36"/>
      <c r="K155" s="37"/>
      <c r="L155" s="37"/>
      <c r="M155" s="37"/>
      <c r="N155" s="37"/>
      <c r="O155" s="37"/>
      <c r="P155" s="37"/>
      <c r="Q155" s="35"/>
      <c r="R155" s="234"/>
      <c r="S155" s="37"/>
      <c r="T155" s="37"/>
      <c r="U155" s="37"/>
      <c r="V155" s="37"/>
      <c r="W155" s="37"/>
      <c r="X155" s="37"/>
      <c r="Y155" s="35"/>
      <c r="AA155">
        <f>B155*10+C155+(D155*Others!$B$33)+E155*500+F155+(G155*Others!$B$33)+H155*I155+J155*10+K155+(L155*Others!$B$33)+M155*500+N155+(O155*Others!$B$33)+P155*Q155+R155*10+S155+(T155*Others!$B$33)+U155*500+V155+(W155*Others!$B$33)+X155*Y155</f>
        <v>0</v>
      </c>
      <c r="AB155">
        <f>ROUND(SUM(AA$4:AA155)/A155,0)</f>
        <v>64</v>
      </c>
    </row>
    <row r="156" spans="1:28">
      <c r="A156" s="16">
        <f t="shared" si="2"/>
        <v>153</v>
      </c>
      <c r="B156" s="36"/>
      <c r="C156" s="37"/>
      <c r="D156" s="37"/>
      <c r="E156" s="37"/>
      <c r="F156" s="37"/>
      <c r="G156" s="37"/>
      <c r="H156" s="37"/>
      <c r="I156" s="69"/>
      <c r="J156" s="36"/>
      <c r="K156" s="37"/>
      <c r="L156" s="37"/>
      <c r="M156" s="37"/>
      <c r="N156" s="37"/>
      <c r="O156" s="37"/>
      <c r="P156" s="37"/>
      <c r="Q156" s="35"/>
      <c r="R156" s="234"/>
      <c r="S156" s="37"/>
      <c r="T156" s="37"/>
      <c r="U156" s="37"/>
      <c r="V156" s="37"/>
      <c r="W156" s="37"/>
      <c r="X156" s="37"/>
      <c r="Y156" s="35"/>
      <c r="AA156">
        <f>B156*10+C156+(D156*Others!$B$33)+E156*500+F156+(G156*Others!$B$33)+H156*I156+J156*10+K156+(L156*Others!$B$33)+M156*500+N156+(O156*Others!$B$33)+P156*Q156+R156*10+S156+(T156*Others!$B$33)+U156*500+V156+(W156*Others!$B$33)+X156*Y156</f>
        <v>0</v>
      </c>
      <c r="AB156">
        <f>ROUND(SUM(AA$4:AA156)/A156,0)</f>
        <v>63</v>
      </c>
    </row>
    <row r="157" spans="1:28">
      <c r="A157" s="16">
        <f t="shared" si="2"/>
        <v>154</v>
      </c>
      <c r="B157" s="36"/>
      <c r="C157" s="37"/>
      <c r="D157" s="37"/>
      <c r="E157" s="37"/>
      <c r="F157" s="37"/>
      <c r="G157" s="37"/>
      <c r="H157" s="37"/>
      <c r="I157" s="69"/>
      <c r="J157" s="36"/>
      <c r="K157" s="37"/>
      <c r="L157" s="37"/>
      <c r="M157" s="37"/>
      <c r="N157" s="37"/>
      <c r="O157" s="37"/>
      <c r="P157" s="37"/>
      <c r="Q157" s="35"/>
      <c r="R157" s="234"/>
      <c r="S157" s="37"/>
      <c r="T157" s="37"/>
      <c r="U157" s="37"/>
      <c r="V157" s="37"/>
      <c r="W157" s="37"/>
      <c r="X157" s="37"/>
      <c r="Y157" s="35"/>
      <c r="AA157">
        <f>B157*10+C157+(D157*Others!$B$33)+E157*500+F157+(G157*Others!$B$33)+H157*I157+J157*10+K157+(L157*Others!$B$33)+M157*500+N157+(O157*Others!$B$33)+P157*Q157+R157*10+S157+(T157*Others!$B$33)+U157*500+V157+(W157*Others!$B$33)+X157*Y157</f>
        <v>0</v>
      </c>
      <c r="AB157">
        <f>ROUND(SUM(AA$4:AA157)/A157,0)</f>
        <v>63</v>
      </c>
    </row>
    <row r="158" spans="1:28">
      <c r="A158" s="16">
        <f t="shared" si="2"/>
        <v>155</v>
      </c>
      <c r="B158" s="36"/>
      <c r="C158" s="37"/>
      <c r="D158" s="37"/>
      <c r="E158" s="37"/>
      <c r="F158" s="37"/>
      <c r="G158" s="37"/>
      <c r="H158" s="37"/>
      <c r="I158" s="69"/>
      <c r="J158" s="36"/>
      <c r="K158" s="37"/>
      <c r="L158" s="37"/>
      <c r="M158" s="37"/>
      <c r="N158" s="37"/>
      <c r="O158" s="37"/>
      <c r="P158" s="37"/>
      <c r="Q158" s="35"/>
      <c r="R158" s="234"/>
      <c r="S158" s="37"/>
      <c r="T158" s="37"/>
      <c r="U158" s="37"/>
      <c r="V158" s="37"/>
      <c r="W158" s="37"/>
      <c r="X158" s="37"/>
      <c r="Y158" s="35"/>
      <c r="AA158">
        <f>B158*10+C158+(D158*Others!$B$33)+E158*500+F158+(G158*Others!$B$33)+H158*I158+J158*10+K158+(L158*Others!$B$33)+M158*500+N158+(O158*Others!$B$33)+P158*Q158+R158*10+S158+(T158*Others!$B$33)+U158*500+V158+(W158*Others!$B$33)+X158*Y158</f>
        <v>0</v>
      </c>
      <c r="AB158">
        <f>ROUND(SUM(AA$4:AA158)/A158,0)</f>
        <v>63</v>
      </c>
    </row>
    <row r="159" spans="1:28">
      <c r="A159" s="16">
        <f t="shared" si="2"/>
        <v>156</v>
      </c>
      <c r="B159" s="36"/>
      <c r="C159" s="37"/>
      <c r="D159" s="37"/>
      <c r="E159" s="37"/>
      <c r="F159" s="37"/>
      <c r="G159" s="37"/>
      <c r="H159" s="37"/>
      <c r="I159" s="69"/>
      <c r="J159" s="36"/>
      <c r="K159" s="37"/>
      <c r="L159" s="37"/>
      <c r="M159" s="37"/>
      <c r="N159" s="37"/>
      <c r="O159" s="37"/>
      <c r="P159" s="37"/>
      <c r="Q159" s="35"/>
      <c r="R159" s="234"/>
      <c r="S159" s="37"/>
      <c r="T159" s="37"/>
      <c r="U159" s="37"/>
      <c r="V159" s="37"/>
      <c r="W159" s="37"/>
      <c r="X159" s="37"/>
      <c r="Y159" s="35"/>
      <c r="AA159">
        <f>B159*10+C159+(D159*Others!$B$33)+E159*500+F159+(G159*Others!$B$33)+H159*I159+J159*10+K159+(L159*Others!$B$33)+M159*500+N159+(O159*Others!$B$33)+P159*Q159+R159*10+S159+(T159*Others!$B$33)+U159*500+V159+(W159*Others!$B$33)+X159*Y159</f>
        <v>0</v>
      </c>
      <c r="AB159">
        <f>ROUND(SUM(AA$4:AA159)/A159,0)</f>
        <v>62</v>
      </c>
    </row>
    <row r="160" spans="1:28">
      <c r="A160" s="16">
        <f t="shared" si="2"/>
        <v>157</v>
      </c>
      <c r="B160" s="36"/>
      <c r="C160" s="37"/>
      <c r="D160" s="37"/>
      <c r="E160" s="37"/>
      <c r="F160" s="37"/>
      <c r="G160" s="37"/>
      <c r="H160" s="37"/>
      <c r="I160" s="69"/>
      <c r="J160" s="36"/>
      <c r="K160" s="37"/>
      <c r="L160" s="37"/>
      <c r="M160" s="37"/>
      <c r="N160" s="37"/>
      <c r="O160" s="37"/>
      <c r="P160" s="37"/>
      <c r="Q160" s="35"/>
      <c r="R160" s="234"/>
      <c r="S160" s="37"/>
      <c r="T160" s="37"/>
      <c r="U160" s="37"/>
      <c r="V160" s="37"/>
      <c r="W160" s="37"/>
      <c r="X160" s="37"/>
      <c r="Y160" s="35"/>
      <c r="AA160">
        <f>B160*10+C160+(D160*Others!$B$33)+E160*500+F160+(G160*Others!$B$33)+H160*I160+J160*10+K160+(L160*Others!$B$33)+M160*500+N160+(O160*Others!$B$33)+P160*Q160+R160*10+S160+(T160*Others!$B$33)+U160*500+V160+(W160*Others!$B$33)+X160*Y160</f>
        <v>0</v>
      </c>
      <c r="AB160">
        <f>ROUND(SUM(AA$4:AA160)/A160,0)</f>
        <v>62</v>
      </c>
    </row>
    <row r="161" spans="1:28">
      <c r="A161" s="16">
        <f t="shared" si="2"/>
        <v>158</v>
      </c>
      <c r="B161" s="36"/>
      <c r="C161" s="37"/>
      <c r="D161" s="37"/>
      <c r="E161" s="37"/>
      <c r="F161" s="37"/>
      <c r="G161" s="37"/>
      <c r="H161" s="37"/>
      <c r="I161" s="69"/>
      <c r="J161" s="36"/>
      <c r="K161" s="37"/>
      <c r="L161" s="37"/>
      <c r="M161" s="37"/>
      <c r="N161" s="37"/>
      <c r="O161" s="37"/>
      <c r="P161" s="37"/>
      <c r="Q161" s="35"/>
      <c r="R161" s="234"/>
      <c r="S161" s="37"/>
      <c r="T161" s="37"/>
      <c r="U161" s="37"/>
      <c r="V161" s="37"/>
      <c r="W161" s="37"/>
      <c r="X161" s="37"/>
      <c r="Y161" s="35"/>
      <c r="AA161">
        <f>B161*10+C161+(D161*Others!$B$33)+E161*500+F161+(G161*Others!$B$33)+H161*I161+J161*10+K161+(L161*Others!$B$33)+M161*500+N161+(O161*Others!$B$33)+P161*Q161+R161*10+S161+(T161*Others!$B$33)+U161*500+V161+(W161*Others!$B$33)+X161*Y161</f>
        <v>0</v>
      </c>
      <c r="AB161">
        <f>ROUND(SUM(AA$4:AA161)/A161,0)</f>
        <v>61</v>
      </c>
    </row>
    <row r="162" spans="1:28">
      <c r="A162" s="16">
        <f t="shared" si="2"/>
        <v>159</v>
      </c>
      <c r="B162" s="36"/>
      <c r="C162" s="37"/>
      <c r="D162" s="37"/>
      <c r="E162" s="37"/>
      <c r="F162" s="37"/>
      <c r="G162" s="37"/>
      <c r="H162" s="37"/>
      <c r="I162" s="69"/>
      <c r="J162" s="36"/>
      <c r="K162" s="37"/>
      <c r="L162" s="37"/>
      <c r="M162" s="37"/>
      <c r="N162" s="37"/>
      <c r="O162" s="37"/>
      <c r="P162" s="37"/>
      <c r="Q162" s="35"/>
      <c r="R162" s="234"/>
      <c r="S162" s="37"/>
      <c r="T162" s="37"/>
      <c r="U162" s="37"/>
      <c r="V162" s="37"/>
      <c r="W162" s="37"/>
      <c r="X162" s="37"/>
      <c r="Y162" s="35"/>
      <c r="AA162">
        <f>B162*10+C162+(D162*Others!$B$33)+E162*500+F162+(G162*Others!$B$33)+H162*I162+J162*10+K162+(L162*Others!$B$33)+M162*500+N162+(O162*Others!$B$33)+P162*Q162+R162*10+S162+(T162*Others!$B$33)+U162*500+V162+(W162*Others!$B$33)+X162*Y162</f>
        <v>0</v>
      </c>
      <c r="AB162">
        <f>ROUND(SUM(AA$4:AA162)/A162,0)</f>
        <v>61</v>
      </c>
    </row>
    <row r="163" spans="1:28">
      <c r="A163" s="16">
        <f t="shared" si="2"/>
        <v>160</v>
      </c>
      <c r="B163" s="36"/>
      <c r="C163" s="37"/>
      <c r="D163" s="37"/>
      <c r="E163" s="37"/>
      <c r="F163" s="37"/>
      <c r="G163" s="37"/>
      <c r="H163" s="37"/>
      <c r="I163" s="69"/>
      <c r="J163" s="36"/>
      <c r="K163" s="37"/>
      <c r="L163" s="37"/>
      <c r="M163" s="37"/>
      <c r="N163" s="37"/>
      <c r="O163" s="37"/>
      <c r="P163" s="37"/>
      <c r="Q163" s="35"/>
      <c r="R163" s="234"/>
      <c r="S163" s="37"/>
      <c r="T163" s="37"/>
      <c r="U163" s="37"/>
      <c r="V163" s="37"/>
      <c r="W163" s="37"/>
      <c r="X163" s="37"/>
      <c r="Y163" s="35"/>
      <c r="AA163">
        <f>B163*10+C163+(D163*Others!$B$33)+E163*500+F163+(G163*Others!$B$33)+H163*I163+J163*10+K163+(L163*Others!$B$33)+M163*500+N163+(O163*Others!$B$33)+P163*Q163+R163*10+S163+(T163*Others!$B$33)+U163*500+V163+(W163*Others!$B$33)+X163*Y163</f>
        <v>0</v>
      </c>
      <c r="AB163">
        <f>ROUND(SUM(AA$4:AA163)/A163,0)</f>
        <v>61</v>
      </c>
    </row>
    <row r="164" spans="1:28">
      <c r="A164" s="16">
        <f t="shared" si="2"/>
        <v>161</v>
      </c>
      <c r="B164" s="36"/>
      <c r="C164" s="37"/>
      <c r="D164" s="37"/>
      <c r="E164" s="37"/>
      <c r="F164" s="37"/>
      <c r="G164" s="37"/>
      <c r="H164" s="37"/>
      <c r="I164" s="69"/>
      <c r="J164" s="36"/>
      <c r="K164" s="37"/>
      <c r="L164" s="37"/>
      <c r="M164" s="37"/>
      <c r="N164" s="37"/>
      <c r="O164" s="37"/>
      <c r="P164" s="37"/>
      <c r="Q164" s="35"/>
      <c r="R164" s="234"/>
      <c r="S164" s="37"/>
      <c r="T164" s="37"/>
      <c r="U164" s="37"/>
      <c r="V164" s="37"/>
      <c r="W164" s="37"/>
      <c r="X164" s="37"/>
      <c r="Y164" s="35"/>
      <c r="AA164">
        <f>B164*10+C164+(D164*Others!$B$33)+E164*500+F164+(G164*Others!$B$33)+H164*I164+J164*10+K164+(L164*Others!$B$33)+M164*500+N164+(O164*Others!$B$33)+P164*Q164+R164*10+S164+(T164*Others!$B$33)+U164*500+V164+(W164*Others!$B$33)+X164*Y164</f>
        <v>0</v>
      </c>
      <c r="AB164">
        <f>ROUND(SUM(AA$4:AA164)/A164,0)</f>
        <v>60</v>
      </c>
    </row>
    <row r="165" spans="1:28">
      <c r="A165" s="16">
        <f t="shared" si="2"/>
        <v>162</v>
      </c>
      <c r="B165" s="36"/>
      <c r="C165" s="37"/>
      <c r="D165" s="37"/>
      <c r="E165" s="37"/>
      <c r="F165" s="37"/>
      <c r="G165" s="37"/>
      <c r="H165" s="37"/>
      <c r="I165" s="69"/>
      <c r="J165" s="36"/>
      <c r="K165" s="37"/>
      <c r="L165" s="37"/>
      <c r="M165" s="37"/>
      <c r="N165" s="37"/>
      <c r="O165" s="37"/>
      <c r="P165" s="37"/>
      <c r="Q165" s="35"/>
      <c r="R165" s="234"/>
      <c r="S165" s="37"/>
      <c r="T165" s="37"/>
      <c r="U165" s="37"/>
      <c r="V165" s="37"/>
      <c r="W165" s="37"/>
      <c r="X165" s="37"/>
      <c r="Y165" s="35"/>
      <c r="AA165">
        <f>B165*10+C165+(D165*Others!$B$33)+E165*500+F165+(G165*Others!$B$33)+H165*I165+J165*10+K165+(L165*Others!$B$33)+M165*500+N165+(O165*Others!$B$33)+P165*Q165+R165*10+S165+(T165*Others!$B$33)+U165*500+V165+(W165*Others!$B$33)+X165*Y165</f>
        <v>0</v>
      </c>
      <c r="AB165">
        <f>ROUND(SUM(AA$4:AA165)/A165,0)</f>
        <v>60</v>
      </c>
    </row>
    <row r="166" spans="1:28">
      <c r="A166" s="16">
        <f t="shared" si="2"/>
        <v>163</v>
      </c>
      <c r="B166" s="36"/>
      <c r="C166" s="37"/>
      <c r="D166" s="37"/>
      <c r="E166" s="37"/>
      <c r="F166" s="37"/>
      <c r="G166" s="37"/>
      <c r="H166" s="37"/>
      <c r="I166" s="69"/>
      <c r="J166" s="36"/>
      <c r="K166" s="37"/>
      <c r="L166" s="37"/>
      <c r="M166" s="37"/>
      <c r="N166" s="37"/>
      <c r="O166" s="37"/>
      <c r="P166" s="37"/>
      <c r="Q166" s="35"/>
      <c r="R166" s="234"/>
      <c r="S166" s="37"/>
      <c r="T166" s="37"/>
      <c r="U166" s="37"/>
      <c r="V166" s="37"/>
      <c r="W166" s="37"/>
      <c r="X166" s="37"/>
      <c r="Y166" s="35"/>
      <c r="AA166">
        <f>B166*10+C166+(D166*Others!$B$33)+E166*500+F166+(G166*Others!$B$33)+H166*I166+J166*10+K166+(L166*Others!$B$33)+M166*500+N166+(O166*Others!$B$33)+P166*Q166+R166*10+S166+(T166*Others!$B$33)+U166*500+V166+(W166*Others!$B$33)+X166*Y166</f>
        <v>0</v>
      </c>
      <c r="AB166">
        <f>ROUND(SUM(AA$4:AA166)/A166,0)</f>
        <v>60</v>
      </c>
    </row>
    <row r="167" spans="1:28">
      <c r="A167" s="16">
        <f t="shared" si="2"/>
        <v>164</v>
      </c>
      <c r="B167" s="36"/>
      <c r="C167" s="37"/>
      <c r="D167" s="37"/>
      <c r="E167" s="37"/>
      <c r="F167" s="37"/>
      <c r="G167" s="37"/>
      <c r="H167" s="37"/>
      <c r="I167" s="69"/>
      <c r="J167" s="36"/>
      <c r="K167" s="37"/>
      <c r="L167" s="37"/>
      <c r="M167" s="37"/>
      <c r="N167" s="37"/>
      <c r="O167" s="37"/>
      <c r="P167" s="37"/>
      <c r="Q167" s="35"/>
      <c r="R167" s="234"/>
      <c r="S167" s="37"/>
      <c r="T167" s="37"/>
      <c r="U167" s="37"/>
      <c r="V167" s="37"/>
      <c r="W167" s="37"/>
      <c r="X167" s="37"/>
      <c r="Y167" s="35"/>
      <c r="AA167">
        <f>B167*10+C167+(D167*Others!$B$33)+E167*500+F167+(G167*Others!$B$33)+H167*I167+J167*10+K167+(L167*Others!$B$33)+M167*500+N167+(O167*Others!$B$33)+P167*Q167+R167*10+S167+(T167*Others!$B$33)+U167*500+V167+(W167*Others!$B$33)+X167*Y167</f>
        <v>0</v>
      </c>
      <c r="AB167">
        <f>ROUND(SUM(AA$4:AA167)/A167,0)</f>
        <v>59</v>
      </c>
    </row>
    <row r="168" spans="1:28">
      <c r="A168" s="16">
        <f t="shared" si="2"/>
        <v>165</v>
      </c>
      <c r="B168" s="36"/>
      <c r="C168" s="37"/>
      <c r="D168" s="37"/>
      <c r="E168" s="37"/>
      <c r="F168" s="37"/>
      <c r="G168" s="37"/>
      <c r="H168" s="37"/>
      <c r="I168" s="69"/>
      <c r="J168" s="36"/>
      <c r="K168" s="37"/>
      <c r="L168" s="37"/>
      <c r="M168" s="37"/>
      <c r="N168" s="37"/>
      <c r="O168" s="37"/>
      <c r="P168" s="37"/>
      <c r="Q168" s="35"/>
      <c r="R168" s="234"/>
      <c r="S168" s="37"/>
      <c r="T168" s="37"/>
      <c r="U168" s="37"/>
      <c r="V168" s="37"/>
      <c r="W168" s="37"/>
      <c r="X168" s="37"/>
      <c r="Y168" s="35"/>
      <c r="AA168">
        <f>B168*10+C168+(D168*Others!$B$33)+E168*500+F168+(G168*Others!$B$33)+H168*I168+J168*10+K168+(L168*Others!$B$33)+M168*500+N168+(O168*Others!$B$33)+P168*Q168+R168*10+S168+(T168*Others!$B$33)+U168*500+V168+(W168*Others!$B$33)+X168*Y168</f>
        <v>0</v>
      </c>
      <c r="AB168">
        <f>ROUND(SUM(AA$4:AA168)/A168,0)</f>
        <v>59</v>
      </c>
    </row>
    <row r="169" spans="1:28">
      <c r="A169" s="16">
        <f t="shared" si="2"/>
        <v>166</v>
      </c>
      <c r="B169" s="36"/>
      <c r="C169" s="37"/>
      <c r="D169" s="37"/>
      <c r="E169" s="37"/>
      <c r="F169" s="37"/>
      <c r="G169" s="37"/>
      <c r="H169" s="37"/>
      <c r="I169" s="69"/>
      <c r="J169" s="36"/>
      <c r="K169" s="37"/>
      <c r="L169" s="37"/>
      <c r="M169" s="37"/>
      <c r="N169" s="37"/>
      <c r="O169" s="37"/>
      <c r="P169" s="37"/>
      <c r="Q169" s="35"/>
      <c r="R169" s="234"/>
      <c r="S169" s="37"/>
      <c r="T169" s="37"/>
      <c r="U169" s="37"/>
      <c r="V169" s="37"/>
      <c r="W169" s="37"/>
      <c r="X169" s="37"/>
      <c r="Y169" s="35"/>
      <c r="AA169">
        <f>B169*10+C169+(D169*Others!$B$33)+E169*500+F169+(G169*Others!$B$33)+H169*I169+J169*10+K169+(L169*Others!$B$33)+M169*500+N169+(O169*Others!$B$33)+P169*Q169+R169*10+S169+(T169*Others!$B$33)+U169*500+V169+(W169*Others!$B$33)+X169*Y169</f>
        <v>0</v>
      </c>
      <c r="AB169">
        <f>ROUND(SUM(AA$4:AA169)/A169,0)</f>
        <v>59</v>
      </c>
    </row>
    <row r="170" spans="1:28">
      <c r="A170" s="16">
        <f t="shared" si="2"/>
        <v>167</v>
      </c>
      <c r="B170" s="36"/>
      <c r="C170" s="37"/>
      <c r="D170" s="37"/>
      <c r="E170" s="37"/>
      <c r="F170" s="37"/>
      <c r="G170" s="37"/>
      <c r="H170" s="37"/>
      <c r="I170" s="69"/>
      <c r="J170" s="36"/>
      <c r="K170" s="37"/>
      <c r="L170" s="37"/>
      <c r="M170" s="37"/>
      <c r="N170" s="37"/>
      <c r="O170" s="37"/>
      <c r="P170" s="37"/>
      <c r="Q170" s="35"/>
      <c r="R170" s="234"/>
      <c r="S170" s="37"/>
      <c r="T170" s="37"/>
      <c r="U170" s="37"/>
      <c r="V170" s="37"/>
      <c r="W170" s="37"/>
      <c r="X170" s="37"/>
      <c r="Y170" s="35"/>
      <c r="AA170">
        <f>B170*10+C170+(D170*Others!$B$33)+E170*500+F170+(G170*Others!$B$33)+H170*I170+J170*10+K170+(L170*Others!$B$33)+M170*500+N170+(O170*Others!$B$33)+P170*Q170+R170*10+S170+(T170*Others!$B$33)+U170*500+V170+(W170*Others!$B$33)+X170*Y170</f>
        <v>0</v>
      </c>
      <c r="AB170">
        <f>ROUND(SUM(AA$4:AA170)/A170,0)</f>
        <v>58</v>
      </c>
    </row>
    <row r="171" spans="1:28">
      <c r="A171" s="16">
        <f t="shared" si="2"/>
        <v>168</v>
      </c>
      <c r="B171" s="36"/>
      <c r="C171" s="37"/>
      <c r="D171" s="37"/>
      <c r="E171" s="37"/>
      <c r="F171" s="37"/>
      <c r="G171" s="37"/>
      <c r="H171" s="37"/>
      <c r="I171" s="69"/>
      <c r="J171" s="36"/>
      <c r="K171" s="37"/>
      <c r="L171" s="37"/>
      <c r="M171" s="37"/>
      <c r="N171" s="37"/>
      <c r="O171" s="37"/>
      <c r="P171" s="37"/>
      <c r="Q171" s="35"/>
      <c r="R171" s="234"/>
      <c r="S171" s="37"/>
      <c r="T171" s="37"/>
      <c r="U171" s="37"/>
      <c r="V171" s="37"/>
      <c r="W171" s="37"/>
      <c r="X171" s="37"/>
      <c r="Y171" s="35"/>
      <c r="AA171">
        <f>B171*10+C171+(D171*Others!$B$33)+E171*500+F171+(G171*Others!$B$33)+H171*I171+J171*10+K171+(L171*Others!$B$33)+M171*500+N171+(O171*Others!$B$33)+P171*Q171+R171*10+S171+(T171*Others!$B$33)+U171*500+V171+(W171*Others!$B$33)+X171*Y171</f>
        <v>0</v>
      </c>
      <c r="AB171">
        <f>ROUND(SUM(AA$4:AA171)/A171,0)</f>
        <v>58</v>
      </c>
    </row>
    <row r="172" spans="1:28">
      <c r="A172" s="16">
        <f t="shared" si="2"/>
        <v>169</v>
      </c>
      <c r="B172" s="36"/>
      <c r="C172" s="37"/>
      <c r="D172" s="37"/>
      <c r="E172" s="37"/>
      <c r="F172" s="37"/>
      <c r="G172" s="37"/>
      <c r="H172" s="37"/>
      <c r="I172" s="69"/>
      <c r="J172" s="36"/>
      <c r="K172" s="37"/>
      <c r="L172" s="37"/>
      <c r="M172" s="37"/>
      <c r="N172" s="37"/>
      <c r="O172" s="37"/>
      <c r="P172" s="37"/>
      <c r="Q172" s="35"/>
      <c r="R172" s="234"/>
      <c r="S172" s="37"/>
      <c r="T172" s="37"/>
      <c r="U172" s="37"/>
      <c r="V172" s="37"/>
      <c r="W172" s="37"/>
      <c r="X172" s="37"/>
      <c r="Y172" s="35"/>
      <c r="AA172">
        <f>B172*10+C172+(D172*Others!$B$33)+E172*500+F172+(G172*Others!$B$33)+H172*I172+J172*10+K172+(L172*Others!$B$33)+M172*500+N172+(O172*Others!$B$33)+P172*Q172+R172*10+S172+(T172*Others!$B$33)+U172*500+V172+(W172*Others!$B$33)+X172*Y172</f>
        <v>0</v>
      </c>
      <c r="AB172">
        <f>ROUND(SUM(AA$4:AA172)/A172,0)</f>
        <v>57</v>
      </c>
    </row>
    <row r="173" spans="1:28">
      <c r="A173" s="16">
        <f t="shared" si="2"/>
        <v>170</v>
      </c>
      <c r="B173" s="36"/>
      <c r="C173" s="37"/>
      <c r="D173" s="37"/>
      <c r="E173" s="37"/>
      <c r="F173" s="37"/>
      <c r="G173" s="37"/>
      <c r="H173" s="37"/>
      <c r="I173" s="69"/>
      <c r="J173" s="36"/>
      <c r="K173" s="37"/>
      <c r="L173" s="37"/>
      <c r="M173" s="37"/>
      <c r="N173" s="37"/>
      <c r="O173" s="37"/>
      <c r="P173" s="37"/>
      <c r="Q173" s="35"/>
      <c r="R173" s="234"/>
      <c r="S173" s="37"/>
      <c r="T173" s="37"/>
      <c r="U173" s="37"/>
      <c r="V173" s="37"/>
      <c r="W173" s="37"/>
      <c r="X173" s="37"/>
      <c r="Y173" s="35"/>
      <c r="AA173">
        <f>B173*10+C173+(D173*Others!$B$33)+E173*500+F173+(G173*Others!$B$33)+H173*I173+J173*10+K173+(L173*Others!$B$33)+M173*500+N173+(O173*Others!$B$33)+P173*Q173+R173*10+S173+(T173*Others!$B$33)+U173*500+V173+(W173*Others!$B$33)+X173*Y173</f>
        <v>0</v>
      </c>
      <c r="AB173">
        <f>ROUND(SUM(AA$4:AA173)/A173,0)</f>
        <v>57</v>
      </c>
    </row>
    <row r="174" spans="1:28">
      <c r="A174" s="16">
        <f t="shared" si="2"/>
        <v>171</v>
      </c>
      <c r="B174" s="36"/>
      <c r="C174" s="37"/>
      <c r="D174" s="37"/>
      <c r="E174" s="37"/>
      <c r="F174" s="37"/>
      <c r="G174" s="37"/>
      <c r="H174" s="37"/>
      <c r="I174" s="69"/>
      <c r="J174" s="36"/>
      <c r="K174" s="37"/>
      <c r="L174" s="37"/>
      <c r="M174" s="37"/>
      <c r="N174" s="37"/>
      <c r="O174" s="37"/>
      <c r="P174" s="37"/>
      <c r="Q174" s="35"/>
      <c r="R174" s="234"/>
      <c r="S174" s="37"/>
      <c r="T174" s="37"/>
      <c r="U174" s="37"/>
      <c r="V174" s="37"/>
      <c r="W174" s="37"/>
      <c r="X174" s="37"/>
      <c r="Y174" s="35"/>
      <c r="AA174">
        <f>B174*10+C174+(D174*Others!$B$33)+E174*500+F174+(G174*Others!$B$33)+H174*I174+J174*10+K174+(L174*Others!$B$33)+M174*500+N174+(O174*Others!$B$33)+P174*Q174+R174*10+S174+(T174*Others!$B$33)+U174*500+V174+(W174*Others!$B$33)+X174*Y174</f>
        <v>0</v>
      </c>
      <c r="AB174">
        <f>ROUND(SUM(AA$4:AA174)/A174,0)</f>
        <v>57</v>
      </c>
    </row>
    <row r="175" spans="1:28">
      <c r="A175" s="16">
        <f t="shared" si="2"/>
        <v>172</v>
      </c>
      <c r="B175" s="36"/>
      <c r="C175" s="37"/>
      <c r="D175" s="37"/>
      <c r="E175" s="37"/>
      <c r="F175" s="37"/>
      <c r="G175" s="37"/>
      <c r="H175" s="37"/>
      <c r="I175" s="69"/>
      <c r="J175" s="36"/>
      <c r="K175" s="37"/>
      <c r="L175" s="37"/>
      <c r="M175" s="37"/>
      <c r="N175" s="37"/>
      <c r="O175" s="37"/>
      <c r="P175" s="37"/>
      <c r="Q175" s="35"/>
      <c r="R175" s="234"/>
      <c r="S175" s="37"/>
      <c r="T175" s="37"/>
      <c r="U175" s="37"/>
      <c r="V175" s="37"/>
      <c r="W175" s="37"/>
      <c r="X175" s="37"/>
      <c r="Y175" s="35"/>
      <c r="AA175">
        <f>B175*10+C175+(D175*Others!$B$33)+E175*500+F175+(G175*Others!$B$33)+H175*I175+J175*10+K175+(L175*Others!$B$33)+M175*500+N175+(O175*Others!$B$33)+P175*Q175+R175*10+S175+(T175*Others!$B$33)+U175*500+V175+(W175*Others!$B$33)+X175*Y175</f>
        <v>0</v>
      </c>
      <c r="AB175">
        <f>ROUND(SUM(AA$4:AA175)/A175,0)</f>
        <v>56</v>
      </c>
    </row>
    <row r="176" spans="1:28">
      <c r="A176" s="16">
        <f t="shared" si="2"/>
        <v>173</v>
      </c>
      <c r="B176" s="36"/>
      <c r="C176" s="37"/>
      <c r="D176" s="37"/>
      <c r="E176" s="37"/>
      <c r="F176" s="37"/>
      <c r="G176" s="37"/>
      <c r="H176" s="37"/>
      <c r="I176" s="69"/>
      <c r="J176" s="36"/>
      <c r="K176" s="37"/>
      <c r="L176" s="37"/>
      <c r="M176" s="37"/>
      <c r="N176" s="37"/>
      <c r="O176" s="37"/>
      <c r="P176" s="37"/>
      <c r="Q176" s="35"/>
      <c r="R176" s="234"/>
      <c r="S176" s="37"/>
      <c r="T176" s="37"/>
      <c r="U176" s="37"/>
      <c r="V176" s="37"/>
      <c r="W176" s="37"/>
      <c r="X176" s="37"/>
      <c r="Y176" s="35"/>
      <c r="AA176">
        <f>B176*10+C176+(D176*Others!$B$33)+E176*500+F176+(G176*Others!$B$33)+H176*I176+J176*10+K176+(L176*Others!$B$33)+M176*500+N176+(O176*Others!$B$33)+P176*Q176+R176*10+S176+(T176*Others!$B$33)+U176*500+V176+(W176*Others!$B$33)+X176*Y176</f>
        <v>0</v>
      </c>
      <c r="AB176">
        <f>ROUND(SUM(AA$4:AA176)/A176,0)</f>
        <v>56</v>
      </c>
    </row>
    <row r="177" spans="1:28">
      <c r="A177" s="16">
        <f t="shared" si="2"/>
        <v>174</v>
      </c>
      <c r="B177" s="36"/>
      <c r="C177" s="37"/>
      <c r="D177" s="37"/>
      <c r="E177" s="37"/>
      <c r="F177" s="37"/>
      <c r="G177" s="37"/>
      <c r="H177" s="37"/>
      <c r="I177" s="69"/>
      <c r="J177" s="36"/>
      <c r="K177" s="37"/>
      <c r="L177" s="37"/>
      <c r="M177" s="37"/>
      <c r="N177" s="37"/>
      <c r="O177" s="37"/>
      <c r="P177" s="37"/>
      <c r="Q177" s="35"/>
      <c r="R177" s="234"/>
      <c r="S177" s="37"/>
      <c r="T177" s="37"/>
      <c r="U177" s="37"/>
      <c r="V177" s="37"/>
      <c r="W177" s="37"/>
      <c r="X177" s="37"/>
      <c r="Y177" s="35"/>
      <c r="AA177">
        <f>B177*10+C177+(D177*Others!$B$33)+E177*500+F177+(G177*Others!$B$33)+H177*I177+J177*10+K177+(L177*Others!$B$33)+M177*500+N177+(O177*Others!$B$33)+P177*Q177+R177*10+S177+(T177*Others!$B$33)+U177*500+V177+(W177*Others!$B$33)+X177*Y177</f>
        <v>0</v>
      </c>
      <c r="AB177">
        <f>ROUND(SUM(AA$4:AA177)/A177,0)</f>
        <v>56</v>
      </c>
    </row>
    <row r="178" spans="1:28">
      <c r="A178" s="16">
        <f t="shared" si="2"/>
        <v>175</v>
      </c>
      <c r="B178" s="36"/>
      <c r="C178" s="37"/>
      <c r="D178" s="37"/>
      <c r="E178" s="37"/>
      <c r="F178" s="37"/>
      <c r="G178" s="37"/>
      <c r="H178" s="37"/>
      <c r="I178" s="69"/>
      <c r="J178" s="36"/>
      <c r="K178" s="37"/>
      <c r="L178" s="37"/>
      <c r="M178" s="37"/>
      <c r="N178" s="37"/>
      <c r="O178" s="37"/>
      <c r="P178" s="37"/>
      <c r="Q178" s="35"/>
      <c r="R178" s="234"/>
      <c r="S178" s="37"/>
      <c r="T178" s="37"/>
      <c r="U178" s="37"/>
      <c r="V178" s="37"/>
      <c r="W178" s="37"/>
      <c r="X178" s="37"/>
      <c r="Y178" s="35"/>
      <c r="AA178">
        <f>B178*10+C178+(D178*Others!$B$33)+E178*500+F178+(G178*Others!$B$33)+H178*I178+J178*10+K178+(L178*Others!$B$33)+M178*500+N178+(O178*Others!$B$33)+P178*Q178+R178*10+S178+(T178*Others!$B$33)+U178*500+V178+(W178*Others!$B$33)+X178*Y178</f>
        <v>0</v>
      </c>
      <c r="AB178">
        <f>ROUND(SUM(AA$4:AA178)/A178,0)</f>
        <v>56</v>
      </c>
    </row>
    <row r="179" spans="1:28">
      <c r="A179" s="16">
        <f t="shared" si="2"/>
        <v>176</v>
      </c>
      <c r="B179" s="36"/>
      <c r="C179" s="37"/>
      <c r="D179" s="37"/>
      <c r="E179" s="37"/>
      <c r="F179" s="37"/>
      <c r="G179" s="37"/>
      <c r="H179" s="37"/>
      <c r="I179" s="69"/>
      <c r="J179" s="36"/>
      <c r="K179" s="37"/>
      <c r="L179" s="37"/>
      <c r="M179" s="37"/>
      <c r="N179" s="37"/>
      <c r="O179" s="37"/>
      <c r="P179" s="37"/>
      <c r="Q179" s="35"/>
      <c r="R179" s="234"/>
      <c r="S179" s="37"/>
      <c r="T179" s="37"/>
      <c r="U179" s="37"/>
      <c r="V179" s="37"/>
      <c r="W179" s="37"/>
      <c r="X179" s="37"/>
      <c r="Y179" s="35"/>
      <c r="AA179">
        <f>B179*10+C179+(D179*Others!$B$33)+E179*500+F179+(G179*Others!$B$33)+H179*I179+J179*10+K179+(L179*Others!$B$33)+M179*500+N179+(O179*Others!$B$33)+P179*Q179+R179*10+S179+(T179*Others!$B$33)+U179*500+V179+(W179*Others!$B$33)+X179*Y179</f>
        <v>0</v>
      </c>
      <c r="AB179">
        <f>ROUND(SUM(AA$4:AA179)/A179,0)</f>
        <v>55</v>
      </c>
    </row>
    <row r="180" spans="1:28">
      <c r="A180" s="16">
        <f t="shared" si="2"/>
        <v>177</v>
      </c>
      <c r="B180" s="36"/>
      <c r="C180" s="37"/>
      <c r="D180" s="37"/>
      <c r="E180" s="37"/>
      <c r="F180" s="37"/>
      <c r="G180" s="37"/>
      <c r="H180" s="37"/>
      <c r="I180" s="69"/>
      <c r="J180" s="36"/>
      <c r="K180" s="37"/>
      <c r="L180" s="37"/>
      <c r="M180" s="37"/>
      <c r="N180" s="37"/>
      <c r="O180" s="37"/>
      <c r="P180" s="37"/>
      <c r="Q180" s="35"/>
      <c r="R180" s="234"/>
      <c r="S180" s="37"/>
      <c r="T180" s="37"/>
      <c r="U180" s="37"/>
      <c r="V180" s="37"/>
      <c r="W180" s="37"/>
      <c r="X180" s="37"/>
      <c r="Y180" s="35"/>
      <c r="AA180">
        <f>B180*10+C180+(D180*Others!$B$33)+E180*500+F180+(G180*Others!$B$33)+H180*I180+J180*10+K180+(L180*Others!$B$33)+M180*500+N180+(O180*Others!$B$33)+P180*Q180+R180*10+S180+(T180*Others!$B$33)+U180*500+V180+(W180*Others!$B$33)+X180*Y180</f>
        <v>0</v>
      </c>
      <c r="AB180">
        <f>ROUND(SUM(AA$4:AA180)/A180,0)</f>
        <v>55</v>
      </c>
    </row>
    <row r="181" spans="1:28">
      <c r="A181" s="16">
        <f t="shared" si="2"/>
        <v>178</v>
      </c>
      <c r="B181" s="36"/>
      <c r="C181" s="37"/>
      <c r="D181" s="37"/>
      <c r="E181" s="37"/>
      <c r="F181" s="37"/>
      <c r="G181" s="37"/>
      <c r="H181" s="37"/>
      <c r="I181" s="69"/>
      <c r="J181" s="36"/>
      <c r="K181" s="37"/>
      <c r="L181" s="37"/>
      <c r="M181" s="37"/>
      <c r="N181" s="37"/>
      <c r="O181" s="37"/>
      <c r="P181" s="37"/>
      <c r="Q181" s="35"/>
      <c r="R181" s="234"/>
      <c r="S181" s="37"/>
      <c r="T181" s="37"/>
      <c r="U181" s="37"/>
      <c r="V181" s="37"/>
      <c r="W181" s="37"/>
      <c r="X181" s="37"/>
      <c r="Y181" s="35"/>
      <c r="AA181">
        <f>B181*10+C181+(D181*Others!$B$33)+E181*500+F181+(G181*Others!$B$33)+H181*I181+J181*10+K181+(L181*Others!$B$33)+M181*500+N181+(O181*Others!$B$33)+P181*Q181+R181*10+S181+(T181*Others!$B$33)+U181*500+V181+(W181*Others!$B$33)+X181*Y181</f>
        <v>0</v>
      </c>
      <c r="AB181">
        <f>ROUND(SUM(AA$4:AA181)/A181,0)</f>
        <v>55</v>
      </c>
    </row>
    <row r="182" spans="1:28">
      <c r="A182" s="16">
        <f t="shared" si="2"/>
        <v>179</v>
      </c>
      <c r="B182" s="36"/>
      <c r="C182" s="37"/>
      <c r="D182" s="37"/>
      <c r="E182" s="37"/>
      <c r="F182" s="37"/>
      <c r="G182" s="37"/>
      <c r="H182" s="37"/>
      <c r="I182" s="69"/>
      <c r="J182" s="36"/>
      <c r="K182" s="37"/>
      <c r="L182" s="37"/>
      <c r="M182" s="37"/>
      <c r="N182" s="37"/>
      <c r="O182" s="37"/>
      <c r="P182" s="37"/>
      <c r="Q182" s="35"/>
      <c r="R182" s="234"/>
      <c r="S182" s="37"/>
      <c r="T182" s="37"/>
      <c r="U182" s="37"/>
      <c r="V182" s="37"/>
      <c r="W182" s="37"/>
      <c r="X182" s="37"/>
      <c r="Y182" s="35"/>
      <c r="AA182">
        <f>B182*10+C182+(D182*Others!$B$33)+E182*500+F182+(G182*Others!$B$33)+H182*I182+J182*10+K182+(L182*Others!$B$33)+M182*500+N182+(O182*Others!$B$33)+P182*Q182+R182*10+S182+(T182*Others!$B$33)+U182*500+V182+(W182*Others!$B$33)+X182*Y182</f>
        <v>0</v>
      </c>
      <c r="AB182">
        <f>ROUND(SUM(AA$4:AA182)/A182,0)</f>
        <v>54</v>
      </c>
    </row>
    <row r="183" spans="1:28">
      <c r="A183" s="16">
        <f t="shared" si="2"/>
        <v>180</v>
      </c>
      <c r="B183" s="36"/>
      <c r="C183" s="37"/>
      <c r="D183" s="37"/>
      <c r="E183" s="37"/>
      <c r="F183" s="37"/>
      <c r="G183" s="37"/>
      <c r="H183" s="37"/>
      <c r="I183" s="69"/>
      <c r="J183" s="36"/>
      <c r="K183" s="37"/>
      <c r="L183" s="37"/>
      <c r="M183" s="37"/>
      <c r="N183" s="37"/>
      <c r="O183" s="37"/>
      <c r="P183" s="37"/>
      <c r="Q183" s="35"/>
      <c r="R183" s="234"/>
      <c r="S183" s="37"/>
      <c r="T183" s="37"/>
      <c r="U183" s="37"/>
      <c r="V183" s="37"/>
      <c r="W183" s="37"/>
      <c r="X183" s="37"/>
      <c r="Y183" s="35"/>
      <c r="AA183">
        <f>B183*10+C183+(D183*Others!$B$33)+E183*500+F183+(G183*Others!$B$33)+H183*I183+J183*10+K183+(L183*Others!$B$33)+M183*500+N183+(O183*Others!$B$33)+P183*Q183+R183*10+S183+(T183*Others!$B$33)+U183*500+V183+(W183*Others!$B$33)+X183*Y183</f>
        <v>0</v>
      </c>
      <c r="AB183">
        <f>ROUND(SUM(AA$4:AA183)/A183,0)</f>
        <v>54</v>
      </c>
    </row>
    <row r="184" spans="1:28">
      <c r="A184" s="16">
        <f t="shared" si="2"/>
        <v>181</v>
      </c>
      <c r="B184" s="36"/>
      <c r="C184" s="37"/>
      <c r="D184" s="37"/>
      <c r="E184" s="37"/>
      <c r="F184" s="37"/>
      <c r="G184" s="37"/>
      <c r="H184" s="37"/>
      <c r="I184" s="69"/>
      <c r="J184" s="36"/>
      <c r="K184" s="37"/>
      <c r="L184" s="37"/>
      <c r="M184" s="37"/>
      <c r="N184" s="37"/>
      <c r="O184" s="37"/>
      <c r="P184" s="37"/>
      <c r="Q184" s="35"/>
      <c r="R184" s="234"/>
      <c r="S184" s="37"/>
      <c r="T184" s="37"/>
      <c r="U184" s="37"/>
      <c r="V184" s="37"/>
      <c r="W184" s="37"/>
      <c r="X184" s="37"/>
      <c r="Y184" s="35"/>
      <c r="AA184">
        <f>B184*10+C184+(D184*Others!$B$33)+E184*500+F184+(G184*Others!$B$33)+H184*I184+J184*10+K184+(L184*Others!$B$33)+M184*500+N184+(O184*Others!$B$33)+P184*Q184+R184*10+S184+(T184*Others!$B$33)+U184*500+V184+(W184*Others!$B$33)+X184*Y184</f>
        <v>0</v>
      </c>
      <c r="AB184">
        <f>ROUND(SUM(AA$4:AA184)/A184,0)</f>
        <v>54</v>
      </c>
    </row>
    <row r="185" spans="1:28">
      <c r="A185" s="16">
        <f t="shared" si="2"/>
        <v>182</v>
      </c>
      <c r="B185" s="36"/>
      <c r="C185" s="37"/>
      <c r="D185" s="37"/>
      <c r="E185" s="37"/>
      <c r="F185" s="37"/>
      <c r="G185" s="37"/>
      <c r="H185" s="37"/>
      <c r="I185" s="69"/>
      <c r="J185" s="36"/>
      <c r="K185" s="37"/>
      <c r="L185" s="37"/>
      <c r="M185" s="37"/>
      <c r="N185" s="37"/>
      <c r="O185" s="37"/>
      <c r="P185" s="37"/>
      <c r="Q185" s="35"/>
      <c r="R185" s="234"/>
      <c r="S185" s="37"/>
      <c r="T185" s="37"/>
      <c r="U185" s="37"/>
      <c r="V185" s="37"/>
      <c r="W185" s="37"/>
      <c r="X185" s="37"/>
      <c r="Y185" s="35"/>
      <c r="AA185">
        <f>B185*10+C185+(D185*Others!$B$33)+E185*500+F185+(G185*Others!$B$33)+H185*I185+J185*10+K185+(L185*Others!$B$33)+M185*500+N185+(O185*Others!$B$33)+P185*Q185+R185*10+S185+(T185*Others!$B$33)+U185*500+V185+(W185*Others!$B$33)+X185*Y185</f>
        <v>0</v>
      </c>
      <c r="AB185">
        <f>ROUND(SUM(AA$4:AA185)/A185,0)</f>
        <v>53</v>
      </c>
    </row>
    <row r="186" spans="1:28">
      <c r="A186" s="16">
        <f t="shared" si="2"/>
        <v>183</v>
      </c>
      <c r="B186" s="36"/>
      <c r="C186" s="37"/>
      <c r="D186" s="37"/>
      <c r="E186" s="37"/>
      <c r="F186" s="37"/>
      <c r="G186" s="37"/>
      <c r="H186" s="37"/>
      <c r="I186" s="69"/>
      <c r="J186" s="36"/>
      <c r="K186" s="37"/>
      <c r="L186" s="37"/>
      <c r="M186" s="37"/>
      <c r="N186" s="37"/>
      <c r="O186" s="37"/>
      <c r="P186" s="37"/>
      <c r="Q186" s="35"/>
      <c r="R186" s="234"/>
      <c r="S186" s="37"/>
      <c r="T186" s="37"/>
      <c r="U186" s="37"/>
      <c r="V186" s="37"/>
      <c r="W186" s="37"/>
      <c r="X186" s="37"/>
      <c r="Y186" s="35"/>
      <c r="AA186">
        <f>B186*10+C186+(D186*Others!$B$33)+E186*500+F186+(G186*Others!$B$33)+H186*I186+J186*10+K186+(L186*Others!$B$33)+M186*500+N186+(O186*Others!$B$33)+P186*Q186+R186*10+S186+(T186*Others!$B$33)+U186*500+V186+(W186*Others!$B$33)+X186*Y186</f>
        <v>0</v>
      </c>
      <c r="AB186">
        <f>ROUND(SUM(AA$4:AA186)/A186,0)</f>
        <v>53</v>
      </c>
    </row>
    <row r="187" spans="1:28">
      <c r="A187" s="16">
        <f t="shared" si="2"/>
        <v>184</v>
      </c>
      <c r="B187" s="36"/>
      <c r="C187" s="37"/>
      <c r="D187" s="37"/>
      <c r="E187" s="37"/>
      <c r="F187" s="37"/>
      <c r="G187" s="37"/>
      <c r="H187" s="37"/>
      <c r="I187" s="69"/>
      <c r="J187" s="36"/>
      <c r="K187" s="37"/>
      <c r="L187" s="37"/>
      <c r="M187" s="37"/>
      <c r="N187" s="37"/>
      <c r="O187" s="37"/>
      <c r="P187" s="37"/>
      <c r="Q187" s="35"/>
      <c r="R187" s="234"/>
      <c r="S187" s="37"/>
      <c r="T187" s="37"/>
      <c r="U187" s="37"/>
      <c r="V187" s="37"/>
      <c r="W187" s="37"/>
      <c r="X187" s="37"/>
      <c r="Y187" s="35"/>
      <c r="AA187">
        <f>B187*10+C187+(D187*Others!$B$33)+E187*500+F187+(G187*Others!$B$33)+H187*I187+J187*10+K187+(L187*Others!$B$33)+M187*500+N187+(O187*Others!$B$33)+P187*Q187+R187*10+S187+(T187*Others!$B$33)+U187*500+V187+(W187*Others!$B$33)+X187*Y187</f>
        <v>0</v>
      </c>
      <c r="AB187">
        <f>ROUND(SUM(AA$4:AA187)/A187,0)</f>
        <v>53</v>
      </c>
    </row>
    <row r="188" spans="1:28">
      <c r="A188" s="16">
        <f t="shared" si="2"/>
        <v>185</v>
      </c>
      <c r="B188" s="36"/>
      <c r="C188" s="37"/>
      <c r="D188" s="37"/>
      <c r="E188" s="37"/>
      <c r="F188" s="37"/>
      <c r="G188" s="37"/>
      <c r="H188" s="37"/>
      <c r="I188" s="69"/>
      <c r="J188" s="36"/>
      <c r="K188" s="37"/>
      <c r="L188" s="37"/>
      <c r="M188" s="37"/>
      <c r="N188" s="37"/>
      <c r="O188" s="37"/>
      <c r="P188" s="37"/>
      <c r="Q188" s="35"/>
      <c r="R188" s="234"/>
      <c r="S188" s="37"/>
      <c r="T188" s="37"/>
      <c r="U188" s="37"/>
      <c r="V188" s="37"/>
      <c r="W188" s="37"/>
      <c r="X188" s="37"/>
      <c r="Y188" s="35"/>
      <c r="AA188">
        <f>B188*10+C188+(D188*Others!$B$33)+E188*500+F188+(G188*Others!$B$33)+H188*I188+J188*10+K188+(L188*Others!$B$33)+M188*500+N188+(O188*Others!$B$33)+P188*Q188+R188*10+S188+(T188*Others!$B$33)+U188*500+V188+(W188*Others!$B$33)+X188*Y188</f>
        <v>0</v>
      </c>
      <c r="AB188">
        <f>ROUND(SUM(AA$4:AA188)/A188,0)</f>
        <v>53</v>
      </c>
    </row>
    <row r="189" spans="1:28">
      <c r="A189" s="16">
        <f t="shared" si="2"/>
        <v>186</v>
      </c>
      <c r="B189" s="36"/>
      <c r="C189" s="37"/>
      <c r="D189" s="37"/>
      <c r="E189" s="37"/>
      <c r="F189" s="37"/>
      <c r="G189" s="37"/>
      <c r="H189" s="37"/>
      <c r="I189" s="69"/>
      <c r="J189" s="36"/>
      <c r="K189" s="37"/>
      <c r="L189" s="37"/>
      <c r="M189" s="37"/>
      <c r="N189" s="37"/>
      <c r="O189" s="37"/>
      <c r="P189" s="37"/>
      <c r="Q189" s="35"/>
      <c r="R189" s="234"/>
      <c r="S189" s="37"/>
      <c r="T189" s="37"/>
      <c r="U189" s="37"/>
      <c r="V189" s="37"/>
      <c r="W189" s="37"/>
      <c r="X189" s="37"/>
      <c r="Y189" s="35"/>
      <c r="AA189">
        <f>B189*10+C189+(D189*Others!$B$33)+E189*500+F189+(G189*Others!$B$33)+H189*I189+J189*10+K189+(L189*Others!$B$33)+M189*500+N189+(O189*Others!$B$33)+P189*Q189+R189*10+S189+(T189*Others!$B$33)+U189*500+V189+(W189*Others!$B$33)+X189*Y189</f>
        <v>0</v>
      </c>
      <c r="AB189">
        <f>ROUND(SUM(AA$4:AA189)/A189,0)</f>
        <v>52</v>
      </c>
    </row>
    <row r="190" spans="1:28">
      <c r="A190" s="16">
        <f t="shared" si="2"/>
        <v>187</v>
      </c>
      <c r="B190" s="36"/>
      <c r="C190" s="37"/>
      <c r="D190" s="37"/>
      <c r="E190" s="37"/>
      <c r="F190" s="37"/>
      <c r="G190" s="37"/>
      <c r="H190" s="37"/>
      <c r="I190" s="69"/>
      <c r="J190" s="36"/>
      <c r="K190" s="37"/>
      <c r="L190" s="37"/>
      <c r="M190" s="37"/>
      <c r="N190" s="37"/>
      <c r="O190" s="37"/>
      <c r="P190" s="37"/>
      <c r="Q190" s="35"/>
      <c r="R190" s="234"/>
      <c r="S190" s="37"/>
      <c r="T190" s="37"/>
      <c r="U190" s="37"/>
      <c r="V190" s="37"/>
      <c r="W190" s="37"/>
      <c r="X190" s="37"/>
      <c r="Y190" s="35"/>
      <c r="AA190">
        <f>B190*10+C190+(D190*Others!$B$33)+E190*500+F190+(G190*Others!$B$33)+H190*I190+J190*10+K190+(L190*Others!$B$33)+M190*500+N190+(O190*Others!$B$33)+P190*Q190+R190*10+S190+(T190*Others!$B$33)+U190*500+V190+(W190*Others!$B$33)+X190*Y190</f>
        <v>0</v>
      </c>
      <c r="AB190">
        <f>ROUND(SUM(AA$4:AA190)/A190,0)</f>
        <v>52</v>
      </c>
    </row>
    <row r="191" spans="1:28">
      <c r="A191" s="16">
        <f t="shared" si="2"/>
        <v>188</v>
      </c>
      <c r="B191" s="36"/>
      <c r="C191" s="37"/>
      <c r="D191" s="37"/>
      <c r="E191" s="37"/>
      <c r="F191" s="37"/>
      <c r="G191" s="37"/>
      <c r="H191" s="37"/>
      <c r="I191" s="69"/>
      <c r="J191" s="36"/>
      <c r="K191" s="37"/>
      <c r="L191" s="37"/>
      <c r="M191" s="37"/>
      <c r="N191" s="37"/>
      <c r="O191" s="37"/>
      <c r="P191" s="37"/>
      <c r="Q191" s="35"/>
      <c r="R191" s="234"/>
      <c r="S191" s="37"/>
      <c r="T191" s="37"/>
      <c r="U191" s="37"/>
      <c r="V191" s="37"/>
      <c r="W191" s="37"/>
      <c r="X191" s="37"/>
      <c r="Y191" s="35"/>
      <c r="AA191">
        <f>B191*10+C191+(D191*Others!$B$33)+E191*500+F191+(G191*Others!$B$33)+H191*I191+J191*10+K191+(L191*Others!$B$33)+M191*500+N191+(O191*Others!$B$33)+P191*Q191+R191*10+S191+(T191*Others!$B$33)+U191*500+V191+(W191*Others!$B$33)+X191*Y191</f>
        <v>0</v>
      </c>
      <c r="AB191">
        <f>ROUND(SUM(AA$4:AA191)/A191,0)</f>
        <v>52</v>
      </c>
    </row>
    <row r="192" spans="1:28">
      <c r="A192" s="16">
        <f t="shared" si="2"/>
        <v>189</v>
      </c>
      <c r="B192" s="36"/>
      <c r="C192" s="37"/>
      <c r="D192" s="37"/>
      <c r="E192" s="37"/>
      <c r="F192" s="37"/>
      <c r="G192" s="37"/>
      <c r="H192" s="37"/>
      <c r="I192" s="69"/>
      <c r="J192" s="36"/>
      <c r="K192" s="37"/>
      <c r="L192" s="37"/>
      <c r="M192" s="37"/>
      <c r="N192" s="37"/>
      <c r="O192" s="37"/>
      <c r="P192" s="37"/>
      <c r="Q192" s="35"/>
      <c r="R192" s="234"/>
      <c r="S192" s="37"/>
      <c r="T192" s="37"/>
      <c r="U192" s="37"/>
      <c r="V192" s="37"/>
      <c r="W192" s="37"/>
      <c r="X192" s="37"/>
      <c r="Y192" s="35"/>
      <c r="AA192">
        <f>B192*10+C192+(D192*Others!$B$33)+E192*500+F192+(G192*Others!$B$33)+H192*I192+J192*10+K192+(L192*Others!$B$33)+M192*500+N192+(O192*Others!$B$33)+P192*Q192+R192*10+S192+(T192*Others!$B$33)+U192*500+V192+(W192*Others!$B$33)+X192*Y192</f>
        <v>0</v>
      </c>
      <c r="AB192">
        <f>ROUND(SUM(AA$4:AA192)/A192,0)</f>
        <v>51</v>
      </c>
    </row>
    <row r="193" spans="1:28">
      <c r="A193" s="16">
        <f t="shared" si="2"/>
        <v>190</v>
      </c>
      <c r="B193" s="36"/>
      <c r="C193" s="37"/>
      <c r="D193" s="37"/>
      <c r="E193" s="37"/>
      <c r="F193" s="37"/>
      <c r="G193" s="37"/>
      <c r="H193" s="37"/>
      <c r="I193" s="69"/>
      <c r="J193" s="36"/>
      <c r="K193" s="37"/>
      <c r="L193" s="37"/>
      <c r="M193" s="37"/>
      <c r="N193" s="37"/>
      <c r="O193" s="37"/>
      <c r="P193" s="37"/>
      <c r="Q193" s="35"/>
      <c r="R193" s="234"/>
      <c r="S193" s="37"/>
      <c r="T193" s="37"/>
      <c r="U193" s="37"/>
      <c r="V193" s="37"/>
      <c r="W193" s="37"/>
      <c r="X193" s="37"/>
      <c r="Y193" s="35"/>
      <c r="AA193">
        <f>B193*10+C193+(D193*Others!$B$33)+E193*500+F193+(G193*Others!$B$33)+H193*I193+J193*10+K193+(L193*Others!$B$33)+M193*500+N193+(O193*Others!$B$33)+P193*Q193+R193*10+S193+(T193*Others!$B$33)+U193*500+V193+(W193*Others!$B$33)+X193*Y193</f>
        <v>0</v>
      </c>
      <c r="AB193">
        <f>ROUND(SUM(AA$4:AA193)/A193,0)</f>
        <v>51</v>
      </c>
    </row>
    <row r="194" spans="1:28">
      <c r="A194" s="16">
        <f t="shared" si="2"/>
        <v>191</v>
      </c>
      <c r="B194" s="36"/>
      <c r="C194" s="37"/>
      <c r="D194" s="37"/>
      <c r="E194" s="37"/>
      <c r="F194" s="37"/>
      <c r="G194" s="37"/>
      <c r="H194" s="37"/>
      <c r="I194" s="69"/>
      <c r="J194" s="36"/>
      <c r="K194" s="37"/>
      <c r="L194" s="37"/>
      <c r="M194" s="37"/>
      <c r="N194" s="37"/>
      <c r="O194" s="37"/>
      <c r="P194" s="37"/>
      <c r="Q194" s="35"/>
      <c r="R194" s="234"/>
      <c r="S194" s="37"/>
      <c r="T194" s="37"/>
      <c r="U194" s="37"/>
      <c r="V194" s="37"/>
      <c r="W194" s="37"/>
      <c r="X194" s="37"/>
      <c r="Y194" s="35"/>
      <c r="AA194">
        <f>B194*10+C194+(D194*Others!$B$33)+E194*500+F194+(G194*Others!$B$33)+H194*I194+J194*10+K194+(L194*Others!$B$33)+M194*500+N194+(O194*Others!$B$33)+P194*Q194+R194*10+S194+(T194*Others!$B$33)+U194*500+V194+(W194*Others!$B$33)+X194*Y194</f>
        <v>0</v>
      </c>
      <c r="AB194">
        <f>ROUND(SUM(AA$4:AA194)/A194,0)</f>
        <v>51</v>
      </c>
    </row>
    <row r="195" spans="1:28">
      <c r="A195" s="16">
        <f t="shared" si="2"/>
        <v>192</v>
      </c>
      <c r="B195" s="36"/>
      <c r="C195" s="37"/>
      <c r="D195" s="37"/>
      <c r="E195" s="37"/>
      <c r="F195" s="37"/>
      <c r="G195" s="37"/>
      <c r="H195" s="37"/>
      <c r="I195" s="69"/>
      <c r="J195" s="36"/>
      <c r="K195" s="37"/>
      <c r="L195" s="37"/>
      <c r="M195" s="37"/>
      <c r="N195" s="37"/>
      <c r="O195" s="37"/>
      <c r="P195" s="37"/>
      <c r="Q195" s="35"/>
      <c r="R195" s="234"/>
      <c r="S195" s="37"/>
      <c r="T195" s="37"/>
      <c r="U195" s="37"/>
      <c r="V195" s="37"/>
      <c r="W195" s="37"/>
      <c r="X195" s="37"/>
      <c r="Y195" s="35"/>
      <c r="AA195">
        <f>B195*10+C195+(D195*Others!$B$33)+E195*500+F195+(G195*Others!$B$33)+H195*I195+J195*10+K195+(L195*Others!$B$33)+M195*500+N195+(O195*Others!$B$33)+P195*Q195+R195*10+S195+(T195*Others!$B$33)+U195*500+V195+(W195*Others!$B$33)+X195*Y195</f>
        <v>0</v>
      </c>
      <c r="AB195">
        <f>ROUND(SUM(AA$4:AA195)/A195,0)</f>
        <v>51</v>
      </c>
    </row>
    <row r="196" spans="1:28">
      <c r="A196" s="16">
        <f t="shared" si="2"/>
        <v>193</v>
      </c>
      <c r="B196" s="36"/>
      <c r="C196" s="37"/>
      <c r="D196" s="37"/>
      <c r="E196" s="37"/>
      <c r="F196" s="37"/>
      <c r="G196" s="37"/>
      <c r="H196" s="37"/>
      <c r="I196" s="69"/>
      <c r="J196" s="36"/>
      <c r="K196" s="37"/>
      <c r="L196" s="37"/>
      <c r="M196" s="37"/>
      <c r="N196" s="37"/>
      <c r="O196" s="37"/>
      <c r="P196" s="37"/>
      <c r="Q196" s="35"/>
      <c r="R196" s="234"/>
      <c r="S196" s="37"/>
      <c r="T196" s="37"/>
      <c r="U196" s="37"/>
      <c r="V196" s="37"/>
      <c r="W196" s="37"/>
      <c r="X196" s="37"/>
      <c r="Y196" s="35"/>
      <c r="AA196">
        <f>B196*10+C196+(D196*Others!$B$33)+E196*500+F196+(G196*Others!$B$33)+H196*I196+J196*10+K196+(L196*Others!$B$33)+M196*500+N196+(O196*Others!$B$33)+P196*Q196+R196*10+S196+(T196*Others!$B$33)+U196*500+V196+(W196*Others!$B$33)+X196*Y196</f>
        <v>0</v>
      </c>
      <c r="AB196">
        <f>ROUND(SUM(AA$4:AA196)/A196,0)</f>
        <v>50</v>
      </c>
    </row>
    <row r="197" spans="1:28">
      <c r="A197" s="16">
        <f t="shared" ref="A197:A203" si="3">IF(ISNUMBER(A196),A196,0)+1</f>
        <v>194</v>
      </c>
      <c r="B197" s="36"/>
      <c r="C197" s="37"/>
      <c r="D197" s="37"/>
      <c r="E197" s="37"/>
      <c r="F197" s="37"/>
      <c r="G197" s="37"/>
      <c r="H197" s="37"/>
      <c r="I197" s="69"/>
      <c r="J197" s="36"/>
      <c r="K197" s="37"/>
      <c r="L197" s="37"/>
      <c r="M197" s="37"/>
      <c r="N197" s="37"/>
      <c r="O197" s="37"/>
      <c r="P197" s="37"/>
      <c r="Q197" s="35"/>
      <c r="R197" s="234"/>
      <c r="S197" s="37"/>
      <c r="T197" s="37"/>
      <c r="U197" s="37"/>
      <c r="V197" s="37"/>
      <c r="W197" s="37"/>
      <c r="X197" s="37"/>
      <c r="Y197" s="35"/>
      <c r="AA197">
        <f>B197*10+C197+(D197*Others!$B$33)+E197*500+F197+(G197*Others!$B$33)+H197*I197+J197*10+K197+(L197*Others!$B$33)+M197*500+N197+(O197*Others!$B$33)+P197*Q197+R197*10+S197+(T197*Others!$B$33)+U197*500+V197+(W197*Others!$B$33)+X197*Y197</f>
        <v>0</v>
      </c>
      <c r="AB197">
        <f>ROUND(SUM(AA$4:AA197)/A197,0)</f>
        <v>50</v>
      </c>
    </row>
    <row r="198" spans="1:28">
      <c r="A198" s="16">
        <f t="shared" si="3"/>
        <v>195</v>
      </c>
      <c r="B198" s="36"/>
      <c r="C198" s="37"/>
      <c r="D198" s="37"/>
      <c r="E198" s="37"/>
      <c r="F198" s="37"/>
      <c r="G198" s="37"/>
      <c r="H198" s="37"/>
      <c r="I198" s="69"/>
      <c r="J198" s="36"/>
      <c r="K198" s="37"/>
      <c r="L198" s="37"/>
      <c r="M198" s="37"/>
      <c r="N198" s="37"/>
      <c r="O198" s="37"/>
      <c r="P198" s="37"/>
      <c r="Q198" s="35"/>
      <c r="R198" s="234"/>
      <c r="S198" s="37"/>
      <c r="T198" s="37"/>
      <c r="U198" s="37"/>
      <c r="V198" s="37"/>
      <c r="W198" s="37"/>
      <c r="X198" s="37"/>
      <c r="Y198" s="35"/>
      <c r="AA198">
        <f>B198*10+C198+(D198*Others!$B$33)+E198*500+F198+(G198*Others!$B$33)+H198*I198+J198*10+K198+(L198*Others!$B$33)+M198*500+N198+(O198*Others!$B$33)+P198*Q198+R198*10+S198+(T198*Others!$B$33)+U198*500+V198+(W198*Others!$B$33)+X198*Y198</f>
        <v>0</v>
      </c>
      <c r="AB198">
        <f>ROUND(SUM(AA$4:AA198)/A198,0)</f>
        <v>50</v>
      </c>
    </row>
    <row r="199" spans="1:28">
      <c r="A199" s="16">
        <f t="shared" si="3"/>
        <v>196</v>
      </c>
      <c r="B199" s="36"/>
      <c r="C199" s="37"/>
      <c r="D199" s="37"/>
      <c r="E199" s="37"/>
      <c r="F199" s="37"/>
      <c r="G199" s="37"/>
      <c r="H199" s="37"/>
      <c r="I199" s="69"/>
      <c r="J199" s="36"/>
      <c r="K199" s="37"/>
      <c r="L199" s="37"/>
      <c r="M199" s="37"/>
      <c r="N199" s="37"/>
      <c r="O199" s="37"/>
      <c r="P199" s="37"/>
      <c r="Q199" s="35"/>
      <c r="R199" s="234"/>
      <c r="S199" s="37"/>
      <c r="T199" s="37"/>
      <c r="U199" s="37"/>
      <c r="V199" s="37"/>
      <c r="W199" s="37"/>
      <c r="X199" s="37"/>
      <c r="Y199" s="35"/>
      <c r="AA199">
        <f>B199*10+C199+(D199*Others!$B$33)+E199*500+F199+(G199*Others!$B$33)+H199*I199+J199*10+K199+(L199*Others!$B$33)+M199*500+N199+(O199*Others!$B$33)+P199*Q199+R199*10+S199+(T199*Others!$B$33)+U199*500+V199+(W199*Others!$B$33)+X199*Y199</f>
        <v>0</v>
      </c>
      <c r="AB199">
        <f>ROUND(SUM(AA$4:AA199)/A199,0)</f>
        <v>50</v>
      </c>
    </row>
    <row r="200" spans="1:28">
      <c r="A200" s="16">
        <f t="shared" si="3"/>
        <v>197</v>
      </c>
      <c r="B200" s="36"/>
      <c r="C200" s="37"/>
      <c r="D200" s="37"/>
      <c r="E200" s="37"/>
      <c r="F200" s="37"/>
      <c r="G200" s="37"/>
      <c r="H200" s="37"/>
      <c r="I200" s="69"/>
      <c r="J200" s="36"/>
      <c r="K200" s="37"/>
      <c r="L200" s="37"/>
      <c r="M200" s="37"/>
      <c r="N200" s="37"/>
      <c r="O200" s="37"/>
      <c r="P200" s="37"/>
      <c r="Q200" s="35"/>
      <c r="R200" s="234"/>
      <c r="S200" s="37"/>
      <c r="T200" s="37"/>
      <c r="U200" s="37"/>
      <c r="V200" s="37"/>
      <c r="W200" s="37"/>
      <c r="X200" s="37"/>
      <c r="Y200" s="35"/>
      <c r="AA200">
        <f>B200*10+C200+(D200*Others!$B$33)+E200*500+F200+(G200*Others!$B$33)+H200*I200+J200*10+K200+(L200*Others!$B$33)+M200*500+N200+(O200*Others!$B$33)+P200*Q200+R200*10+S200+(T200*Others!$B$33)+U200*500+V200+(W200*Others!$B$33)+X200*Y200</f>
        <v>0</v>
      </c>
      <c r="AB200">
        <f>ROUND(SUM(AA$4:AA200)/A200,0)</f>
        <v>49</v>
      </c>
    </row>
    <row r="201" spans="1:28">
      <c r="A201" s="16">
        <f t="shared" si="3"/>
        <v>198</v>
      </c>
      <c r="B201" s="36"/>
      <c r="C201" s="37"/>
      <c r="D201" s="37"/>
      <c r="E201" s="37"/>
      <c r="F201" s="37"/>
      <c r="G201" s="37"/>
      <c r="H201" s="37"/>
      <c r="I201" s="69"/>
      <c r="J201" s="36"/>
      <c r="K201" s="37"/>
      <c r="L201" s="37"/>
      <c r="M201" s="37"/>
      <c r="N201" s="37"/>
      <c r="O201" s="37"/>
      <c r="P201" s="37"/>
      <c r="Q201" s="35"/>
      <c r="R201" s="234"/>
      <c r="S201" s="37"/>
      <c r="T201" s="37"/>
      <c r="U201" s="37"/>
      <c r="V201" s="37"/>
      <c r="W201" s="37"/>
      <c r="X201" s="37"/>
      <c r="Y201" s="35"/>
      <c r="AA201">
        <f>B201*10+C201+(D201*Others!$B$33)+E201*500+F201+(G201*Others!$B$33)+H201*I201+J201*10+K201+(L201*Others!$B$33)+M201*500+N201+(O201*Others!$B$33)+P201*Q201+R201*10+S201+(T201*Others!$B$33)+U201*500+V201+(W201*Others!$B$33)+X201*Y201</f>
        <v>0</v>
      </c>
      <c r="AB201">
        <f>ROUND(SUM(AA$4:AA201)/A201,0)</f>
        <v>49</v>
      </c>
    </row>
    <row r="202" spans="1:28">
      <c r="A202" s="16">
        <f t="shared" si="3"/>
        <v>199</v>
      </c>
      <c r="B202" s="36"/>
      <c r="C202" s="37"/>
      <c r="D202" s="37"/>
      <c r="E202" s="37"/>
      <c r="F202" s="37"/>
      <c r="G202" s="37"/>
      <c r="H202" s="37"/>
      <c r="I202" s="69"/>
      <c r="J202" s="36"/>
      <c r="K202" s="37"/>
      <c r="L202" s="37"/>
      <c r="M202" s="37"/>
      <c r="N202" s="37"/>
      <c r="O202" s="37"/>
      <c r="P202" s="37"/>
      <c r="Q202" s="35"/>
      <c r="R202" s="234"/>
      <c r="S202" s="37"/>
      <c r="T202" s="37"/>
      <c r="U202" s="37"/>
      <c r="V202" s="37"/>
      <c r="W202" s="37"/>
      <c r="X202" s="37"/>
      <c r="Y202" s="35"/>
      <c r="AA202">
        <f>B202*10+C202+(D202*Others!$B$33)+E202*500+F202+(G202*Others!$B$33)+H202*I202+J202*10+K202+(L202*Others!$B$33)+M202*500+N202+(O202*Others!$B$33)+P202*Q202+R202*10+S202+(T202*Others!$B$33)+U202*500+V202+(W202*Others!$B$33)+X202*Y202</f>
        <v>0</v>
      </c>
      <c r="AB202">
        <f>ROUND(SUM(AA$4:AA202)/A202,0)</f>
        <v>49</v>
      </c>
    </row>
    <row r="203" spans="1:28" ht="16" thickBot="1">
      <c r="A203" s="16">
        <f t="shared" si="3"/>
        <v>200</v>
      </c>
      <c r="B203" s="38"/>
      <c r="C203" s="39"/>
      <c r="D203" s="39"/>
      <c r="E203" s="39"/>
      <c r="F203" s="39"/>
      <c r="G203" s="39"/>
      <c r="H203" s="39"/>
      <c r="I203" s="203"/>
      <c r="J203" s="38"/>
      <c r="K203" s="39"/>
      <c r="L203" s="39"/>
      <c r="M203" s="39"/>
      <c r="N203" s="39"/>
      <c r="O203" s="39"/>
      <c r="P203" s="39"/>
      <c r="Q203" s="40"/>
      <c r="R203" s="227"/>
      <c r="S203" s="39"/>
      <c r="T203" s="39"/>
      <c r="U203" s="39"/>
      <c r="V203" s="39"/>
      <c r="W203" s="39"/>
      <c r="X203" s="39"/>
      <c r="Y203" s="40"/>
      <c r="AA203">
        <f>B203*10+C203+(D203*Others!$B$33)+E203*500+F203+(G203*Others!$B$33)+H203*I203+J203*10+K203+(L203*Others!$B$33)+M203*500+N203+(O203*Others!$B$33)+P203*Q203+R203*10+S203+(T203*Others!$B$33)+U203*500+V203+(W203*Others!$B$33)+X203*Y203</f>
        <v>0</v>
      </c>
      <c r="AB203">
        <f>ROUND(SUM(AA$4:AA203)/A203,0)</f>
        <v>49</v>
      </c>
    </row>
  </sheetData>
  <mergeCells count="1">
    <mergeCell ref="X2:Y2"/>
  </mergeCells>
  <conditionalFormatting sqref="R4:Y204">
    <cfRule type="expression" dxfId="130" priority="3">
      <formula>IF($R4&gt;0,1,0)+IF($S4&gt;0,1,0)+IF($T4&gt;0,1,0)+IF($U4&gt;0,1,0)+IF($V4&gt;0,1,0)+IF($W4&gt;0,1,0)+IF(AND($X4&gt;0,$Y4&gt;0),1,0)=1</formula>
    </cfRule>
  </conditionalFormatting>
  <conditionalFormatting sqref="B4:I203">
    <cfRule type="expression" dxfId="129" priority="2">
      <formula>IF($B4&gt;0,1,0)+IF($C4&gt;0,1,0)+IF($D4&gt;0,1,0)+IF($E4&gt;0,1,0)+IF($F4&gt;0,1,0)+IF($G4&gt;0,1,0)+IF(AND($H4&gt;0,$I4&gt;0),1,0)=1</formula>
    </cfRule>
  </conditionalFormatting>
  <conditionalFormatting sqref="J4:Q203">
    <cfRule type="expression" dxfId="128" priority="1">
      <formula>IF($J4&gt;0,1,0)+IF($K4&gt;0,1,0)+IF($L4&gt;0,1,0)+IF($M4&gt;0,1,0)+IF($N4&gt;0,1,0)+IF($O4&gt;0,1,0)+IF(AND($P4&gt;0,$Q4&gt;0),1,0)=1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2"/>
  <sheetViews>
    <sheetView workbookViewId="0">
      <pane ySplit="3" topLeftCell="A5" activePane="bottomLeft" state="frozen"/>
      <selection pane="bottomLeft" activeCell="A63" sqref="A63"/>
    </sheetView>
  </sheetViews>
  <sheetFormatPr baseColWidth="10" defaultRowHeight="15" x14ac:dyDescent="0"/>
  <cols>
    <col min="1" max="1" width="48.6640625" bestFit="1" customWidth="1"/>
    <col min="2" max="2" width="31" style="242" customWidth="1"/>
  </cols>
  <sheetData>
    <row r="3" spans="1:2">
      <c r="A3" s="240" t="s">
        <v>451</v>
      </c>
      <c r="B3" s="237" t="s">
        <v>53</v>
      </c>
    </row>
    <row r="4" spans="1:2">
      <c r="A4" s="23" t="s">
        <v>291</v>
      </c>
      <c r="B4" s="241">
        <v>5</v>
      </c>
    </row>
    <row r="5" spans="1:2">
      <c r="A5" s="23" t="s">
        <v>292</v>
      </c>
      <c r="B5" s="241">
        <v>0.8</v>
      </c>
    </row>
    <row r="6" spans="1:2">
      <c r="A6" s="23" t="s">
        <v>293</v>
      </c>
      <c r="B6" s="241">
        <v>8</v>
      </c>
    </row>
    <row r="7" spans="1:2">
      <c r="A7" s="23" t="s">
        <v>294</v>
      </c>
      <c r="B7" s="241">
        <v>0.7</v>
      </c>
    </row>
    <row r="8" spans="1:2">
      <c r="A8" s="23" t="s">
        <v>295</v>
      </c>
      <c r="B8" s="241">
        <v>110</v>
      </c>
    </row>
    <row r="9" spans="1:2">
      <c r="A9" s="23" t="s">
        <v>296</v>
      </c>
      <c r="B9" s="241">
        <v>0.3</v>
      </c>
    </row>
    <row r="10" spans="1:2">
      <c r="A10" s="23" t="s">
        <v>303</v>
      </c>
      <c r="B10" s="241">
        <v>5</v>
      </c>
    </row>
    <row r="11" spans="1:2">
      <c r="A11" s="23" t="s">
        <v>304</v>
      </c>
      <c r="B11" s="241">
        <v>0.8</v>
      </c>
    </row>
    <row r="12" spans="1:2">
      <c r="A12" s="23" t="s">
        <v>305</v>
      </c>
      <c r="B12" s="241">
        <v>8</v>
      </c>
    </row>
    <row r="13" spans="1:2">
      <c r="A13" s="23" t="s">
        <v>306</v>
      </c>
      <c r="B13" s="241">
        <v>0.7</v>
      </c>
    </row>
    <row r="14" spans="1:2">
      <c r="A14" s="23" t="s">
        <v>307</v>
      </c>
      <c r="B14" s="241">
        <v>110</v>
      </c>
    </row>
    <row r="15" spans="1:2">
      <c r="A15" s="23" t="s">
        <v>308</v>
      </c>
      <c r="B15" s="241">
        <v>0.3</v>
      </c>
    </row>
    <row r="16" spans="1:2">
      <c r="A16" s="23" t="s">
        <v>300</v>
      </c>
      <c r="B16" s="242" t="s">
        <v>299</v>
      </c>
    </row>
    <row r="17" spans="1:2">
      <c r="A17" s="23" t="s">
        <v>301</v>
      </c>
      <c r="B17" s="242" t="s">
        <v>302</v>
      </c>
    </row>
    <row r="18" spans="1:2">
      <c r="A18" s="23" t="s">
        <v>309</v>
      </c>
      <c r="B18" s="242">
        <v>3600</v>
      </c>
    </row>
    <row r="19" spans="1:2">
      <c r="A19" s="23" t="s">
        <v>310</v>
      </c>
      <c r="B19" s="242">
        <v>3600</v>
      </c>
    </row>
    <row r="20" spans="1:2">
      <c r="A20" s="23" t="s">
        <v>311</v>
      </c>
      <c r="B20" s="242">
        <v>2</v>
      </c>
    </row>
    <row r="21" spans="1:2">
      <c r="A21" s="23" t="s">
        <v>312</v>
      </c>
      <c r="B21" s="242">
        <v>2</v>
      </c>
    </row>
    <row r="22" spans="1:2">
      <c r="A22" s="23" t="s">
        <v>313</v>
      </c>
      <c r="B22" s="242" t="s">
        <v>119</v>
      </c>
    </row>
    <row r="23" spans="1:2">
      <c r="A23" s="23" t="s">
        <v>314</v>
      </c>
      <c r="B23" s="242" t="s">
        <v>325</v>
      </c>
    </row>
    <row r="24" spans="1:2">
      <c r="A24" s="23" t="s">
        <v>315</v>
      </c>
      <c r="B24" s="242">
        <v>2</v>
      </c>
    </row>
    <row r="25" spans="1:2">
      <c r="A25" s="23" t="s">
        <v>316</v>
      </c>
      <c r="B25" s="242">
        <v>3</v>
      </c>
    </row>
    <row r="26" spans="1:2">
      <c r="A26" s="23" t="s">
        <v>317</v>
      </c>
      <c r="B26" s="242" t="s">
        <v>119</v>
      </c>
    </row>
    <row r="27" spans="1:2">
      <c r="A27" s="23" t="s">
        <v>318</v>
      </c>
      <c r="B27" s="242" t="s">
        <v>325</v>
      </c>
    </row>
    <row r="28" spans="1:2">
      <c r="A28" s="23" t="s">
        <v>319</v>
      </c>
      <c r="B28" s="242">
        <v>3</v>
      </c>
    </row>
    <row r="29" spans="1:2">
      <c r="A29" s="23" t="s">
        <v>320</v>
      </c>
      <c r="B29" s="242">
        <v>2</v>
      </c>
    </row>
    <row r="30" spans="1:2">
      <c r="A30" s="23" t="s">
        <v>321</v>
      </c>
      <c r="B30" s="242" t="s">
        <v>119</v>
      </c>
    </row>
    <row r="31" spans="1:2">
      <c r="A31" s="23" t="s">
        <v>322</v>
      </c>
      <c r="B31" s="242" t="s">
        <v>325</v>
      </c>
    </row>
    <row r="32" spans="1:2">
      <c r="A32" s="23" t="s">
        <v>323</v>
      </c>
      <c r="B32" s="242">
        <v>3</v>
      </c>
    </row>
    <row r="33" spans="1:2">
      <c r="A33" s="23" t="s">
        <v>324</v>
      </c>
      <c r="B33" s="242">
        <v>3</v>
      </c>
    </row>
    <row r="34" spans="1:2">
      <c r="A34" s="23" t="s">
        <v>326</v>
      </c>
      <c r="B34" s="242">
        <v>6</v>
      </c>
    </row>
    <row r="35" spans="1:2">
      <c r="A35" s="23" t="s">
        <v>78</v>
      </c>
      <c r="B35" s="242">
        <v>1</v>
      </c>
    </row>
    <row r="36" spans="1:2">
      <c r="A36" s="23" t="s">
        <v>79</v>
      </c>
      <c r="B36" s="242">
        <v>0</v>
      </c>
    </row>
    <row r="37" spans="1:2">
      <c r="A37" s="24" t="s">
        <v>328</v>
      </c>
      <c r="B37" s="242">
        <v>1.1000000000000001</v>
      </c>
    </row>
    <row r="38" spans="1:2">
      <c r="A38" s="24" t="s">
        <v>327</v>
      </c>
      <c r="B38" s="242">
        <v>1.2</v>
      </c>
    </row>
    <row r="39" spans="1:2">
      <c r="A39" s="24" t="s">
        <v>65</v>
      </c>
      <c r="B39" s="242">
        <v>5</v>
      </c>
    </row>
    <row r="40" spans="1:2">
      <c r="A40" s="24" t="s">
        <v>68</v>
      </c>
      <c r="B40" s="242">
        <v>1000</v>
      </c>
    </row>
    <row r="41" spans="1:2">
      <c r="A41" s="24" t="s">
        <v>69</v>
      </c>
      <c r="B41" s="242">
        <v>18</v>
      </c>
    </row>
    <row r="42" spans="1:2">
      <c r="A42" s="24" t="s">
        <v>329</v>
      </c>
      <c r="B42" s="242">
        <v>30</v>
      </c>
    </row>
    <row r="43" spans="1:2">
      <c r="A43" s="24" t="s">
        <v>330</v>
      </c>
      <c r="B43" s="242">
        <v>120</v>
      </c>
    </row>
    <row r="44" spans="1:2">
      <c r="A44" s="24" t="s">
        <v>331</v>
      </c>
      <c r="B44" s="242">
        <v>300</v>
      </c>
    </row>
    <row r="45" spans="1:2">
      <c r="A45" s="24" t="s">
        <v>76</v>
      </c>
      <c r="B45" s="242">
        <v>86400</v>
      </c>
    </row>
    <row r="46" spans="1:2">
      <c r="A46" s="24" t="s">
        <v>332</v>
      </c>
      <c r="B46" s="242">
        <v>3600</v>
      </c>
    </row>
    <row r="47" spans="1:2">
      <c r="A47" s="24" t="s">
        <v>333</v>
      </c>
      <c r="B47" s="242">
        <v>10</v>
      </c>
    </row>
    <row r="48" spans="1:2">
      <c r="A48" s="24" t="s">
        <v>334</v>
      </c>
      <c r="B48" s="242" t="s">
        <v>33</v>
      </c>
    </row>
    <row r="49" spans="1:2">
      <c r="A49" s="24" t="s">
        <v>341</v>
      </c>
      <c r="B49" s="242">
        <v>21600</v>
      </c>
    </row>
    <row r="50" spans="1:2">
      <c r="A50" s="24" t="s">
        <v>342</v>
      </c>
      <c r="B50" s="242">
        <v>55</v>
      </c>
    </row>
    <row r="51" spans="1:2">
      <c r="A51" s="24" t="s">
        <v>343</v>
      </c>
      <c r="B51" s="242" t="s">
        <v>33</v>
      </c>
    </row>
    <row r="52" spans="1:2">
      <c r="A52" s="24" t="s">
        <v>338</v>
      </c>
      <c r="B52" s="242">
        <v>43200</v>
      </c>
    </row>
    <row r="53" spans="1:2">
      <c r="A53" s="24" t="s">
        <v>339</v>
      </c>
      <c r="B53" s="242">
        <v>100</v>
      </c>
    </row>
    <row r="54" spans="1:2">
      <c r="A54" s="24" t="s">
        <v>340</v>
      </c>
      <c r="B54" s="242" t="s">
        <v>33</v>
      </c>
    </row>
    <row r="55" spans="1:2">
      <c r="A55" s="24" t="s">
        <v>335</v>
      </c>
      <c r="B55" s="242">
        <v>86400</v>
      </c>
    </row>
    <row r="56" spans="1:2">
      <c r="A56" s="24" t="s">
        <v>336</v>
      </c>
      <c r="B56" s="242">
        <v>180</v>
      </c>
    </row>
    <row r="57" spans="1:2">
      <c r="A57" s="24" t="s">
        <v>337</v>
      </c>
      <c r="B57" s="242" t="s">
        <v>33</v>
      </c>
    </row>
    <row r="58" spans="1:2">
      <c r="A58" s="24" t="s">
        <v>536</v>
      </c>
      <c r="B58" s="242">
        <v>1</v>
      </c>
    </row>
    <row r="59" spans="1:2">
      <c r="A59" s="24" t="s">
        <v>537</v>
      </c>
      <c r="B59" s="242">
        <v>2</v>
      </c>
    </row>
    <row r="60" spans="1:2">
      <c r="A60" s="24" t="s">
        <v>533</v>
      </c>
      <c r="B60" s="242">
        <v>3</v>
      </c>
    </row>
    <row r="61" spans="1:2">
      <c r="A61" s="24" t="s">
        <v>538</v>
      </c>
      <c r="B61" s="242">
        <v>4</v>
      </c>
    </row>
    <row r="62" spans="1:2">
      <c r="A62" s="24" t="s">
        <v>539</v>
      </c>
      <c r="B62" s="242">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8" enableFormatConditionsCalculation="0"/>
  <dimension ref="A1:C42"/>
  <sheetViews>
    <sheetView workbookViewId="0">
      <pane ySplit="1" topLeftCell="A15" activePane="bottomLeft" state="frozen"/>
      <selection pane="bottomLeft" activeCell="A3" sqref="A3:B8"/>
    </sheetView>
  </sheetViews>
  <sheetFormatPr baseColWidth="10" defaultRowHeight="15" x14ac:dyDescent="0"/>
  <cols>
    <col min="1" max="1" width="37" style="23" bestFit="1" customWidth="1"/>
    <col min="2" max="2" width="89.5" style="29" bestFit="1" customWidth="1"/>
    <col min="3" max="3" width="28.83203125" style="23" bestFit="1" customWidth="1"/>
    <col min="4" max="16384" width="10.83203125" style="23"/>
  </cols>
  <sheetData>
    <row r="1" spans="1:3">
      <c r="A1" s="23" t="s">
        <v>75</v>
      </c>
      <c r="B1" s="29" t="s">
        <v>53</v>
      </c>
      <c r="C1" s="23" t="s">
        <v>54</v>
      </c>
    </row>
    <row r="2" spans="1:3">
      <c r="A2" s="23" t="s">
        <v>52</v>
      </c>
      <c r="B2" s="29">
        <v>3600</v>
      </c>
      <c r="C2" s="23" t="s">
        <v>55</v>
      </c>
    </row>
    <row r="3" spans="1:3">
      <c r="A3" s="23" t="s">
        <v>291</v>
      </c>
      <c r="B3" s="29">
        <v>5</v>
      </c>
    </row>
    <row r="4" spans="1:3">
      <c r="A4" s="23" t="s">
        <v>292</v>
      </c>
      <c r="B4" s="29">
        <v>0.8</v>
      </c>
    </row>
    <row r="5" spans="1:3">
      <c r="A5" s="23" t="s">
        <v>293</v>
      </c>
      <c r="B5" s="29">
        <v>8</v>
      </c>
    </row>
    <row r="6" spans="1:3">
      <c r="A6" s="23" t="s">
        <v>294</v>
      </c>
      <c r="B6" s="29">
        <v>0.7</v>
      </c>
    </row>
    <row r="7" spans="1:3">
      <c r="A7" s="23" t="s">
        <v>295</v>
      </c>
      <c r="B7" s="29">
        <v>110</v>
      </c>
    </row>
    <row r="8" spans="1:3">
      <c r="A8" s="23" t="s">
        <v>296</v>
      </c>
      <c r="B8" s="29">
        <v>0.3</v>
      </c>
    </row>
    <row r="9" spans="1:3">
      <c r="A9" s="23" t="s">
        <v>56</v>
      </c>
      <c r="B9" s="29">
        <v>1</v>
      </c>
    </row>
    <row r="10" spans="1:3">
      <c r="A10" s="23" t="s">
        <v>57</v>
      </c>
      <c r="B10" s="29">
        <v>1.2</v>
      </c>
    </row>
    <row r="11" spans="1:3">
      <c r="A11" s="23" t="s">
        <v>61</v>
      </c>
      <c r="B11" s="29">
        <f>(B9+B10)/2</f>
        <v>1.1000000000000001</v>
      </c>
    </row>
    <row r="12" spans="1:3">
      <c r="A12" s="23" t="s">
        <v>58</v>
      </c>
      <c r="B12" s="29">
        <v>1</v>
      </c>
    </row>
    <row r="13" spans="1:3">
      <c r="A13" s="23" t="s">
        <v>59</v>
      </c>
      <c r="B13" s="29">
        <v>1.7</v>
      </c>
    </row>
    <row r="14" spans="1:3">
      <c r="A14" s="23" t="s">
        <v>60</v>
      </c>
      <c r="B14" s="29">
        <f>(B12+B13)/2</f>
        <v>1.35</v>
      </c>
    </row>
    <row r="15" spans="1:3">
      <c r="A15" s="23" t="s">
        <v>62</v>
      </c>
      <c r="B15" s="29">
        <v>1.1000000000000001</v>
      </c>
    </row>
    <row r="16" spans="1:3">
      <c r="A16" s="24" t="s">
        <v>63</v>
      </c>
      <c r="B16" s="29">
        <v>1.2</v>
      </c>
    </row>
    <row r="17" spans="1:3">
      <c r="A17" s="24" t="s">
        <v>64</v>
      </c>
      <c r="B17" s="29">
        <f>(B15+B16)/2</f>
        <v>1.1499999999999999</v>
      </c>
    </row>
    <row r="18" spans="1:3">
      <c r="A18" s="24" t="s">
        <v>65</v>
      </c>
      <c r="B18" s="29">
        <v>5</v>
      </c>
      <c r="C18" s="23" t="s">
        <v>66</v>
      </c>
    </row>
    <row r="19" spans="1:3">
      <c r="A19" s="24" t="s">
        <v>68</v>
      </c>
      <c r="B19" s="29">
        <v>1000</v>
      </c>
      <c r="C19" s="23" t="s">
        <v>66</v>
      </c>
    </row>
    <row r="20" spans="1:3">
      <c r="A20" s="24" t="s">
        <v>69</v>
      </c>
      <c r="B20" s="29">
        <v>18</v>
      </c>
      <c r="C20" s="28" t="str">
        <f>CONCATENATE("= ",ROUND(B20/B31,2)," €")</f>
        <v>= 18 €</v>
      </c>
    </row>
    <row r="21" spans="1:3">
      <c r="A21" s="24" t="s">
        <v>70</v>
      </c>
      <c r="B21" s="30">
        <v>30</v>
      </c>
      <c r="C21" s="23" t="s">
        <v>66</v>
      </c>
    </row>
    <row r="22" spans="1:3">
      <c r="A22" s="24" t="s">
        <v>71</v>
      </c>
      <c r="B22" s="29">
        <v>120</v>
      </c>
      <c r="C22" s="23" t="s">
        <v>66</v>
      </c>
    </row>
    <row r="23" spans="1:3">
      <c r="A23" s="24" t="s">
        <v>72</v>
      </c>
      <c r="B23" s="29">
        <v>300</v>
      </c>
      <c r="C23" s="23" t="s">
        <v>66</v>
      </c>
    </row>
    <row r="24" spans="1:3" ht="105">
      <c r="A24" s="127" t="s">
        <v>74</v>
      </c>
      <c r="B24" s="128" t="s">
        <v>84</v>
      </c>
      <c r="C24" s="127"/>
    </row>
    <row r="25" spans="1:3">
      <c r="A25" s="23" t="s">
        <v>67</v>
      </c>
      <c r="B25" s="31" t="s">
        <v>80</v>
      </c>
    </row>
    <row r="26" spans="1:3">
      <c r="A26" s="25" t="s">
        <v>73</v>
      </c>
      <c r="B26" s="29" t="s">
        <v>77</v>
      </c>
    </row>
    <row r="27" spans="1:3">
      <c r="A27" s="25" t="s">
        <v>76</v>
      </c>
      <c r="B27" s="29">
        <v>20</v>
      </c>
    </row>
    <row r="28" spans="1:3">
      <c r="A28" s="23" t="s">
        <v>78</v>
      </c>
      <c r="B28" s="29">
        <v>2</v>
      </c>
    </row>
    <row r="29" spans="1:3">
      <c r="A29" s="23" t="s">
        <v>79</v>
      </c>
      <c r="B29" s="118">
        <f>B28/(B31/B32)</f>
        <v>2</v>
      </c>
      <c r="C29" s="23" t="s">
        <v>128</v>
      </c>
    </row>
    <row r="30" spans="1:3">
      <c r="A30" s="23" t="s">
        <v>81</v>
      </c>
      <c r="B30" s="29">
        <v>4</v>
      </c>
    </row>
    <row r="31" spans="1:3">
      <c r="A31" s="26" t="s">
        <v>85</v>
      </c>
      <c r="B31" s="32">
        <v>1</v>
      </c>
      <c r="C31" s="27"/>
    </row>
    <row r="32" spans="1:3">
      <c r="A32" s="27" t="s">
        <v>86</v>
      </c>
      <c r="B32" s="32">
        <v>1</v>
      </c>
      <c r="C32" s="27"/>
    </row>
    <row r="33" spans="1:3">
      <c r="A33" s="27" t="s">
        <v>82</v>
      </c>
      <c r="B33" s="32">
        <v>50</v>
      </c>
      <c r="C33" s="27" t="s">
        <v>286</v>
      </c>
    </row>
    <row r="34" spans="1:3">
      <c r="A34" s="27" t="s">
        <v>83</v>
      </c>
      <c r="B34" s="33">
        <v>2</v>
      </c>
      <c r="C34" s="27" t="s">
        <v>286</v>
      </c>
    </row>
    <row r="35" spans="1:3">
      <c r="A35" s="23" t="s">
        <v>87</v>
      </c>
      <c r="B35" s="29">
        <v>99999999</v>
      </c>
    </row>
    <row r="36" spans="1:3">
      <c r="A36" s="23" t="s">
        <v>88</v>
      </c>
      <c r="B36" s="29">
        <v>99999</v>
      </c>
    </row>
    <row r="37" spans="1:3">
      <c r="A37" s="23" t="s">
        <v>89</v>
      </c>
      <c r="B37" s="29">
        <v>99999</v>
      </c>
    </row>
    <row r="38" spans="1:3">
      <c r="A38" s="23" t="s">
        <v>90</v>
      </c>
      <c r="B38" s="29">
        <v>999</v>
      </c>
    </row>
    <row r="39" spans="1:3">
      <c r="A39" s="23" t="s">
        <v>91</v>
      </c>
      <c r="B39" s="29" t="s">
        <v>92</v>
      </c>
    </row>
    <row r="40" spans="1:3">
      <c r="A40" s="23" t="s">
        <v>93</v>
      </c>
      <c r="B40" s="29" t="s">
        <v>94</v>
      </c>
    </row>
    <row r="41" spans="1:3">
      <c r="A41" s="23" t="s">
        <v>95</v>
      </c>
      <c r="B41" s="29" t="s">
        <v>96</v>
      </c>
    </row>
    <row r="42" spans="1:3">
      <c r="A42" s="23" t="s">
        <v>97</v>
      </c>
      <c r="B42" s="29" t="s">
        <v>98</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9"/>
  <sheetViews>
    <sheetView workbookViewId="0">
      <selection sqref="A1:F7"/>
    </sheetView>
  </sheetViews>
  <sheetFormatPr baseColWidth="10" defaultRowHeight="15" x14ac:dyDescent="0"/>
  <cols>
    <col min="1" max="1" width="18.1640625" bestFit="1" customWidth="1"/>
    <col min="2" max="2" width="9.83203125" customWidth="1"/>
    <col min="3" max="3" width="12.33203125" bestFit="1" customWidth="1"/>
    <col min="4" max="4" width="16.5" customWidth="1"/>
    <col min="5" max="5" width="14" customWidth="1"/>
    <col min="6" max="6" width="10" bestFit="1" customWidth="1"/>
    <col min="7" max="7" width="19.1640625" bestFit="1" customWidth="1"/>
    <col min="8" max="8" width="18.5" customWidth="1"/>
    <col min="9" max="9" width="13.6640625" bestFit="1" customWidth="1"/>
    <col min="10" max="10" width="13.83203125" bestFit="1" customWidth="1"/>
    <col min="11" max="11" width="18" customWidth="1"/>
    <col min="12" max="12" width="12.6640625" customWidth="1"/>
    <col min="13" max="13" width="13.6640625" customWidth="1"/>
    <col min="14" max="14" width="12.33203125" bestFit="1" customWidth="1"/>
    <col min="15" max="15" width="8.1640625" bestFit="1" customWidth="1"/>
  </cols>
  <sheetData>
    <row r="1" spans="1:13">
      <c r="A1" s="44" t="s">
        <v>121</v>
      </c>
      <c r="B1" s="45" t="s">
        <v>122</v>
      </c>
      <c r="C1" s="45" t="s">
        <v>124</v>
      </c>
      <c r="D1" s="45" t="s">
        <v>241</v>
      </c>
      <c r="E1" s="45" t="s">
        <v>123</v>
      </c>
      <c r="F1" s="47" t="s">
        <v>125</v>
      </c>
      <c r="I1" s="407" t="s">
        <v>255</v>
      </c>
      <c r="J1" s="407"/>
    </row>
    <row r="2" spans="1:13">
      <c r="A2" s="36">
        <v>50</v>
      </c>
      <c r="B2" s="37">
        <v>0.99</v>
      </c>
      <c r="C2" s="119">
        <f t="shared" ref="C2:C7" si="0">B2/A2</f>
        <v>1.9799999999999998E-2</v>
      </c>
      <c r="D2" s="119">
        <f t="shared" ref="D2:D7" si="1">A2/B2</f>
        <v>50.505050505050505</v>
      </c>
      <c r="E2" s="107">
        <v>0</v>
      </c>
      <c r="F2" s="125">
        <f t="shared" ref="F2:F7" si="2">1-C2/C$10</f>
        <v>0</v>
      </c>
      <c r="I2" s="37" t="s">
        <v>256</v>
      </c>
      <c r="J2" s="37" t="s">
        <v>189</v>
      </c>
      <c r="M2" s="138">
        <f>4800/300</f>
        <v>16</v>
      </c>
    </row>
    <row r="3" spans="1:13">
      <c r="A3" s="159">
        <f>$A$2*B3*(1+E3)/$B$2</f>
        <v>277.22222222222229</v>
      </c>
      <c r="B3" s="37">
        <v>4.99</v>
      </c>
      <c r="C3" s="119">
        <f t="shared" si="0"/>
        <v>1.7999999999999995E-2</v>
      </c>
      <c r="D3" s="119">
        <f t="shared" si="1"/>
        <v>55.555555555555564</v>
      </c>
      <c r="E3" s="107">
        <v>0.1</v>
      </c>
      <c r="F3" s="125">
        <f t="shared" si="2"/>
        <v>9.090909090909105E-2</v>
      </c>
      <c r="I3" s="37" t="s">
        <v>257</v>
      </c>
      <c r="J3" s="37" t="s">
        <v>190</v>
      </c>
      <c r="M3">
        <f>3600/220</f>
        <v>16.363636363636363</v>
      </c>
    </row>
    <row r="4" spans="1:13">
      <c r="A4" s="159">
        <f>$A$2*B4*(1+E4)/$B$2</f>
        <v>605.45454545454538</v>
      </c>
      <c r="B4" s="37">
        <v>9.99</v>
      </c>
      <c r="C4" s="119">
        <f t="shared" si="0"/>
        <v>1.6500000000000001E-2</v>
      </c>
      <c r="D4" s="119">
        <f t="shared" si="1"/>
        <v>60.606060606060595</v>
      </c>
      <c r="E4" s="107">
        <v>0.2</v>
      </c>
      <c r="F4" s="125">
        <f t="shared" si="2"/>
        <v>0.16666666666666652</v>
      </c>
      <c r="I4" s="407" t="s">
        <v>250</v>
      </c>
      <c r="J4" s="407"/>
      <c r="M4">
        <f>2400/145</f>
        <v>16.551724137931036</v>
      </c>
    </row>
    <row r="5" spans="1:13">
      <c r="A5" s="159">
        <f>$A$2*B5*(1+E5)/$B$2</f>
        <v>1342.7626262626261</v>
      </c>
      <c r="B5" s="37">
        <v>19.989999999999998</v>
      </c>
      <c r="C5" s="119">
        <f t="shared" si="0"/>
        <v>1.4887218045112782E-2</v>
      </c>
      <c r="D5" s="119">
        <f t="shared" si="1"/>
        <v>67.171717171717162</v>
      </c>
      <c r="E5" s="107">
        <v>0.33</v>
      </c>
      <c r="F5" s="125">
        <f t="shared" si="2"/>
        <v>0.24812030075187963</v>
      </c>
      <c r="I5" s="37" t="s">
        <v>251</v>
      </c>
      <c r="J5" s="37" t="s">
        <v>261</v>
      </c>
      <c r="M5">
        <f>1200/66</f>
        <v>18.181818181818183</v>
      </c>
    </row>
    <row r="6" spans="1:13">
      <c r="A6" s="159">
        <f>$A$2*B6*(1+E6)/$B$2</f>
        <v>3787.121212121212</v>
      </c>
      <c r="B6" s="37">
        <v>49.99</v>
      </c>
      <c r="C6" s="119">
        <f t="shared" si="0"/>
        <v>1.3200000000000002E-2</v>
      </c>
      <c r="D6" s="119">
        <f t="shared" si="1"/>
        <v>75.757575757575751</v>
      </c>
      <c r="E6" s="107">
        <v>0.5</v>
      </c>
      <c r="F6" s="125">
        <f t="shared" si="2"/>
        <v>0.33333333333333315</v>
      </c>
      <c r="I6" s="37" t="s">
        <v>252</v>
      </c>
      <c r="J6" s="37" t="s">
        <v>260</v>
      </c>
      <c r="M6">
        <f>600/31</f>
        <v>19.35483870967742</v>
      </c>
    </row>
    <row r="7" spans="1:13" ht="16" thickBot="1">
      <c r="A7" s="124">
        <f>$A$2*B7*(1+E7)/$B$2</f>
        <v>10100</v>
      </c>
      <c r="B7" s="39">
        <v>99.99</v>
      </c>
      <c r="C7" s="121">
        <f t="shared" si="0"/>
        <v>9.8999999999999991E-3</v>
      </c>
      <c r="D7" s="121">
        <f t="shared" si="1"/>
        <v>101.01010101010101</v>
      </c>
      <c r="E7" s="108">
        <v>1</v>
      </c>
      <c r="F7" s="126">
        <f t="shared" si="2"/>
        <v>0.5</v>
      </c>
      <c r="I7" s="37" t="s">
        <v>258</v>
      </c>
      <c r="J7" s="37" t="s">
        <v>259</v>
      </c>
      <c r="M7">
        <f>200/8</f>
        <v>25</v>
      </c>
    </row>
    <row r="8" spans="1:13" ht="16" thickBot="1">
      <c r="C8" s="109"/>
      <c r="D8" s="109"/>
      <c r="I8" s="37" t="s">
        <v>264</v>
      </c>
      <c r="J8" s="37" t="s">
        <v>265</v>
      </c>
    </row>
    <row r="9" spans="1:13">
      <c r="A9" s="161" t="s">
        <v>121</v>
      </c>
      <c r="B9" s="162" t="s">
        <v>122</v>
      </c>
      <c r="C9" s="163" t="s">
        <v>124</v>
      </c>
      <c r="D9" s="163" t="s">
        <v>241</v>
      </c>
      <c r="E9" s="162" t="s">
        <v>123</v>
      </c>
      <c r="F9" s="164" t="s">
        <v>125</v>
      </c>
      <c r="G9" s="165"/>
      <c r="I9" s="37" t="s">
        <v>253</v>
      </c>
      <c r="J9" s="37" t="s">
        <v>254</v>
      </c>
    </row>
    <row r="10" spans="1:13">
      <c r="A10" s="36">
        <v>50</v>
      </c>
      <c r="B10" s="37">
        <v>0.99</v>
      </c>
      <c r="C10" s="119">
        <f>B10/A10</f>
        <v>1.9799999999999998E-2</v>
      </c>
      <c r="D10" s="119">
        <f t="shared" ref="D10:D15" si="3">A10/B10</f>
        <v>50.505050505050505</v>
      </c>
      <c r="E10" s="120">
        <f t="shared" ref="E10:E17" si="4">C$10/C10-1</f>
        <v>0</v>
      </c>
      <c r="F10" s="120">
        <f t="shared" ref="F10:F17" si="5">1-C10/C$10</f>
        <v>0</v>
      </c>
      <c r="G10" s="35"/>
      <c r="I10" s="37" t="s">
        <v>262</v>
      </c>
      <c r="J10" s="37" t="s">
        <v>263</v>
      </c>
    </row>
    <row r="11" spans="1:13">
      <c r="A11" s="36">
        <v>275</v>
      </c>
      <c r="B11" s="37">
        <v>4.99</v>
      </c>
      <c r="C11" s="119">
        <f t="shared" ref="C11:C16" si="6">B11/A11</f>
        <v>1.8145454545454548E-2</v>
      </c>
      <c r="D11" s="119">
        <f t="shared" si="3"/>
        <v>55.110220440881761</v>
      </c>
      <c r="E11" s="120">
        <f t="shared" si="4"/>
        <v>9.1182364729458731E-2</v>
      </c>
      <c r="F11" s="120">
        <f t="shared" si="5"/>
        <v>8.3562901744719698E-2</v>
      </c>
      <c r="G11" s="35"/>
    </row>
    <row r="12" spans="1:13">
      <c r="A12" s="36">
        <v>600</v>
      </c>
      <c r="B12" s="37">
        <v>9.99</v>
      </c>
      <c r="C12" s="119">
        <f t="shared" si="6"/>
        <v>1.6650000000000002E-2</v>
      </c>
      <c r="D12" s="119">
        <f t="shared" si="3"/>
        <v>60.06006006006006</v>
      </c>
      <c r="E12" s="120">
        <f t="shared" si="4"/>
        <v>0.18918918918918903</v>
      </c>
      <c r="F12" s="120">
        <f t="shared" si="5"/>
        <v>0.15909090909090895</v>
      </c>
      <c r="G12" s="35"/>
    </row>
    <row r="13" spans="1:13">
      <c r="A13" s="36">
        <v>1350</v>
      </c>
      <c r="B13" s="37">
        <v>19.989999999999998</v>
      </c>
      <c r="C13" s="119">
        <f t="shared" si="6"/>
        <v>1.4807407407407406E-2</v>
      </c>
      <c r="D13" s="119">
        <f t="shared" si="3"/>
        <v>67.533766883441729</v>
      </c>
      <c r="E13" s="120">
        <f t="shared" si="4"/>
        <v>0.33716858429214613</v>
      </c>
      <c r="F13" s="120">
        <f t="shared" si="5"/>
        <v>0.25215114104002989</v>
      </c>
      <c r="G13" s="35"/>
    </row>
    <row r="14" spans="1:13">
      <c r="A14" s="36">
        <v>3800</v>
      </c>
      <c r="B14" s="37">
        <v>49.99</v>
      </c>
      <c r="C14" s="119">
        <f t="shared" si="6"/>
        <v>1.3155263157894738E-2</v>
      </c>
      <c r="D14" s="119">
        <f t="shared" si="3"/>
        <v>76.015203040608114</v>
      </c>
      <c r="E14" s="120">
        <f t="shared" si="4"/>
        <v>0.50510102020404068</v>
      </c>
      <c r="F14" s="120">
        <f t="shared" si="5"/>
        <v>0.335592769803296</v>
      </c>
      <c r="G14" s="35"/>
    </row>
    <row r="15" spans="1:13" ht="16" thickBot="1">
      <c r="A15" s="38">
        <v>10000</v>
      </c>
      <c r="B15" s="39">
        <v>99.99</v>
      </c>
      <c r="C15" s="121">
        <f t="shared" si="6"/>
        <v>9.9989999999999992E-3</v>
      </c>
      <c r="D15" s="121">
        <f t="shared" si="3"/>
        <v>100.01000100010002</v>
      </c>
      <c r="E15" s="122">
        <f t="shared" si="4"/>
        <v>0.98019801980198018</v>
      </c>
      <c r="F15" s="123">
        <f t="shared" si="5"/>
        <v>0.495</v>
      </c>
      <c r="G15" s="211" t="s">
        <v>242</v>
      </c>
    </row>
    <row r="16" spans="1:13">
      <c r="A16">
        <f>SUM(A10:A15)</f>
        <v>16075</v>
      </c>
      <c r="B16">
        <f>SUM(B10:B15)</f>
        <v>185.94</v>
      </c>
      <c r="C16" s="112">
        <f t="shared" si="6"/>
        <v>1.1567029548989114E-2</v>
      </c>
      <c r="D16" s="112"/>
      <c r="E16" s="113">
        <f t="shared" si="4"/>
        <v>0.71176185866408503</v>
      </c>
      <c r="F16" s="111">
        <f t="shared" si="5"/>
        <v>0.41580658843489315</v>
      </c>
      <c r="G16" s="110" t="s">
        <v>126</v>
      </c>
    </row>
    <row r="17" spans="1:7">
      <c r="C17" s="114">
        <f>SUM(C10:C15)/6</f>
        <v>1.5426187518459448E-2</v>
      </c>
      <c r="D17" s="114"/>
      <c r="E17" s="115">
        <f t="shared" si="4"/>
        <v>0.28353165526522428</v>
      </c>
      <c r="F17" s="116">
        <f t="shared" si="5"/>
        <v>0.22089962027982579</v>
      </c>
      <c r="G17" s="117" t="s">
        <v>127</v>
      </c>
    </row>
    <row r="18" spans="1:7" ht="16" thickBot="1"/>
    <row r="19" spans="1:7">
      <c r="A19" s="370" t="s">
        <v>153</v>
      </c>
      <c r="B19" s="371"/>
      <c r="D19" s="376" t="s">
        <v>186</v>
      </c>
      <c r="E19" s="376"/>
    </row>
    <row r="20" spans="1:7">
      <c r="A20" s="36" t="s">
        <v>133</v>
      </c>
      <c r="B20" s="35">
        <v>25</v>
      </c>
      <c r="D20" s="37" t="s">
        <v>203</v>
      </c>
      <c r="E20" s="171">
        <v>0</v>
      </c>
    </row>
    <row r="21" spans="1:7">
      <c r="A21" s="36" t="s">
        <v>151</v>
      </c>
      <c r="B21" s="35">
        <v>890</v>
      </c>
      <c r="D21" s="37" t="s">
        <v>204</v>
      </c>
      <c r="E21" s="171">
        <v>0.1</v>
      </c>
    </row>
    <row r="22" spans="1:7">
      <c r="A22" s="36" t="s">
        <v>132</v>
      </c>
      <c r="B22" s="35">
        <v>100</v>
      </c>
      <c r="D22" s="37" t="s">
        <v>205</v>
      </c>
      <c r="E22" s="171">
        <v>0.15</v>
      </c>
    </row>
    <row r="23" spans="1:7">
      <c r="A23" s="36" t="s">
        <v>121</v>
      </c>
      <c r="B23" s="35">
        <f>ROUNDDOWN((B22*B20)*0.25/250,0)</f>
        <v>2</v>
      </c>
      <c r="D23" s="37" t="s">
        <v>206</v>
      </c>
      <c r="E23" s="171">
        <v>0.2</v>
      </c>
    </row>
    <row r="24" spans="1:7">
      <c r="A24" s="36" t="s">
        <v>130</v>
      </c>
      <c r="B24" s="35">
        <f>ROUNDDOWN((B22*B20)*0.25/1,0)</f>
        <v>625</v>
      </c>
      <c r="E24" s="158"/>
    </row>
    <row r="25" spans="1:7" ht="16" thickBot="1">
      <c r="A25" s="38" t="s">
        <v>152</v>
      </c>
      <c r="B25" s="40">
        <f>B21*B22*1.25</f>
        <v>111250</v>
      </c>
      <c r="D25" t="s">
        <v>240</v>
      </c>
      <c r="E25" s="206">
        <v>100</v>
      </c>
    </row>
    <row r="26" spans="1:7" ht="16" thickBot="1"/>
    <row r="27" spans="1:7">
      <c r="A27" s="161" t="s">
        <v>152</v>
      </c>
      <c r="B27" s="162" t="s">
        <v>122</v>
      </c>
      <c r="C27" s="163" t="s">
        <v>124</v>
      </c>
      <c r="D27" s="163" t="s">
        <v>241</v>
      </c>
      <c r="E27" s="162" t="s">
        <v>123</v>
      </c>
      <c r="F27" s="164" t="s">
        <v>125</v>
      </c>
      <c r="G27" s="165"/>
    </row>
    <row r="28" spans="1:7" ht="15" customHeight="1">
      <c r="A28" s="78">
        <f t="shared" ref="A28:A33" si="7">A10*$E$25</f>
        <v>5000</v>
      </c>
      <c r="B28" s="37">
        <v>0.99</v>
      </c>
      <c r="C28" s="207">
        <f>B28/A28</f>
        <v>1.9799999999999999E-4</v>
      </c>
      <c r="D28" s="119">
        <f t="shared" ref="D28:D33" si="8">A28/B28</f>
        <v>5050.5050505050503</v>
      </c>
      <c r="E28" s="120">
        <f t="shared" ref="E28:E33" si="9">C$28/C28-1</f>
        <v>0</v>
      </c>
      <c r="F28" s="120">
        <f t="shared" ref="F28:F33" si="10">1-C28/C$28</f>
        <v>0</v>
      </c>
      <c r="G28" s="35"/>
    </row>
    <row r="29" spans="1:7">
      <c r="A29" s="78">
        <f t="shared" si="7"/>
        <v>27500</v>
      </c>
      <c r="B29" s="37">
        <v>4.99</v>
      </c>
      <c r="C29" s="207">
        <f t="shared" ref="C29:C34" si="11">B29/A29</f>
        <v>1.8145454545454546E-4</v>
      </c>
      <c r="D29" s="119">
        <f t="shared" si="8"/>
        <v>5511.0220440881758</v>
      </c>
      <c r="E29" s="120">
        <f t="shared" si="9"/>
        <v>9.1182364729458731E-2</v>
      </c>
      <c r="F29" s="120">
        <f t="shared" si="10"/>
        <v>8.3562901744719809E-2</v>
      </c>
      <c r="G29" s="35"/>
    </row>
    <row r="30" spans="1:7">
      <c r="A30" s="78">
        <f t="shared" si="7"/>
        <v>60000</v>
      </c>
      <c r="B30" s="37">
        <v>9.99</v>
      </c>
      <c r="C30" s="207">
        <f t="shared" si="11"/>
        <v>1.6650000000000001E-4</v>
      </c>
      <c r="D30" s="119">
        <f t="shared" si="8"/>
        <v>6006.0060060060059</v>
      </c>
      <c r="E30" s="120">
        <f t="shared" si="9"/>
        <v>0.18918918918918903</v>
      </c>
      <c r="F30" s="120">
        <f t="shared" si="10"/>
        <v>0.15909090909090895</v>
      </c>
      <c r="G30" s="35"/>
    </row>
    <row r="31" spans="1:7">
      <c r="A31" s="78">
        <f t="shared" si="7"/>
        <v>135000</v>
      </c>
      <c r="B31" s="37">
        <v>19.989999999999998</v>
      </c>
      <c r="C31" s="207">
        <f t="shared" si="11"/>
        <v>1.4807407407407407E-4</v>
      </c>
      <c r="D31" s="119">
        <f t="shared" si="8"/>
        <v>6753.3766883441722</v>
      </c>
      <c r="E31" s="120">
        <f t="shared" si="9"/>
        <v>0.33716858429214613</v>
      </c>
      <c r="F31" s="120">
        <f t="shared" si="10"/>
        <v>0.25215114104002989</v>
      </c>
      <c r="G31" s="35"/>
    </row>
    <row r="32" spans="1:7">
      <c r="A32" s="78">
        <f t="shared" si="7"/>
        <v>380000</v>
      </c>
      <c r="B32" s="37">
        <v>49.99</v>
      </c>
      <c r="C32" s="207">
        <f t="shared" si="11"/>
        <v>1.3155263157894737E-4</v>
      </c>
      <c r="D32" s="119">
        <f t="shared" si="8"/>
        <v>7601.5203040608121</v>
      </c>
      <c r="E32" s="120">
        <f t="shared" si="9"/>
        <v>0.50510102020404068</v>
      </c>
      <c r="F32" s="120">
        <f t="shared" si="10"/>
        <v>0.335592769803296</v>
      </c>
      <c r="G32" s="35"/>
    </row>
    <row r="33" spans="1:8" ht="16" thickBot="1">
      <c r="A33" s="124">
        <f t="shared" si="7"/>
        <v>1000000</v>
      </c>
      <c r="B33" s="39">
        <v>99</v>
      </c>
      <c r="C33" s="208">
        <f t="shared" si="11"/>
        <v>9.8999999999999994E-5</v>
      </c>
      <c r="D33" s="121">
        <f t="shared" si="8"/>
        <v>10101.010101010101</v>
      </c>
      <c r="E33" s="122">
        <f t="shared" si="9"/>
        <v>1</v>
      </c>
      <c r="F33" s="123">
        <f t="shared" si="10"/>
        <v>0.5</v>
      </c>
      <c r="G33" s="211" t="s">
        <v>242</v>
      </c>
    </row>
    <row r="34" spans="1:8">
      <c r="A34">
        <f>SUM(A28:A33)</f>
        <v>1607500</v>
      </c>
      <c r="B34">
        <f>SUM(B28:B33)</f>
        <v>184.95</v>
      </c>
      <c r="C34" s="209">
        <f t="shared" si="11"/>
        <v>1.1505443234836703E-4</v>
      </c>
      <c r="D34" s="112"/>
      <c r="E34" s="113">
        <f>C$10/C34-1</f>
        <v>171.09245742092457</v>
      </c>
      <c r="F34" s="111">
        <f>1-C34/C$10</f>
        <v>0.99418917008341579</v>
      </c>
      <c r="G34" s="110" t="s">
        <v>126</v>
      </c>
    </row>
    <row r="35" spans="1:8">
      <c r="C35" s="210">
        <f>SUM(C28:C33)/6</f>
        <v>1.540968751845945E-4</v>
      </c>
      <c r="D35" s="114"/>
      <c r="E35" s="115">
        <f>C$10/C35-1</f>
        <v>127.49060032061871</v>
      </c>
      <c r="F35" s="116">
        <f>1-C35/C$10</f>
        <v>0.99221732953613162</v>
      </c>
      <c r="G35" s="117" t="s">
        <v>127</v>
      </c>
    </row>
    <row r="36" spans="1:8" ht="15" customHeight="1" thickBot="1"/>
    <row r="37" spans="1:8">
      <c r="A37" s="408" t="s">
        <v>284</v>
      </c>
      <c r="B37" s="409"/>
      <c r="C37" s="409"/>
      <c r="D37" s="409"/>
      <c r="E37" s="409"/>
      <c r="F37" s="409"/>
      <c r="G37" s="410"/>
      <c r="H37" s="225"/>
    </row>
    <row r="38" spans="1:8" ht="16" thickBot="1">
      <c r="A38" s="229" t="s">
        <v>285</v>
      </c>
      <c r="B38" s="227">
        <v>50</v>
      </c>
      <c r="C38" s="39">
        <v>275</v>
      </c>
      <c r="D38" s="39">
        <v>600</v>
      </c>
      <c r="E38" s="39">
        <v>1350</v>
      </c>
      <c r="F38" s="39">
        <v>3800</v>
      </c>
      <c r="G38" s="40">
        <v>10000</v>
      </c>
    </row>
    <row r="39" spans="1:8">
      <c r="A39" s="228">
        <v>1</v>
      </c>
      <c r="B39" s="44">
        <f>ROUNDDOWN(50*(1+A39/100)/2,0)*2*B$38</f>
        <v>2500</v>
      </c>
      <c r="C39" s="45">
        <f>$B39/$B$38*C$38</f>
        <v>13750</v>
      </c>
      <c r="D39" s="45">
        <f t="shared" ref="D39:G54" si="12">$B39/$B$38*D$38</f>
        <v>30000</v>
      </c>
      <c r="E39" s="45">
        <f t="shared" si="12"/>
        <v>67500</v>
      </c>
      <c r="F39" s="45">
        <f t="shared" si="12"/>
        <v>190000</v>
      </c>
      <c r="G39" s="47">
        <f t="shared" si="12"/>
        <v>500000</v>
      </c>
    </row>
    <row r="40" spans="1:8">
      <c r="A40" s="16">
        <v>2</v>
      </c>
      <c r="B40" s="36">
        <f t="shared" ref="B40:B103" si="13">ROUNDDOWN(50*(1+A40/100)/2,0)*2*B$38</f>
        <v>2500</v>
      </c>
      <c r="C40" s="37">
        <f t="shared" ref="C40:G71" si="14">$B40/$B$38*C$38</f>
        <v>13750</v>
      </c>
      <c r="D40" s="37">
        <f t="shared" si="12"/>
        <v>30000</v>
      </c>
      <c r="E40" s="37">
        <f t="shared" si="12"/>
        <v>67500</v>
      </c>
      <c r="F40" s="37">
        <f t="shared" si="12"/>
        <v>190000</v>
      </c>
      <c r="G40" s="35">
        <f t="shared" si="12"/>
        <v>500000</v>
      </c>
    </row>
    <row r="41" spans="1:8">
      <c r="A41" s="16">
        <v>3</v>
      </c>
      <c r="B41" s="36">
        <f t="shared" si="13"/>
        <v>2500</v>
      </c>
      <c r="C41" s="37">
        <f t="shared" si="14"/>
        <v>13750</v>
      </c>
      <c r="D41" s="37">
        <f t="shared" si="12"/>
        <v>30000</v>
      </c>
      <c r="E41" s="37">
        <f t="shared" si="12"/>
        <v>67500</v>
      </c>
      <c r="F41" s="37">
        <f t="shared" si="12"/>
        <v>190000</v>
      </c>
      <c r="G41" s="35">
        <f t="shared" si="12"/>
        <v>500000</v>
      </c>
    </row>
    <row r="42" spans="1:8">
      <c r="A42" s="16">
        <v>4</v>
      </c>
      <c r="B42" s="36">
        <f t="shared" si="13"/>
        <v>2600</v>
      </c>
      <c r="C42" s="37">
        <f t="shared" si="14"/>
        <v>14300</v>
      </c>
      <c r="D42" s="37">
        <f t="shared" si="12"/>
        <v>31200</v>
      </c>
      <c r="E42" s="37">
        <f t="shared" si="12"/>
        <v>70200</v>
      </c>
      <c r="F42" s="37">
        <f t="shared" si="12"/>
        <v>197600</v>
      </c>
      <c r="G42" s="35">
        <f t="shared" si="12"/>
        <v>520000</v>
      </c>
    </row>
    <row r="43" spans="1:8">
      <c r="A43" s="16">
        <v>5</v>
      </c>
      <c r="B43" s="36">
        <f t="shared" si="13"/>
        <v>2600</v>
      </c>
      <c r="C43" s="37">
        <f t="shared" si="14"/>
        <v>14300</v>
      </c>
      <c r="D43" s="37">
        <f t="shared" si="12"/>
        <v>31200</v>
      </c>
      <c r="E43" s="37">
        <f t="shared" si="12"/>
        <v>70200</v>
      </c>
      <c r="F43" s="37">
        <f t="shared" si="12"/>
        <v>197600</v>
      </c>
      <c r="G43" s="35">
        <f t="shared" si="12"/>
        <v>520000</v>
      </c>
    </row>
    <row r="44" spans="1:8" ht="15" customHeight="1">
      <c r="A44" s="16">
        <v>6</v>
      </c>
      <c r="B44" s="36">
        <f t="shared" si="13"/>
        <v>2600</v>
      </c>
      <c r="C44" s="37">
        <f t="shared" si="14"/>
        <v>14300</v>
      </c>
      <c r="D44" s="37">
        <f t="shared" si="12"/>
        <v>31200</v>
      </c>
      <c r="E44" s="37">
        <f t="shared" si="12"/>
        <v>70200</v>
      </c>
      <c r="F44" s="37">
        <f t="shared" si="12"/>
        <v>197600</v>
      </c>
      <c r="G44" s="35">
        <f t="shared" si="12"/>
        <v>520000</v>
      </c>
    </row>
    <row r="45" spans="1:8">
      <c r="A45" s="16">
        <v>7</v>
      </c>
      <c r="B45" s="36">
        <f t="shared" si="13"/>
        <v>2600</v>
      </c>
      <c r="C45" s="37">
        <f t="shared" si="14"/>
        <v>14300</v>
      </c>
      <c r="D45" s="37">
        <f t="shared" si="12"/>
        <v>31200</v>
      </c>
      <c r="E45" s="37">
        <f t="shared" si="12"/>
        <v>70200</v>
      </c>
      <c r="F45" s="37">
        <f t="shared" si="12"/>
        <v>197600</v>
      </c>
      <c r="G45" s="35">
        <f t="shared" si="12"/>
        <v>520000</v>
      </c>
    </row>
    <row r="46" spans="1:8">
      <c r="A46" s="16">
        <v>8</v>
      </c>
      <c r="B46" s="36">
        <f t="shared" si="13"/>
        <v>2700</v>
      </c>
      <c r="C46" s="37">
        <f t="shared" si="14"/>
        <v>14850</v>
      </c>
      <c r="D46" s="37">
        <f t="shared" si="12"/>
        <v>32400</v>
      </c>
      <c r="E46" s="37">
        <f t="shared" si="12"/>
        <v>72900</v>
      </c>
      <c r="F46" s="37">
        <f t="shared" si="12"/>
        <v>205200</v>
      </c>
      <c r="G46" s="35">
        <f t="shared" si="12"/>
        <v>540000</v>
      </c>
    </row>
    <row r="47" spans="1:8">
      <c r="A47" s="16">
        <v>9</v>
      </c>
      <c r="B47" s="36">
        <f t="shared" si="13"/>
        <v>2700</v>
      </c>
      <c r="C47" s="37">
        <f t="shared" si="14"/>
        <v>14850</v>
      </c>
      <c r="D47" s="37">
        <f t="shared" si="12"/>
        <v>32400</v>
      </c>
      <c r="E47" s="37">
        <f t="shared" si="12"/>
        <v>72900</v>
      </c>
      <c r="F47" s="37">
        <f t="shared" si="12"/>
        <v>205200</v>
      </c>
      <c r="G47" s="35">
        <f t="shared" si="12"/>
        <v>540000</v>
      </c>
    </row>
    <row r="48" spans="1:8">
      <c r="A48" s="16">
        <v>10</v>
      </c>
      <c r="B48" s="36">
        <f t="shared" si="13"/>
        <v>2700</v>
      </c>
      <c r="C48" s="37">
        <f t="shared" si="14"/>
        <v>14850</v>
      </c>
      <c r="D48" s="37">
        <f t="shared" si="12"/>
        <v>32400</v>
      </c>
      <c r="E48" s="37">
        <f t="shared" si="12"/>
        <v>72900</v>
      </c>
      <c r="F48" s="37">
        <f t="shared" si="12"/>
        <v>205200</v>
      </c>
      <c r="G48" s="35">
        <f t="shared" si="12"/>
        <v>540000</v>
      </c>
    </row>
    <row r="49" spans="1:7">
      <c r="A49" s="16">
        <v>11</v>
      </c>
      <c r="B49" s="36">
        <f t="shared" si="13"/>
        <v>2700</v>
      </c>
      <c r="C49" s="37">
        <f t="shared" si="14"/>
        <v>14850</v>
      </c>
      <c r="D49" s="37">
        <f t="shared" si="12"/>
        <v>32400</v>
      </c>
      <c r="E49" s="37">
        <f t="shared" si="12"/>
        <v>72900</v>
      </c>
      <c r="F49" s="37">
        <f t="shared" si="12"/>
        <v>205200</v>
      </c>
      <c r="G49" s="35">
        <f t="shared" si="12"/>
        <v>540000</v>
      </c>
    </row>
    <row r="50" spans="1:7">
      <c r="A50" s="16">
        <v>12</v>
      </c>
      <c r="B50" s="36">
        <f t="shared" si="13"/>
        <v>2800</v>
      </c>
      <c r="C50" s="37">
        <f t="shared" si="14"/>
        <v>15400</v>
      </c>
      <c r="D50" s="37">
        <f t="shared" si="12"/>
        <v>33600</v>
      </c>
      <c r="E50" s="37">
        <f t="shared" si="12"/>
        <v>75600</v>
      </c>
      <c r="F50" s="37">
        <f t="shared" si="12"/>
        <v>212800</v>
      </c>
      <c r="G50" s="35">
        <f t="shared" si="12"/>
        <v>560000</v>
      </c>
    </row>
    <row r="51" spans="1:7">
      <c r="A51" s="16">
        <v>13</v>
      </c>
      <c r="B51" s="36">
        <f t="shared" si="13"/>
        <v>2800</v>
      </c>
      <c r="C51" s="37">
        <f t="shared" si="14"/>
        <v>15400</v>
      </c>
      <c r="D51" s="37">
        <f t="shared" si="12"/>
        <v>33600</v>
      </c>
      <c r="E51" s="37">
        <f t="shared" si="12"/>
        <v>75600</v>
      </c>
      <c r="F51" s="37">
        <f t="shared" si="12"/>
        <v>212800</v>
      </c>
      <c r="G51" s="35">
        <f t="shared" si="12"/>
        <v>560000</v>
      </c>
    </row>
    <row r="52" spans="1:7" ht="15" customHeight="1">
      <c r="A52" s="16">
        <v>14</v>
      </c>
      <c r="B52" s="36">
        <f t="shared" si="13"/>
        <v>2800</v>
      </c>
      <c r="C52" s="37">
        <f t="shared" si="14"/>
        <v>15400</v>
      </c>
      <c r="D52" s="37">
        <f t="shared" si="12"/>
        <v>33600</v>
      </c>
      <c r="E52" s="37">
        <f t="shared" si="12"/>
        <v>75600</v>
      </c>
      <c r="F52" s="37">
        <f t="shared" si="12"/>
        <v>212800</v>
      </c>
      <c r="G52" s="35">
        <f t="shared" si="12"/>
        <v>560000</v>
      </c>
    </row>
    <row r="53" spans="1:7">
      <c r="A53" s="16">
        <v>15</v>
      </c>
      <c r="B53" s="36">
        <f t="shared" si="13"/>
        <v>2800</v>
      </c>
      <c r="C53" s="37">
        <f t="shared" si="14"/>
        <v>15400</v>
      </c>
      <c r="D53" s="37">
        <f t="shared" si="12"/>
        <v>33600</v>
      </c>
      <c r="E53" s="37">
        <f t="shared" si="12"/>
        <v>75600</v>
      </c>
      <c r="F53" s="37">
        <f t="shared" si="12"/>
        <v>212800</v>
      </c>
      <c r="G53" s="35">
        <f t="shared" si="12"/>
        <v>560000</v>
      </c>
    </row>
    <row r="54" spans="1:7">
      <c r="A54" s="16">
        <v>16</v>
      </c>
      <c r="B54" s="36">
        <f t="shared" si="13"/>
        <v>2900</v>
      </c>
      <c r="C54" s="37">
        <f t="shared" si="14"/>
        <v>15950</v>
      </c>
      <c r="D54" s="37">
        <f t="shared" si="12"/>
        <v>34800</v>
      </c>
      <c r="E54" s="37">
        <f t="shared" si="12"/>
        <v>78300</v>
      </c>
      <c r="F54" s="37">
        <f t="shared" si="12"/>
        <v>220400</v>
      </c>
      <c r="G54" s="35">
        <f t="shared" si="12"/>
        <v>580000</v>
      </c>
    </row>
    <row r="55" spans="1:7">
      <c r="A55" s="16">
        <v>17</v>
      </c>
      <c r="B55" s="36">
        <f t="shared" si="13"/>
        <v>2900</v>
      </c>
      <c r="C55" s="37">
        <f t="shared" si="14"/>
        <v>15950</v>
      </c>
      <c r="D55" s="37">
        <f t="shared" si="14"/>
        <v>34800</v>
      </c>
      <c r="E55" s="37">
        <f t="shared" si="14"/>
        <v>78300</v>
      </c>
      <c r="F55" s="37">
        <f t="shared" si="14"/>
        <v>220400</v>
      </c>
      <c r="G55" s="35">
        <f t="shared" si="14"/>
        <v>580000</v>
      </c>
    </row>
    <row r="56" spans="1:7">
      <c r="A56" s="16">
        <v>18</v>
      </c>
      <c r="B56" s="36">
        <f t="shared" si="13"/>
        <v>2900</v>
      </c>
      <c r="C56" s="37">
        <f t="shared" si="14"/>
        <v>15950</v>
      </c>
      <c r="D56" s="37">
        <f t="shared" si="14"/>
        <v>34800</v>
      </c>
      <c r="E56" s="37">
        <f t="shared" si="14"/>
        <v>78300</v>
      </c>
      <c r="F56" s="37">
        <f t="shared" si="14"/>
        <v>220400</v>
      </c>
      <c r="G56" s="35">
        <f t="shared" si="14"/>
        <v>580000</v>
      </c>
    </row>
    <row r="57" spans="1:7">
      <c r="A57" s="16">
        <v>19</v>
      </c>
      <c r="B57" s="36">
        <f t="shared" si="13"/>
        <v>2900</v>
      </c>
      <c r="C57" s="37">
        <f t="shared" si="14"/>
        <v>15950</v>
      </c>
      <c r="D57" s="37">
        <f t="shared" si="14"/>
        <v>34800</v>
      </c>
      <c r="E57" s="37">
        <f t="shared" si="14"/>
        <v>78300</v>
      </c>
      <c r="F57" s="37">
        <f t="shared" si="14"/>
        <v>220400</v>
      </c>
      <c r="G57" s="35">
        <f t="shared" si="14"/>
        <v>580000</v>
      </c>
    </row>
    <row r="58" spans="1:7">
      <c r="A58" s="16">
        <v>20</v>
      </c>
      <c r="B58" s="36">
        <f t="shared" si="13"/>
        <v>3000</v>
      </c>
      <c r="C58" s="37">
        <f t="shared" si="14"/>
        <v>16500</v>
      </c>
      <c r="D58" s="37">
        <f t="shared" si="14"/>
        <v>36000</v>
      </c>
      <c r="E58" s="37">
        <f t="shared" si="14"/>
        <v>81000</v>
      </c>
      <c r="F58" s="37">
        <f t="shared" si="14"/>
        <v>228000</v>
      </c>
      <c r="G58" s="35">
        <f t="shared" si="14"/>
        <v>600000</v>
      </c>
    </row>
    <row r="59" spans="1:7">
      <c r="A59" s="16">
        <v>21</v>
      </c>
      <c r="B59" s="36">
        <f t="shared" si="13"/>
        <v>3000</v>
      </c>
      <c r="C59" s="37">
        <f t="shared" si="14"/>
        <v>16500</v>
      </c>
      <c r="D59" s="37">
        <f t="shared" si="14"/>
        <v>36000</v>
      </c>
      <c r="E59" s="37">
        <f t="shared" si="14"/>
        <v>81000</v>
      </c>
      <c r="F59" s="37">
        <f t="shared" si="14"/>
        <v>228000</v>
      </c>
      <c r="G59" s="35">
        <f t="shared" si="14"/>
        <v>600000</v>
      </c>
    </row>
    <row r="60" spans="1:7" ht="15" customHeight="1">
      <c r="A60" s="16">
        <v>22</v>
      </c>
      <c r="B60" s="36">
        <f t="shared" si="13"/>
        <v>3000</v>
      </c>
      <c r="C60" s="37">
        <f t="shared" si="14"/>
        <v>16500</v>
      </c>
      <c r="D60" s="37">
        <f t="shared" si="14"/>
        <v>36000</v>
      </c>
      <c r="E60" s="37">
        <f t="shared" si="14"/>
        <v>81000</v>
      </c>
      <c r="F60" s="37">
        <f t="shared" si="14"/>
        <v>228000</v>
      </c>
      <c r="G60" s="35">
        <f t="shared" si="14"/>
        <v>600000</v>
      </c>
    </row>
    <row r="61" spans="1:7">
      <c r="A61" s="16">
        <v>23</v>
      </c>
      <c r="B61" s="36">
        <f t="shared" si="13"/>
        <v>3000</v>
      </c>
      <c r="C61" s="37">
        <f t="shared" si="14"/>
        <v>16500</v>
      </c>
      <c r="D61" s="37">
        <f t="shared" si="14"/>
        <v>36000</v>
      </c>
      <c r="E61" s="37">
        <f t="shared" si="14"/>
        <v>81000</v>
      </c>
      <c r="F61" s="37">
        <f t="shared" si="14"/>
        <v>228000</v>
      </c>
      <c r="G61" s="35">
        <f t="shared" si="14"/>
        <v>600000</v>
      </c>
    </row>
    <row r="62" spans="1:7">
      <c r="A62" s="16">
        <v>24</v>
      </c>
      <c r="B62" s="36">
        <f t="shared" si="13"/>
        <v>3100</v>
      </c>
      <c r="C62" s="37">
        <f t="shared" si="14"/>
        <v>17050</v>
      </c>
      <c r="D62" s="37">
        <f t="shared" si="14"/>
        <v>37200</v>
      </c>
      <c r="E62" s="37">
        <f t="shared" si="14"/>
        <v>83700</v>
      </c>
      <c r="F62" s="37">
        <f t="shared" si="14"/>
        <v>235600</v>
      </c>
      <c r="G62" s="35">
        <f t="shared" si="14"/>
        <v>620000</v>
      </c>
    </row>
    <row r="63" spans="1:7">
      <c r="A63" s="16">
        <v>25</v>
      </c>
      <c r="B63" s="36">
        <f t="shared" si="13"/>
        <v>3100</v>
      </c>
      <c r="C63" s="37">
        <f t="shared" si="14"/>
        <v>17050</v>
      </c>
      <c r="D63" s="37">
        <f t="shared" si="14"/>
        <v>37200</v>
      </c>
      <c r="E63" s="37">
        <f t="shared" si="14"/>
        <v>83700</v>
      </c>
      <c r="F63" s="37">
        <f t="shared" si="14"/>
        <v>235600</v>
      </c>
      <c r="G63" s="35">
        <f t="shared" si="14"/>
        <v>620000</v>
      </c>
    </row>
    <row r="64" spans="1:7">
      <c r="A64" s="16">
        <v>26</v>
      </c>
      <c r="B64" s="36">
        <f t="shared" si="13"/>
        <v>3100</v>
      </c>
      <c r="C64" s="37">
        <f t="shared" si="14"/>
        <v>17050</v>
      </c>
      <c r="D64" s="37">
        <f t="shared" si="14"/>
        <v>37200</v>
      </c>
      <c r="E64" s="37">
        <f t="shared" si="14"/>
        <v>83700</v>
      </c>
      <c r="F64" s="37">
        <f t="shared" si="14"/>
        <v>235600</v>
      </c>
      <c r="G64" s="35">
        <f t="shared" si="14"/>
        <v>620000</v>
      </c>
    </row>
    <row r="65" spans="1:7">
      <c r="A65" s="16">
        <v>27</v>
      </c>
      <c r="B65" s="36">
        <f t="shared" si="13"/>
        <v>3100</v>
      </c>
      <c r="C65" s="37">
        <f t="shared" si="14"/>
        <v>17050</v>
      </c>
      <c r="D65" s="37">
        <f t="shared" si="14"/>
        <v>37200</v>
      </c>
      <c r="E65" s="37">
        <f t="shared" si="14"/>
        <v>83700</v>
      </c>
      <c r="F65" s="37">
        <f t="shared" si="14"/>
        <v>235600</v>
      </c>
      <c r="G65" s="35">
        <f t="shared" si="14"/>
        <v>620000</v>
      </c>
    </row>
    <row r="66" spans="1:7">
      <c r="A66" s="16">
        <v>28</v>
      </c>
      <c r="B66" s="36">
        <f t="shared" si="13"/>
        <v>3200</v>
      </c>
      <c r="C66" s="37">
        <f t="shared" si="14"/>
        <v>17600</v>
      </c>
      <c r="D66" s="37">
        <f t="shared" si="14"/>
        <v>38400</v>
      </c>
      <c r="E66" s="37">
        <f t="shared" si="14"/>
        <v>86400</v>
      </c>
      <c r="F66" s="37">
        <f t="shared" si="14"/>
        <v>243200</v>
      </c>
      <c r="G66" s="35">
        <f t="shared" si="14"/>
        <v>640000</v>
      </c>
    </row>
    <row r="67" spans="1:7">
      <c r="A67" s="16">
        <v>29</v>
      </c>
      <c r="B67" s="36">
        <f t="shared" si="13"/>
        <v>3200</v>
      </c>
      <c r="C67" s="37">
        <f t="shared" si="14"/>
        <v>17600</v>
      </c>
      <c r="D67" s="37">
        <f t="shared" si="14"/>
        <v>38400</v>
      </c>
      <c r="E67" s="37">
        <f t="shared" si="14"/>
        <v>86400</v>
      </c>
      <c r="F67" s="37">
        <f t="shared" si="14"/>
        <v>243200</v>
      </c>
      <c r="G67" s="35">
        <f t="shared" si="14"/>
        <v>640000</v>
      </c>
    </row>
    <row r="68" spans="1:7" ht="15" customHeight="1">
      <c r="A68" s="16">
        <v>30</v>
      </c>
      <c r="B68" s="36">
        <f t="shared" si="13"/>
        <v>3200</v>
      </c>
      <c r="C68" s="37">
        <f t="shared" si="14"/>
        <v>17600</v>
      </c>
      <c r="D68" s="37">
        <f t="shared" si="14"/>
        <v>38400</v>
      </c>
      <c r="E68" s="37">
        <f t="shared" si="14"/>
        <v>86400</v>
      </c>
      <c r="F68" s="37">
        <f t="shared" si="14"/>
        <v>243200</v>
      </c>
      <c r="G68" s="35">
        <f t="shared" si="14"/>
        <v>640000</v>
      </c>
    </row>
    <row r="69" spans="1:7">
      <c r="A69" s="16">
        <v>31</v>
      </c>
      <c r="B69" s="36">
        <f t="shared" si="13"/>
        <v>3200</v>
      </c>
      <c r="C69" s="37">
        <f t="shared" si="14"/>
        <v>17600</v>
      </c>
      <c r="D69" s="37">
        <f t="shared" si="14"/>
        <v>38400</v>
      </c>
      <c r="E69" s="37">
        <f t="shared" si="14"/>
        <v>86400</v>
      </c>
      <c r="F69" s="37">
        <f t="shared" si="14"/>
        <v>243200</v>
      </c>
      <c r="G69" s="35">
        <f t="shared" si="14"/>
        <v>640000</v>
      </c>
    </row>
    <row r="70" spans="1:7">
      <c r="A70" s="16">
        <v>32</v>
      </c>
      <c r="B70" s="36">
        <f t="shared" si="13"/>
        <v>3300</v>
      </c>
      <c r="C70" s="37">
        <f t="shared" si="14"/>
        <v>18150</v>
      </c>
      <c r="D70" s="37">
        <f t="shared" si="14"/>
        <v>39600</v>
      </c>
      <c r="E70" s="37">
        <f t="shared" si="14"/>
        <v>89100</v>
      </c>
      <c r="F70" s="37">
        <f t="shared" si="14"/>
        <v>250800</v>
      </c>
      <c r="G70" s="35">
        <f t="shared" si="14"/>
        <v>660000</v>
      </c>
    </row>
    <row r="71" spans="1:7">
      <c r="A71" s="16">
        <v>33</v>
      </c>
      <c r="B71" s="36">
        <f t="shared" si="13"/>
        <v>3300</v>
      </c>
      <c r="C71" s="37">
        <f t="shared" si="14"/>
        <v>18150</v>
      </c>
      <c r="D71" s="37">
        <f t="shared" si="14"/>
        <v>39600</v>
      </c>
      <c r="E71" s="37">
        <f t="shared" si="14"/>
        <v>89100</v>
      </c>
      <c r="F71" s="37">
        <f t="shared" si="14"/>
        <v>250800</v>
      </c>
      <c r="G71" s="35">
        <f t="shared" si="14"/>
        <v>660000</v>
      </c>
    </row>
    <row r="72" spans="1:7">
      <c r="A72" s="16">
        <v>34</v>
      </c>
      <c r="B72" s="36">
        <f t="shared" si="13"/>
        <v>3300</v>
      </c>
      <c r="C72" s="37">
        <f t="shared" ref="C72:G103" si="15">$B72/$B$38*C$38</f>
        <v>18150</v>
      </c>
      <c r="D72" s="37">
        <f t="shared" si="15"/>
        <v>39600</v>
      </c>
      <c r="E72" s="37">
        <f t="shared" si="15"/>
        <v>89100</v>
      </c>
      <c r="F72" s="37">
        <f t="shared" si="15"/>
        <v>250800</v>
      </c>
      <c r="G72" s="35">
        <f t="shared" si="15"/>
        <v>660000</v>
      </c>
    </row>
    <row r="73" spans="1:7">
      <c r="A73" s="16">
        <v>35</v>
      </c>
      <c r="B73" s="36">
        <f t="shared" si="13"/>
        <v>3300</v>
      </c>
      <c r="C73" s="37">
        <f t="shared" si="15"/>
        <v>18150</v>
      </c>
      <c r="D73" s="37">
        <f t="shared" si="15"/>
        <v>39600</v>
      </c>
      <c r="E73" s="37">
        <f t="shared" si="15"/>
        <v>89100</v>
      </c>
      <c r="F73" s="37">
        <f t="shared" si="15"/>
        <v>250800</v>
      </c>
      <c r="G73" s="35">
        <f t="shared" si="15"/>
        <v>660000</v>
      </c>
    </row>
    <row r="74" spans="1:7">
      <c r="A74" s="16">
        <v>36</v>
      </c>
      <c r="B74" s="36">
        <f t="shared" si="13"/>
        <v>3400</v>
      </c>
      <c r="C74" s="37">
        <f t="shared" si="15"/>
        <v>18700</v>
      </c>
      <c r="D74" s="37">
        <f t="shared" si="15"/>
        <v>40800</v>
      </c>
      <c r="E74" s="37">
        <f t="shared" si="15"/>
        <v>91800</v>
      </c>
      <c r="F74" s="37">
        <f t="shared" si="15"/>
        <v>258400</v>
      </c>
      <c r="G74" s="35">
        <f t="shared" si="15"/>
        <v>680000</v>
      </c>
    </row>
    <row r="75" spans="1:7">
      <c r="A75" s="16">
        <v>37</v>
      </c>
      <c r="B75" s="36">
        <f t="shared" si="13"/>
        <v>3400</v>
      </c>
      <c r="C75" s="37">
        <f t="shared" si="15"/>
        <v>18700</v>
      </c>
      <c r="D75" s="37">
        <f t="shared" si="15"/>
        <v>40800</v>
      </c>
      <c r="E75" s="37">
        <f t="shared" si="15"/>
        <v>91800</v>
      </c>
      <c r="F75" s="37">
        <f t="shared" si="15"/>
        <v>258400</v>
      </c>
      <c r="G75" s="35">
        <f t="shared" si="15"/>
        <v>680000</v>
      </c>
    </row>
    <row r="76" spans="1:7" ht="15" customHeight="1">
      <c r="A76" s="16">
        <v>38</v>
      </c>
      <c r="B76" s="36">
        <f t="shared" si="13"/>
        <v>3400</v>
      </c>
      <c r="C76" s="37">
        <f t="shared" si="15"/>
        <v>18700</v>
      </c>
      <c r="D76" s="37">
        <f t="shared" si="15"/>
        <v>40800</v>
      </c>
      <c r="E76" s="37">
        <f t="shared" si="15"/>
        <v>91800</v>
      </c>
      <c r="F76" s="37">
        <f t="shared" si="15"/>
        <v>258400</v>
      </c>
      <c r="G76" s="35">
        <f t="shared" si="15"/>
        <v>680000</v>
      </c>
    </row>
    <row r="77" spans="1:7">
      <c r="A77" s="16">
        <v>39</v>
      </c>
      <c r="B77" s="36">
        <f t="shared" si="13"/>
        <v>3400</v>
      </c>
      <c r="C77" s="37">
        <f t="shared" si="15"/>
        <v>18700</v>
      </c>
      <c r="D77" s="37">
        <f t="shared" si="15"/>
        <v>40800</v>
      </c>
      <c r="E77" s="37">
        <f t="shared" si="15"/>
        <v>91800</v>
      </c>
      <c r="F77" s="37">
        <f t="shared" si="15"/>
        <v>258400</v>
      </c>
      <c r="G77" s="35">
        <f t="shared" si="15"/>
        <v>680000</v>
      </c>
    </row>
    <row r="78" spans="1:7">
      <c r="A78" s="16">
        <v>40</v>
      </c>
      <c r="B78" s="36">
        <f t="shared" si="13"/>
        <v>3500</v>
      </c>
      <c r="C78" s="37">
        <f t="shared" si="15"/>
        <v>19250</v>
      </c>
      <c r="D78" s="37">
        <f t="shared" si="15"/>
        <v>42000</v>
      </c>
      <c r="E78" s="37">
        <f t="shared" si="15"/>
        <v>94500</v>
      </c>
      <c r="F78" s="37">
        <f t="shared" si="15"/>
        <v>266000</v>
      </c>
      <c r="G78" s="35">
        <f t="shared" si="15"/>
        <v>700000</v>
      </c>
    </row>
    <row r="79" spans="1:7">
      <c r="A79" s="16">
        <v>41</v>
      </c>
      <c r="B79" s="36">
        <f t="shared" si="13"/>
        <v>3500</v>
      </c>
      <c r="C79" s="37">
        <f t="shared" si="15"/>
        <v>19250</v>
      </c>
      <c r="D79" s="37">
        <f t="shared" si="15"/>
        <v>42000</v>
      </c>
      <c r="E79" s="37">
        <f t="shared" si="15"/>
        <v>94500</v>
      </c>
      <c r="F79" s="37">
        <f t="shared" si="15"/>
        <v>266000</v>
      </c>
      <c r="G79" s="35">
        <f t="shared" si="15"/>
        <v>700000</v>
      </c>
    </row>
    <row r="80" spans="1:7">
      <c r="A80" s="16">
        <v>42</v>
      </c>
      <c r="B80" s="36">
        <f t="shared" si="13"/>
        <v>3500</v>
      </c>
      <c r="C80" s="37">
        <f t="shared" si="15"/>
        <v>19250</v>
      </c>
      <c r="D80" s="37">
        <f t="shared" si="15"/>
        <v>42000</v>
      </c>
      <c r="E80" s="37">
        <f t="shared" si="15"/>
        <v>94500</v>
      </c>
      <c r="F80" s="37">
        <f t="shared" si="15"/>
        <v>266000</v>
      </c>
      <c r="G80" s="35">
        <f t="shared" si="15"/>
        <v>700000</v>
      </c>
    </row>
    <row r="81" spans="1:7">
      <c r="A81" s="16">
        <v>43</v>
      </c>
      <c r="B81" s="36">
        <f t="shared" si="13"/>
        <v>3500</v>
      </c>
      <c r="C81" s="37">
        <f t="shared" si="15"/>
        <v>19250</v>
      </c>
      <c r="D81" s="37">
        <f t="shared" si="15"/>
        <v>42000</v>
      </c>
      <c r="E81" s="37">
        <f t="shared" si="15"/>
        <v>94500</v>
      </c>
      <c r="F81" s="37">
        <f t="shared" si="15"/>
        <v>266000</v>
      </c>
      <c r="G81" s="35">
        <f t="shared" si="15"/>
        <v>700000</v>
      </c>
    </row>
    <row r="82" spans="1:7">
      <c r="A82" s="16">
        <v>44</v>
      </c>
      <c r="B82" s="36">
        <f t="shared" si="13"/>
        <v>3600</v>
      </c>
      <c r="C82" s="37">
        <f t="shared" si="15"/>
        <v>19800</v>
      </c>
      <c r="D82" s="37">
        <f t="shared" si="15"/>
        <v>43200</v>
      </c>
      <c r="E82" s="37">
        <f t="shared" si="15"/>
        <v>97200</v>
      </c>
      <c r="F82" s="37">
        <f t="shared" si="15"/>
        <v>273600</v>
      </c>
      <c r="G82" s="35">
        <f t="shared" si="15"/>
        <v>720000</v>
      </c>
    </row>
    <row r="83" spans="1:7">
      <c r="A83" s="16">
        <v>45</v>
      </c>
      <c r="B83" s="36">
        <f t="shared" si="13"/>
        <v>3600</v>
      </c>
      <c r="C83" s="37">
        <f t="shared" si="15"/>
        <v>19800</v>
      </c>
      <c r="D83" s="37">
        <f t="shared" si="15"/>
        <v>43200</v>
      </c>
      <c r="E83" s="37">
        <f t="shared" si="15"/>
        <v>97200</v>
      </c>
      <c r="F83" s="37">
        <f t="shared" si="15"/>
        <v>273600</v>
      </c>
      <c r="G83" s="35">
        <f t="shared" si="15"/>
        <v>720000</v>
      </c>
    </row>
    <row r="84" spans="1:7" ht="15" customHeight="1">
      <c r="A84" s="16">
        <v>46</v>
      </c>
      <c r="B84" s="36">
        <f t="shared" si="13"/>
        <v>3600</v>
      </c>
      <c r="C84" s="37">
        <f t="shared" si="15"/>
        <v>19800</v>
      </c>
      <c r="D84" s="37">
        <f t="shared" si="15"/>
        <v>43200</v>
      </c>
      <c r="E84" s="37">
        <f t="shared" si="15"/>
        <v>97200</v>
      </c>
      <c r="F84" s="37">
        <f t="shared" si="15"/>
        <v>273600</v>
      </c>
      <c r="G84" s="35">
        <f t="shared" si="15"/>
        <v>720000</v>
      </c>
    </row>
    <row r="85" spans="1:7">
      <c r="A85" s="16">
        <v>47</v>
      </c>
      <c r="B85" s="36">
        <f t="shared" si="13"/>
        <v>3600</v>
      </c>
      <c r="C85" s="37">
        <f t="shared" si="15"/>
        <v>19800</v>
      </c>
      <c r="D85" s="37">
        <f t="shared" si="15"/>
        <v>43200</v>
      </c>
      <c r="E85" s="37">
        <f t="shared" si="15"/>
        <v>97200</v>
      </c>
      <c r="F85" s="37">
        <f t="shared" si="15"/>
        <v>273600</v>
      </c>
      <c r="G85" s="35">
        <f t="shared" si="15"/>
        <v>720000</v>
      </c>
    </row>
    <row r="86" spans="1:7">
      <c r="A86" s="16">
        <v>48</v>
      </c>
      <c r="B86" s="36">
        <f t="shared" si="13"/>
        <v>3700</v>
      </c>
      <c r="C86" s="37">
        <f t="shared" si="15"/>
        <v>20350</v>
      </c>
      <c r="D86" s="37">
        <f t="shared" si="15"/>
        <v>44400</v>
      </c>
      <c r="E86" s="37">
        <f t="shared" si="15"/>
        <v>99900</v>
      </c>
      <c r="F86" s="37">
        <f t="shared" si="15"/>
        <v>281200</v>
      </c>
      <c r="G86" s="35">
        <f t="shared" si="15"/>
        <v>740000</v>
      </c>
    </row>
    <row r="87" spans="1:7">
      <c r="A87" s="16">
        <v>49</v>
      </c>
      <c r="B87" s="36">
        <f t="shared" si="13"/>
        <v>3700</v>
      </c>
      <c r="C87" s="37">
        <f t="shared" si="15"/>
        <v>20350</v>
      </c>
      <c r="D87" s="37">
        <f t="shared" si="15"/>
        <v>44400</v>
      </c>
      <c r="E87" s="37">
        <f t="shared" si="15"/>
        <v>99900</v>
      </c>
      <c r="F87" s="37">
        <f t="shared" si="15"/>
        <v>281200</v>
      </c>
      <c r="G87" s="35">
        <f t="shared" si="15"/>
        <v>740000</v>
      </c>
    </row>
    <row r="88" spans="1:7">
      <c r="A88" s="16">
        <v>50</v>
      </c>
      <c r="B88" s="36">
        <f t="shared" si="13"/>
        <v>3700</v>
      </c>
      <c r="C88" s="37">
        <f t="shared" si="15"/>
        <v>20350</v>
      </c>
      <c r="D88" s="37">
        <f t="shared" si="15"/>
        <v>44400</v>
      </c>
      <c r="E88" s="37">
        <f t="shared" si="15"/>
        <v>99900</v>
      </c>
      <c r="F88" s="37">
        <f t="shared" si="15"/>
        <v>281200</v>
      </c>
      <c r="G88" s="35">
        <f t="shared" si="15"/>
        <v>740000</v>
      </c>
    </row>
    <row r="89" spans="1:7">
      <c r="A89" s="16">
        <v>51</v>
      </c>
      <c r="B89" s="36">
        <f t="shared" si="13"/>
        <v>3700</v>
      </c>
      <c r="C89" s="37">
        <f t="shared" si="15"/>
        <v>20350</v>
      </c>
      <c r="D89" s="37">
        <f t="shared" si="15"/>
        <v>44400</v>
      </c>
      <c r="E89" s="37">
        <f t="shared" si="15"/>
        <v>99900</v>
      </c>
      <c r="F89" s="37">
        <f t="shared" si="15"/>
        <v>281200</v>
      </c>
      <c r="G89" s="35">
        <f t="shared" si="15"/>
        <v>740000</v>
      </c>
    </row>
    <row r="90" spans="1:7">
      <c r="A90" s="16">
        <v>52</v>
      </c>
      <c r="B90" s="36">
        <f t="shared" si="13"/>
        <v>3800</v>
      </c>
      <c r="C90" s="37">
        <f t="shared" si="15"/>
        <v>20900</v>
      </c>
      <c r="D90" s="37">
        <f t="shared" si="15"/>
        <v>45600</v>
      </c>
      <c r="E90" s="37">
        <f t="shared" si="15"/>
        <v>102600</v>
      </c>
      <c r="F90" s="37">
        <f t="shared" si="15"/>
        <v>288800</v>
      </c>
      <c r="G90" s="35">
        <f t="shared" si="15"/>
        <v>760000</v>
      </c>
    </row>
    <row r="91" spans="1:7">
      <c r="A91" s="16">
        <v>53</v>
      </c>
      <c r="B91" s="36">
        <f t="shared" si="13"/>
        <v>3800</v>
      </c>
      <c r="C91" s="37">
        <f t="shared" si="15"/>
        <v>20900</v>
      </c>
      <c r="D91" s="37">
        <f t="shared" si="15"/>
        <v>45600</v>
      </c>
      <c r="E91" s="37">
        <f t="shared" si="15"/>
        <v>102600</v>
      </c>
      <c r="F91" s="37">
        <f t="shared" si="15"/>
        <v>288800</v>
      </c>
      <c r="G91" s="35">
        <f t="shared" si="15"/>
        <v>760000</v>
      </c>
    </row>
    <row r="92" spans="1:7" ht="15" customHeight="1">
      <c r="A92" s="16">
        <v>54</v>
      </c>
      <c r="B92" s="36">
        <f t="shared" si="13"/>
        <v>3800</v>
      </c>
      <c r="C92" s="37">
        <f t="shared" si="15"/>
        <v>20900</v>
      </c>
      <c r="D92" s="37">
        <f t="shared" si="15"/>
        <v>45600</v>
      </c>
      <c r="E92" s="37">
        <f t="shared" si="15"/>
        <v>102600</v>
      </c>
      <c r="F92" s="37">
        <f t="shared" si="15"/>
        <v>288800</v>
      </c>
      <c r="G92" s="35">
        <f t="shared" si="15"/>
        <v>760000</v>
      </c>
    </row>
    <row r="93" spans="1:7">
      <c r="A93" s="16">
        <v>55</v>
      </c>
      <c r="B93" s="36">
        <f t="shared" si="13"/>
        <v>3800</v>
      </c>
      <c r="C93" s="37">
        <f t="shared" si="15"/>
        <v>20900</v>
      </c>
      <c r="D93" s="37">
        <f t="shared" si="15"/>
        <v>45600</v>
      </c>
      <c r="E93" s="37">
        <f t="shared" si="15"/>
        <v>102600</v>
      </c>
      <c r="F93" s="37">
        <f t="shared" si="15"/>
        <v>288800</v>
      </c>
      <c r="G93" s="35">
        <f t="shared" si="15"/>
        <v>760000</v>
      </c>
    </row>
    <row r="94" spans="1:7">
      <c r="A94" s="16">
        <v>56</v>
      </c>
      <c r="B94" s="36">
        <f t="shared" si="13"/>
        <v>3900</v>
      </c>
      <c r="C94" s="37">
        <f t="shared" si="15"/>
        <v>21450</v>
      </c>
      <c r="D94" s="37">
        <f t="shared" si="15"/>
        <v>46800</v>
      </c>
      <c r="E94" s="37">
        <f t="shared" si="15"/>
        <v>105300</v>
      </c>
      <c r="F94" s="37">
        <f t="shared" si="15"/>
        <v>296400</v>
      </c>
      <c r="G94" s="35">
        <f t="shared" si="15"/>
        <v>780000</v>
      </c>
    </row>
    <row r="95" spans="1:7">
      <c r="A95" s="16">
        <v>57</v>
      </c>
      <c r="B95" s="36">
        <f t="shared" si="13"/>
        <v>3900</v>
      </c>
      <c r="C95" s="37">
        <f t="shared" si="15"/>
        <v>21450</v>
      </c>
      <c r="D95" s="37">
        <f t="shared" si="15"/>
        <v>46800</v>
      </c>
      <c r="E95" s="37">
        <f t="shared" si="15"/>
        <v>105300</v>
      </c>
      <c r="F95" s="37">
        <f t="shared" si="15"/>
        <v>296400</v>
      </c>
      <c r="G95" s="35">
        <f t="shared" si="15"/>
        <v>780000</v>
      </c>
    </row>
    <row r="96" spans="1:7">
      <c r="A96" s="16">
        <v>58</v>
      </c>
      <c r="B96" s="36">
        <f t="shared" si="13"/>
        <v>3900</v>
      </c>
      <c r="C96" s="37">
        <f t="shared" si="15"/>
        <v>21450</v>
      </c>
      <c r="D96" s="37">
        <f t="shared" si="15"/>
        <v>46800</v>
      </c>
      <c r="E96" s="37">
        <f t="shared" si="15"/>
        <v>105300</v>
      </c>
      <c r="F96" s="37">
        <f t="shared" si="15"/>
        <v>296400</v>
      </c>
      <c r="G96" s="35">
        <f t="shared" si="15"/>
        <v>780000</v>
      </c>
    </row>
    <row r="97" spans="1:7">
      <c r="A97" s="16">
        <v>59</v>
      </c>
      <c r="B97" s="36">
        <f t="shared" si="13"/>
        <v>3900</v>
      </c>
      <c r="C97" s="37">
        <f t="shared" si="15"/>
        <v>21450</v>
      </c>
      <c r="D97" s="37">
        <f t="shared" si="15"/>
        <v>46800</v>
      </c>
      <c r="E97" s="37">
        <f t="shared" si="15"/>
        <v>105300</v>
      </c>
      <c r="F97" s="37">
        <f t="shared" si="15"/>
        <v>296400</v>
      </c>
      <c r="G97" s="35">
        <f t="shared" si="15"/>
        <v>780000</v>
      </c>
    </row>
    <row r="98" spans="1:7">
      <c r="A98" s="16">
        <v>60</v>
      </c>
      <c r="B98" s="36">
        <f t="shared" si="13"/>
        <v>4000</v>
      </c>
      <c r="C98" s="37">
        <f t="shared" si="15"/>
        <v>22000</v>
      </c>
      <c r="D98" s="37">
        <f t="shared" si="15"/>
        <v>48000</v>
      </c>
      <c r="E98" s="37">
        <f t="shared" si="15"/>
        <v>108000</v>
      </c>
      <c r="F98" s="37">
        <f t="shared" si="15"/>
        <v>304000</v>
      </c>
      <c r="G98" s="35">
        <f t="shared" si="15"/>
        <v>800000</v>
      </c>
    </row>
    <row r="99" spans="1:7">
      <c r="A99" s="16">
        <v>61</v>
      </c>
      <c r="B99" s="36">
        <f t="shared" si="13"/>
        <v>4000</v>
      </c>
      <c r="C99" s="37">
        <f t="shared" si="15"/>
        <v>22000</v>
      </c>
      <c r="D99" s="37">
        <f t="shared" si="15"/>
        <v>48000</v>
      </c>
      <c r="E99" s="37">
        <f t="shared" si="15"/>
        <v>108000</v>
      </c>
      <c r="F99" s="37">
        <f t="shared" si="15"/>
        <v>304000</v>
      </c>
      <c r="G99" s="35">
        <f t="shared" si="15"/>
        <v>800000</v>
      </c>
    </row>
    <row r="100" spans="1:7" ht="15" customHeight="1">
      <c r="A100" s="16">
        <v>62</v>
      </c>
      <c r="B100" s="36">
        <f t="shared" si="13"/>
        <v>4000</v>
      </c>
      <c r="C100" s="37">
        <f t="shared" si="15"/>
        <v>22000</v>
      </c>
      <c r="D100" s="37">
        <f t="shared" si="15"/>
        <v>48000</v>
      </c>
      <c r="E100" s="37">
        <f t="shared" si="15"/>
        <v>108000</v>
      </c>
      <c r="F100" s="37">
        <f t="shared" si="15"/>
        <v>304000</v>
      </c>
      <c r="G100" s="35">
        <f t="shared" si="15"/>
        <v>800000</v>
      </c>
    </row>
    <row r="101" spans="1:7">
      <c r="A101" s="16">
        <v>63</v>
      </c>
      <c r="B101" s="36">
        <f t="shared" si="13"/>
        <v>4000</v>
      </c>
      <c r="C101" s="37">
        <f t="shared" si="15"/>
        <v>22000</v>
      </c>
      <c r="D101" s="37">
        <f t="shared" si="15"/>
        <v>48000</v>
      </c>
      <c r="E101" s="37">
        <f t="shared" si="15"/>
        <v>108000</v>
      </c>
      <c r="F101" s="37">
        <f t="shared" si="15"/>
        <v>304000</v>
      </c>
      <c r="G101" s="35">
        <f t="shared" si="15"/>
        <v>800000</v>
      </c>
    </row>
    <row r="102" spans="1:7">
      <c r="A102" s="16">
        <v>64</v>
      </c>
      <c r="B102" s="36">
        <f t="shared" si="13"/>
        <v>4100</v>
      </c>
      <c r="C102" s="37">
        <f t="shared" si="15"/>
        <v>22550</v>
      </c>
      <c r="D102" s="37">
        <f t="shared" si="15"/>
        <v>49200</v>
      </c>
      <c r="E102" s="37">
        <f t="shared" si="15"/>
        <v>110700</v>
      </c>
      <c r="F102" s="37">
        <f t="shared" si="15"/>
        <v>311600</v>
      </c>
      <c r="G102" s="35">
        <f t="shared" si="15"/>
        <v>820000</v>
      </c>
    </row>
    <row r="103" spans="1:7">
      <c r="A103" s="16">
        <v>65</v>
      </c>
      <c r="B103" s="36">
        <f t="shared" si="13"/>
        <v>4100</v>
      </c>
      <c r="C103" s="37">
        <f t="shared" si="15"/>
        <v>22550</v>
      </c>
      <c r="D103" s="37">
        <f t="shared" si="15"/>
        <v>49200</v>
      </c>
      <c r="E103" s="37">
        <f t="shared" si="15"/>
        <v>110700</v>
      </c>
      <c r="F103" s="37">
        <f t="shared" si="15"/>
        <v>311600</v>
      </c>
      <c r="G103" s="35">
        <f t="shared" si="15"/>
        <v>820000</v>
      </c>
    </row>
    <row r="104" spans="1:7">
      <c r="A104" s="16">
        <v>66</v>
      </c>
      <c r="B104" s="36">
        <f t="shared" ref="B104:B137" si="16">ROUNDDOWN(50*(1+A104/100)/2,0)*2*B$38</f>
        <v>4100</v>
      </c>
      <c r="C104" s="37">
        <f t="shared" ref="C104:G138" si="17">$B104/$B$38*C$38</f>
        <v>22550</v>
      </c>
      <c r="D104" s="37">
        <f t="shared" si="17"/>
        <v>49200</v>
      </c>
      <c r="E104" s="37">
        <f t="shared" si="17"/>
        <v>110700</v>
      </c>
      <c r="F104" s="37">
        <f t="shared" si="17"/>
        <v>311600</v>
      </c>
      <c r="G104" s="35">
        <f t="shared" si="17"/>
        <v>820000</v>
      </c>
    </row>
    <row r="105" spans="1:7">
      <c r="A105" s="16">
        <v>67</v>
      </c>
      <c r="B105" s="36">
        <f t="shared" si="16"/>
        <v>4100</v>
      </c>
      <c r="C105" s="37">
        <f t="shared" si="17"/>
        <v>22550</v>
      </c>
      <c r="D105" s="37">
        <f t="shared" si="17"/>
        <v>49200</v>
      </c>
      <c r="E105" s="37">
        <f t="shared" si="17"/>
        <v>110700</v>
      </c>
      <c r="F105" s="37">
        <f t="shared" si="17"/>
        <v>311600</v>
      </c>
      <c r="G105" s="35">
        <f t="shared" si="17"/>
        <v>820000</v>
      </c>
    </row>
    <row r="106" spans="1:7">
      <c r="A106" s="16">
        <v>68</v>
      </c>
      <c r="B106" s="36">
        <f t="shared" si="16"/>
        <v>4200</v>
      </c>
      <c r="C106" s="37">
        <f t="shared" si="17"/>
        <v>23100</v>
      </c>
      <c r="D106" s="37">
        <f t="shared" si="17"/>
        <v>50400</v>
      </c>
      <c r="E106" s="37">
        <f t="shared" si="17"/>
        <v>113400</v>
      </c>
      <c r="F106" s="37">
        <f t="shared" si="17"/>
        <v>319200</v>
      </c>
      <c r="G106" s="35">
        <f t="shared" si="17"/>
        <v>840000</v>
      </c>
    </row>
    <row r="107" spans="1:7">
      <c r="A107" s="16">
        <v>69</v>
      </c>
      <c r="B107" s="36">
        <f t="shared" si="16"/>
        <v>4200</v>
      </c>
      <c r="C107" s="37">
        <f t="shared" si="17"/>
        <v>23100</v>
      </c>
      <c r="D107" s="37">
        <f t="shared" si="17"/>
        <v>50400</v>
      </c>
      <c r="E107" s="37">
        <f t="shared" si="17"/>
        <v>113400</v>
      </c>
      <c r="F107" s="37">
        <f t="shared" si="17"/>
        <v>319200</v>
      </c>
      <c r="G107" s="35">
        <f t="shared" si="17"/>
        <v>840000</v>
      </c>
    </row>
    <row r="108" spans="1:7" ht="15" customHeight="1">
      <c r="A108" s="16">
        <v>70</v>
      </c>
      <c r="B108" s="36">
        <f t="shared" si="16"/>
        <v>4200</v>
      </c>
      <c r="C108" s="37">
        <f t="shared" si="17"/>
        <v>23100</v>
      </c>
      <c r="D108" s="37">
        <f t="shared" si="17"/>
        <v>50400</v>
      </c>
      <c r="E108" s="37">
        <f t="shared" si="17"/>
        <v>113400</v>
      </c>
      <c r="F108" s="37">
        <f t="shared" si="17"/>
        <v>319200</v>
      </c>
      <c r="G108" s="35">
        <f t="shared" si="17"/>
        <v>840000</v>
      </c>
    </row>
    <row r="109" spans="1:7">
      <c r="A109" s="16">
        <v>71</v>
      </c>
      <c r="B109" s="36">
        <f t="shared" si="16"/>
        <v>4200</v>
      </c>
      <c r="C109" s="37">
        <f t="shared" si="17"/>
        <v>23100</v>
      </c>
      <c r="D109" s="37">
        <f t="shared" si="17"/>
        <v>50400</v>
      </c>
      <c r="E109" s="37">
        <f t="shared" si="17"/>
        <v>113400</v>
      </c>
      <c r="F109" s="37">
        <f t="shared" si="17"/>
        <v>319200</v>
      </c>
      <c r="G109" s="35">
        <f t="shared" si="17"/>
        <v>840000</v>
      </c>
    </row>
    <row r="110" spans="1:7">
      <c r="A110" s="16">
        <v>72</v>
      </c>
      <c r="B110" s="36">
        <f t="shared" si="16"/>
        <v>4300</v>
      </c>
      <c r="C110" s="37">
        <f t="shared" si="17"/>
        <v>23650</v>
      </c>
      <c r="D110" s="37">
        <f t="shared" si="17"/>
        <v>51600</v>
      </c>
      <c r="E110" s="37">
        <f t="shared" si="17"/>
        <v>116100</v>
      </c>
      <c r="F110" s="37">
        <f t="shared" si="17"/>
        <v>326800</v>
      </c>
      <c r="G110" s="35">
        <f t="shared" si="17"/>
        <v>860000</v>
      </c>
    </row>
    <row r="111" spans="1:7">
      <c r="A111" s="16">
        <v>73</v>
      </c>
      <c r="B111" s="36">
        <f t="shared" si="16"/>
        <v>4300</v>
      </c>
      <c r="C111" s="37">
        <f t="shared" si="17"/>
        <v>23650</v>
      </c>
      <c r="D111" s="37">
        <f t="shared" si="17"/>
        <v>51600</v>
      </c>
      <c r="E111" s="37">
        <f t="shared" si="17"/>
        <v>116100</v>
      </c>
      <c r="F111" s="37">
        <f t="shared" si="17"/>
        <v>326800</v>
      </c>
      <c r="G111" s="35">
        <f t="shared" si="17"/>
        <v>860000</v>
      </c>
    </row>
    <row r="112" spans="1:7">
      <c r="A112" s="16">
        <v>74</v>
      </c>
      <c r="B112" s="36">
        <f t="shared" si="16"/>
        <v>4300</v>
      </c>
      <c r="C112" s="37">
        <f t="shared" si="17"/>
        <v>23650</v>
      </c>
      <c r="D112" s="37">
        <f t="shared" si="17"/>
        <v>51600</v>
      </c>
      <c r="E112" s="37">
        <f t="shared" si="17"/>
        <v>116100</v>
      </c>
      <c r="F112" s="37">
        <f t="shared" si="17"/>
        <v>326800</v>
      </c>
      <c r="G112" s="35">
        <f t="shared" si="17"/>
        <v>860000</v>
      </c>
    </row>
    <row r="113" spans="1:7">
      <c r="A113" s="16">
        <v>75</v>
      </c>
      <c r="B113" s="36">
        <f t="shared" si="16"/>
        <v>4300</v>
      </c>
      <c r="C113" s="37">
        <f t="shared" si="17"/>
        <v>23650</v>
      </c>
      <c r="D113" s="37">
        <f t="shared" si="17"/>
        <v>51600</v>
      </c>
      <c r="E113" s="37">
        <f t="shared" si="17"/>
        <v>116100</v>
      </c>
      <c r="F113" s="37">
        <f t="shared" si="17"/>
        <v>326800</v>
      </c>
      <c r="G113" s="35">
        <f t="shared" si="17"/>
        <v>860000</v>
      </c>
    </row>
    <row r="114" spans="1:7">
      <c r="A114" s="16">
        <v>76</v>
      </c>
      <c r="B114" s="36">
        <f t="shared" si="16"/>
        <v>4400</v>
      </c>
      <c r="C114" s="37">
        <f t="shared" si="17"/>
        <v>24200</v>
      </c>
      <c r="D114" s="37">
        <f t="shared" si="17"/>
        <v>52800</v>
      </c>
      <c r="E114" s="37">
        <f t="shared" si="17"/>
        <v>118800</v>
      </c>
      <c r="F114" s="37">
        <f t="shared" si="17"/>
        <v>334400</v>
      </c>
      <c r="G114" s="35">
        <f t="shared" si="17"/>
        <v>880000</v>
      </c>
    </row>
    <row r="115" spans="1:7">
      <c r="A115" s="16">
        <v>77</v>
      </c>
      <c r="B115" s="36">
        <f t="shared" si="16"/>
        <v>4400</v>
      </c>
      <c r="C115" s="37">
        <f t="shared" si="17"/>
        <v>24200</v>
      </c>
      <c r="D115" s="37">
        <f t="shared" si="17"/>
        <v>52800</v>
      </c>
      <c r="E115" s="37">
        <f t="shared" si="17"/>
        <v>118800</v>
      </c>
      <c r="F115" s="37">
        <f t="shared" si="17"/>
        <v>334400</v>
      </c>
      <c r="G115" s="35">
        <f t="shared" si="17"/>
        <v>880000</v>
      </c>
    </row>
    <row r="116" spans="1:7" ht="15" customHeight="1">
      <c r="A116" s="16">
        <v>78</v>
      </c>
      <c r="B116" s="36">
        <f t="shared" si="16"/>
        <v>4400</v>
      </c>
      <c r="C116" s="37">
        <f t="shared" si="17"/>
        <v>24200</v>
      </c>
      <c r="D116" s="37">
        <f t="shared" si="17"/>
        <v>52800</v>
      </c>
      <c r="E116" s="37">
        <f t="shared" si="17"/>
        <v>118800</v>
      </c>
      <c r="F116" s="37">
        <f t="shared" si="17"/>
        <v>334400</v>
      </c>
      <c r="G116" s="35">
        <f t="shared" si="17"/>
        <v>880000</v>
      </c>
    </row>
    <row r="117" spans="1:7">
      <c r="A117" s="16">
        <v>79</v>
      </c>
      <c r="B117" s="36">
        <f t="shared" si="16"/>
        <v>4400</v>
      </c>
      <c r="C117" s="37">
        <f t="shared" si="17"/>
        <v>24200</v>
      </c>
      <c r="D117" s="37">
        <f t="shared" si="17"/>
        <v>52800</v>
      </c>
      <c r="E117" s="37">
        <f t="shared" si="17"/>
        <v>118800</v>
      </c>
      <c r="F117" s="37">
        <f t="shared" si="17"/>
        <v>334400</v>
      </c>
      <c r="G117" s="35">
        <f t="shared" si="17"/>
        <v>880000</v>
      </c>
    </row>
    <row r="118" spans="1:7">
      <c r="A118" s="16">
        <v>80</v>
      </c>
      <c r="B118" s="36">
        <f t="shared" si="16"/>
        <v>4500</v>
      </c>
      <c r="C118" s="37">
        <f t="shared" si="17"/>
        <v>24750</v>
      </c>
      <c r="D118" s="37">
        <f t="shared" si="17"/>
        <v>54000</v>
      </c>
      <c r="E118" s="37">
        <f t="shared" si="17"/>
        <v>121500</v>
      </c>
      <c r="F118" s="37">
        <f t="shared" si="17"/>
        <v>342000</v>
      </c>
      <c r="G118" s="35">
        <f t="shared" si="17"/>
        <v>900000</v>
      </c>
    </row>
    <row r="119" spans="1:7">
      <c r="A119" s="16">
        <v>81</v>
      </c>
      <c r="B119" s="36">
        <f t="shared" si="16"/>
        <v>4500</v>
      </c>
      <c r="C119" s="37">
        <f t="shared" si="17"/>
        <v>24750</v>
      </c>
      <c r="D119" s="37">
        <f t="shared" si="17"/>
        <v>54000</v>
      </c>
      <c r="E119" s="37">
        <f t="shared" si="17"/>
        <v>121500</v>
      </c>
      <c r="F119" s="37">
        <f t="shared" si="17"/>
        <v>342000</v>
      </c>
      <c r="G119" s="35">
        <f t="shared" si="17"/>
        <v>900000</v>
      </c>
    </row>
    <row r="120" spans="1:7">
      <c r="A120" s="16">
        <v>82</v>
      </c>
      <c r="B120" s="36">
        <f t="shared" si="16"/>
        <v>4500</v>
      </c>
      <c r="C120" s="37">
        <f t="shared" si="17"/>
        <v>24750</v>
      </c>
      <c r="D120" s="37">
        <f t="shared" si="17"/>
        <v>54000</v>
      </c>
      <c r="E120" s="37">
        <f t="shared" si="17"/>
        <v>121500</v>
      </c>
      <c r="F120" s="37">
        <f t="shared" si="17"/>
        <v>342000</v>
      </c>
      <c r="G120" s="35">
        <f t="shared" si="17"/>
        <v>900000</v>
      </c>
    </row>
    <row r="121" spans="1:7">
      <c r="A121" s="16">
        <v>83</v>
      </c>
      <c r="B121" s="36">
        <f t="shared" si="16"/>
        <v>4500</v>
      </c>
      <c r="C121" s="37">
        <f t="shared" si="17"/>
        <v>24750</v>
      </c>
      <c r="D121" s="37">
        <f t="shared" si="17"/>
        <v>54000</v>
      </c>
      <c r="E121" s="37">
        <f t="shared" si="17"/>
        <v>121500</v>
      </c>
      <c r="F121" s="37">
        <f t="shared" si="17"/>
        <v>342000</v>
      </c>
      <c r="G121" s="35">
        <f t="shared" si="17"/>
        <v>900000</v>
      </c>
    </row>
    <row r="122" spans="1:7">
      <c r="A122" s="16">
        <v>84</v>
      </c>
      <c r="B122" s="36">
        <f t="shared" si="16"/>
        <v>4600</v>
      </c>
      <c r="C122" s="37">
        <f t="shared" si="17"/>
        <v>25300</v>
      </c>
      <c r="D122" s="37">
        <f t="shared" si="17"/>
        <v>55200</v>
      </c>
      <c r="E122" s="37">
        <f t="shared" si="17"/>
        <v>124200</v>
      </c>
      <c r="F122" s="37">
        <f t="shared" si="17"/>
        <v>349600</v>
      </c>
      <c r="G122" s="35">
        <f t="shared" si="17"/>
        <v>920000</v>
      </c>
    </row>
    <row r="123" spans="1:7">
      <c r="A123" s="16">
        <v>85</v>
      </c>
      <c r="B123" s="36">
        <f t="shared" si="16"/>
        <v>4600</v>
      </c>
      <c r="C123" s="37">
        <f t="shared" si="17"/>
        <v>25300</v>
      </c>
      <c r="D123" s="37">
        <f t="shared" si="17"/>
        <v>55200</v>
      </c>
      <c r="E123" s="37">
        <f t="shared" si="17"/>
        <v>124200</v>
      </c>
      <c r="F123" s="37">
        <f t="shared" si="17"/>
        <v>349600</v>
      </c>
      <c r="G123" s="35">
        <f t="shared" si="17"/>
        <v>920000</v>
      </c>
    </row>
    <row r="124" spans="1:7" ht="15" customHeight="1">
      <c r="A124" s="16">
        <v>86</v>
      </c>
      <c r="B124" s="36">
        <f t="shared" si="16"/>
        <v>4600</v>
      </c>
      <c r="C124" s="37">
        <f t="shared" si="17"/>
        <v>25300</v>
      </c>
      <c r="D124" s="37">
        <f t="shared" si="17"/>
        <v>55200</v>
      </c>
      <c r="E124" s="37">
        <f t="shared" si="17"/>
        <v>124200</v>
      </c>
      <c r="F124" s="37">
        <f t="shared" si="17"/>
        <v>349600</v>
      </c>
      <c r="G124" s="35">
        <f t="shared" si="17"/>
        <v>920000</v>
      </c>
    </row>
    <row r="125" spans="1:7">
      <c r="A125" s="16">
        <v>87</v>
      </c>
      <c r="B125" s="36">
        <f t="shared" si="16"/>
        <v>4600</v>
      </c>
      <c r="C125" s="37">
        <f t="shared" si="17"/>
        <v>25300</v>
      </c>
      <c r="D125" s="37">
        <f t="shared" si="17"/>
        <v>55200</v>
      </c>
      <c r="E125" s="37">
        <f t="shared" si="17"/>
        <v>124200</v>
      </c>
      <c r="F125" s="37">
        <f t="shared" si="17"/>
        <v>349600</v>
      </c>
      <c r="G125" s="35">
        <f t="shared" si="17"/>
        <v>920000</v>
      </c>
    </row>
    <row r="126" spans="1:7">
      <c r="A126" s="16">
        <v>88</v>
      </c>
      <c r="B126" s="36">
        <f t="shared" si="16"/>
        <v>4700</v>
      </c>
      <c r="C126" s="37">
        <f t="shared" si="17"/>
        <v>25850</v>
      </c>
      <c r="D126" s="37">
        <f t="shared" si="17"/>
        <v>56400</v>
      </c>
      <c r="E126" s="37">
        <f t="shared" si="17"/>
        <v>126900</v>
      </c>
      <c r="F126" s="37">
        <f t="shared" si="17"/>
        <v>357200</v>
      </c>
      <c r="G126" s="35">
        <f t="shared" si="17"/>
        <v>940000</v>
      </c>
    </row>
    <row r="127" spans="1:7">
      <c r="A127" s="16">
        <v>89</v>
      </c>
      <c r="B127" s="36">
        <f t="shared" si="16"/>
        <v>4700</v>
      </c>
      <c r="C127" s="37">
        <f t="shared" si="17"/>
        <v>25850</v>
      </c>
      <c r="D127" s="37">
        <f t="shared" si="17"/>
        <v>56400</v>
      </c>
      <c r="E127" s="37">
        <f t="shared" si="17"/>
        <v>126900</v>
      </c>
      <c r="F127" s="37">
        <f t="shared" si="17"/>
        <v>357200</v>
      </c>
      <c r="G127" s="35">
        <f t="shared" si="17"/>
        <v>940000</v>
      </c>
    </row>
    <row r="128" spans="1:7">
      <c r="A128" s="16">
        <v>90</v>
      </c>
      <c r="B128" s="36">
        <f t="shared" si="16"/>
        <v>4700</v>
      </c>
      <c r="C128" s="37">
        <f t="shared" si="17"/>
        <v>25850</v>
      </c>
      <c r="D128" s="37">
        <f t="shared" si="17"/>
        <v>56400</v>
      </c>
      <c r="E128" s="37">
        <f t="shared" si="17"/>
        <v>126900</v>
      </c>
      <c r="F128" s="37">
        <f t="shared" si="17"/>
        <v>357200</v>
      </c>
      <c r="G128" s="35">
        <f t="shared" si="17"/>
        <v>940000</v>
      </c>
    </row>
    <row r="129" spans="1:7">
      <c r="A129" s="16">
        <v>91</v>
      </c>
      <c r="B129" s="36">
        <f t="shared" si="16"/>
        <v>4700</v>
      </c>
      <c r="C129" s="37">
        <f t="shared" si="17"/>
        <v>25850</v>
      </c>
      <c r="D129" s="37">
        <f t="shared" si="17"/>
        <v>56400</v>
      </c>
      <c r="E129" s="37">
        <f t="shared" si="17"/>
        <v>126900</v>
      </c>
      <c r="F129" s="37">
        <f t="shared" si="17"/>
        <v>357200</v>
      </c>
      <c r="G129" s="35">
        <f t="shared" si="17"/>
        <v>940000</v>
      </c>
    </row>
    <row r="130" spans="1:7">
      <c r="A130" s="16">
        <v>92</v>
      </c>
      <c r="B130" s="36">
        <f t="shared" si="16"/>
        <v>4800</v>
      </c>
      <c r="C130" s="37">
        <f t="shared" si="17"/>
        <v>26400</v>
      </c>
      <c r="D130" s="37">
        <f t="shared" si="17"/>
        <v>57600</v>
      </c>
      <c r="E130" s="37">
        <f t="shared" si="17"/>
        <v>129600</v>
      </c>
      <c r="F130" s="37">
        <f t="shared" si="17"/>
        <v>364800</v>
      </c>
      <c r="G130" s="35">
        <f t="shared" si="17"/>
        <v>960000</v>
      </c>
    </row>
    <row r="131" spans="1:7">
      <c r="A131" s="16">
        <v>93</v>
      </c>
      <c r="B131" s="36">
        <f t="shared" si="16"/>
        <v>4800</v>
      </c>
      <c r="C131" s="37">
        <f t="shared" si="17"/>
        <v>26400</v>
      </c>
      <c r="D131" s="37">
        <f t="shared" si="17"/>
        <v>57600</v>
      </c>
      <c r="E131" s="37">
        <f t="shared" si="17"/>
        <v>129600</v>
      </c>
      <c r="F131" s="37">
        <f t="shared" si="17"/>
        <v>364800</v>
      </c>
      <c r="G131" s="35">
        <f t="shared" si="17"/>
        <v>960000</v>
      </c>
    </row>
    <row r="132" spans="1:7" ht="15" customHeight="1">
      <c r="A132" s="16">
        <v>94</v>
      </c>
      <c r="B132" s="36">
        <f t="shared" si="16"/>
        <v>4800</v>
      </c>
      <c r="C132" s="37">
        <f t="shared" si="17"/>
        <v>26400</v>
      </c>
      <c r="D132" s="37">
        <f t="shared" si="17"/>
        <v>57600</v>
      </c>
      <c r="E132" s="37">
        <f t="shared" si="17"/>
        <v>129600</v>
      </c>
      <c r="F132" s="37">
        <f t="shared" si="17"/>
        <v>364800</v>
      </c>
      <c r="G132" s="35">
        <f t="shared" si="17"/>
        <v>960000</v>
      </c>
    </row>
    <row r="133" spans="1:7">
      <c r="A133" s="16">
        <v>95</v>
      </c>
      <c r="B133" s="36">
        <f t="shared" si="16"/>
        <v>4800</v>
      </c>
      <c r="C133" s="37">
        <f t="shared" si="17"/>
        <v>26400</v>
      </c>
      <c r="D133" s="37">
        <f t="shared" si="17"/>
        <v>57600</v>
      </c>
      <c r="E133" s="37">
        <f t="shared" si="17"/>
        <v>129600</v>
      </c>
      <c r="F133" s="37">
        <f t="shared" si="17"/>
        <v>364800</v>
      </c>
      <c r="G133" s="35">
        <f t="shared" si="17"/>
        <v>960000</v>
      </c>
    </row>
    <row r="134" spans="1:7">
      <c r="A134" s="16">
        <v>96</v>
      </c>
      <c r="B134" s="36">
        <f t="shared" si="16"/>
        <v>4900</v>
      </c>
      <c r="C134" s="37">
        <f t="shared" si="17"/>
        <v>26950</v>
      </c>
      <c r="D134" s="37">
        <f t="shared" si="17"/>
        <v>58800</v>
      </c>
      <c r="E134" s="37">
        <f t="shared" si="17"/>
        <v>132300</v>
      </c>
      <c r="F134" s="37">
        <f t="shared" si="17"/>
        <v>372400</v>
      </c>
      <c r="G134" s="35">
        <f t="shared" si="17"/>
        <v>980000</v>
      </c>
    </row>
    <row r="135" spans="1:7">
      <c r="A135" s="16">
        <v>97</v>
      </c>
      <c r="B135" s="36">
        <f t="shared" si="16"/>
        <v>4900</v>
      </c>
      <c r="C135" s="37">
        <f t="shared" si="17"/>
        <v>26950</v>
      </c>
      <c r="D135" s="37">
        <f t="shared" si="17"/>
        <v>58800</v>
      </c>
      <c r="E135" s="37">
        <f t="shared" si="17"/>
        <v>132300</v>
      </c>
      <c r="F135" s="37">
        <f t="shared" si="17"/>
        <v>372400</v>
      </c>
      <c r="G135" s="35">
        <f t="shared" si="17"/>
        <v>980000</v>
      </c>
    </row>
    <row r="136" spans="1:7">
      <c r="A136" s="16">
        <v>98</v>
      </c>
      <c r="B136" s="36">
        <f t="shared" si="16"/>
        <v>4900</v>
      </c>
      <c r="C136" s="37">
        <f t="shared" si="17"/>
        <v>26950</v>
      </c>
      <c r="D136" s="37">
        <f t="shared" si="17"/>
        <v>58800</v>
      </c>
      <c r="E136" s="37">
        <f t="shared" si="17"/>
        <v>132300</v>
      </c>
      <c r="F136" s="37">
        <f t="shared" si="17"/>
        <v>372400</v>
      </c>
      <c r="G136" s="35">
        <f t="shared" si="17"/>
        <v>980000</v>
      </c>
    </row>
    <row r="137" spans="1:7">
      <c r="A137" s="16">
        <v>99</v>
      </c>
      <c r="B137" s="36">
        <f t="shared" si="16"/>
        <v>4900</v>
      </c>
      <c r="C137" s="37">
        <f t="shared" si="17"/>
        <v>26950</v>
      </c>
      <c r="D137" s="37">
        <f t="shared" si="17"/>
        <v>58800</v>
      </c>
      <c r="E137" s="37">
        <f t="shared" si="17"/>
        <v>132300</v>
      </c>
      <c r="F137" s="37">
        <f t="shared" si="17"/>
        <v>372400</v>
      </c>
      <c r="G137" s="35">
        <f t="shared" si="17"/>
        <v>980000</v>
      </c>
    </row>
    <row r="138" spans="1:7">
      <c r="A138" s="16">
        <v>100</v>
      </c>
      <c r="B138" s="36">
        <f t="shared" ref="B138:B201" si="18">ROUNDDOWN(50*(1+A138/100)/2,0)*2*B$38</f>
        <v>5000</v>
      </c>
      <c r="C138" s="37">
        <f t="shared" si="17"/>
        <v>27500</v>
      </c>
      <c r="D138" s="37">
        <f t="shared" si="17"/>
        <v>60000</v>
      </c>
      <c r="E138" s="37">
        <f t="shared" si="17"/>
        <v>135000</v>
      </c>
      <c r="F138" s="37">
        <f t="shared" si="17"/>
        <v>380000</v>
      </c>
      <c r="G138" s="35">
        <f t="shared" si="17"/>
        <v>1000000</v>
      </c>
    </row>
    <row r="139" spans="1:7">
      <c r="A139" s="16">
        <v>101</v>
      </c>
      <c r="B139" s="36">
        <f t="shared" si="18"/>
        <v>5000</v>
      </c>
      <c r="C139" s="37">
        <f t="shared" ref="C139:G189" si="19">$B139/$B$38*C$38</f>
        <v>27500</v>
      </c>
      <c r="D139" s="37">
        <f t="shared" si="19"/>
        <v>60000</v>
      </c>
      <c r="E139" s="37">
        <f t="shared" si="19"/>
        <v>135000</v>
      </c>
      <c r="F139" s="37">
        <f t="shared" si="19"/>
        <v>380000</v>
      </c>
      <c r="G139" s="35">
        <f t="shared" si="19"/>
        <v>1000000</v>
      </c>
    </row>
    <row r="140" spans="1:7">
      <c r="A140" s="16">
        <v>102</v>
      </c>
      <c r="B140" s="36">
        <f t="shared" si="18"/>
        <v>5000</v>
      </c>
      <c r="C140" s="37">
        <f t="shared" si="19"/>
        <v>27500</v>
      </c>
      <c r="D140" s="37">
        <f t="shared" si="19"/>
        <v>60000</v>
      </c>
      <c r="E140" s="37">
        <f t="shared" si="19"/>
        <v>135000</v>
      </c>
      <c r="F140" s="37">
        <f t="shared" si="19"/>
        <v>380000</v>
      </c>
      <c r="G140" s="35">
        <f t="shared" si="19"/>
        <v>1000000</v>
      </c>
    </row>
    <row r="141" spans="1:7">
      <c r="A141" s="16">
        <v>103</v>
      </c>
      <c r="B141" s="36">
        <f t="shared" si="18"/>
        <v>5000</v>
      </c>
      <c r="C141" s="37">
        <f t="shared" si="19"/>
        <v>27500</v>
      </c>
      <c r="D141" s="37">
        <f t="shared" si="19"/>
        <v>60000</v>
      </c>
      <c r="E141" s="37">
        <f t="shared" si="19"/>
        <v>135000</v>
      </c>
      <c r="F141" s="37">
        <f t="shared" si="19"/>
        <v>380000</v>
      </c>
      <c r="G141" s="35">
        <f t="shared" si="19"/>
        <v>1000000</v>
      </c>
    </row>
    <row r="142" spans="1:7">
      <c r="A142" s="16">
        <v>104</v>
      </c>
      <c r="B142" s="36">
        <f t="shared" si="18"/>
        <v>5100</v>
      </c>
      <c r="C142" s="37">
        <f t="shared" si="19"/>
        <v>28050</v>
      </c>
      <c r="D142" s="37">
        <f t="shared" si="19"/>
        <v>61200</v>
      </c>
      <c r="E142" s="37">
        <f t="shared" si="19"/>
        <v>137700</v>
      </c>
      <c r="F142" s="37">
        <f t="shared" si="19"/>
        <v>387600</v>
      </c>
      <c r="G142" s="35">
        <f t="shared" si="19"/>
        <v>1020000</v>
      </c>
    </row>
    <row r="143" spans="1:7">
      <c r="A143" s="16">
        <v>105</v>
      </c>
      <c r="B143" s="36">
        <f t="shared" si="18"/>
        <v>5100</v>
      </c>
      <c r="C143" s="37">
        <f t="shared" si="19"/>
        <v>28050</v>
      </c>
      <c r="D143" s="37">
        <f t="shared" si="19"/>
        <v>61200</v>
      </c>
      <c r="E143" s="37">
        <f t="shared" si="19"/>
        <v>137700</v>
      </c>
      <c r="F143" s="37">
        <f t="shared" si="19"/>
        <v>387600</v>
      </c>
      <c r="G143" s="35">
        <f t="shared" si="19"/>
        <v>1020000</v>
      </c>
    </row>
    <row r="144" spans="1:7">
      <c r="A144" s="16">
        <v>106</v>
      </c>
      <c r="B144" s="36">
        <f t="shared" si="18"/>
        <v>5100</v>
      </c>
      <c r="C144" s="37">
        <f t="shared" si="19"/>
        <v>28050</v>
      </c>
      <c r="D144" s="37">
        <f t="shared" si="19"/>
        <v>61200</v>
      </c>
      <c r="E144" s="37">
        <f t="shared" si="19"/>
        <v>137700</v>
      </c>
      <c r="F144" s="37">
        <f t="shared" si="19"/>
        <v>387600</v>
      </c>
      <c r="G144" s="35">
        <f t="shared" si="19"/>
        <v>1020000</v>
      </c>
    </row>
    <row r="145" spans="1:7">
      <c r="A145" s="16">
        <v>107</v>
      </c>
      <c r="B145" s="36">
        <f t="shared" si="18"/>
        <v>5100</v>
      </c>
      <c r="C145" s="37">
        <f t="shared" si="19"/>
        <v>28050</v>
      </c>
      <c r="D145" s="37">
        <f t="shared" si="19"/>
        <v>61200</v>
      </c>
      <c r="E145" s="37">
        <f t="shared" si="19"/>
        <v>137700</v>
      </c>
      <c r="F145" s="37">
        <f t="shared" si="19"/>
        <v>387600</v>
      </c>
      <c r="G145" s="35">
        <f t="shared" si="19"/>
        <v>1020000</v>
      </c>
    </row>
    <row r="146" spans="1:7">
      <c r="A146" s="16">
        <v>108</v>
      </c>
      <c r="B146" s="36">
        <f t="shared" si="18"/>
        <v>5200</v>
      </c>
      <c r="C146" s="37">
        <f t="shared" si="19"/>
        <v>28600</v>
      </c>
      <c r="D146" s="37">
        <f t="shared" si="19"/>
        <v>62400</v>
      </c>
      <c r="E146" s="37">
        <f t="shared" si="19"/>
        <v>140400</v>
      </c>
      <c r="F146" s="37">
        <f t="shared" si="19"/>
        <v>395200</v>
      </c>
      <c r="G146" s="35">
        <f t="shared" si="19"/>
        <v>1040000</v>
      </c>
    </row>
    <row r="147" spans="1:7">
      <c r="A147" s="16">
        <v>109</v>
      </c>
      <c r="B147" s="36">
        <f t="shared" si="18"/>
        <v>5200</v>
      </c>
      <c r="C147" s="37">
        <f t="shared" si="19"/>
        <v>28600</v>
      </c>
      <c r="D147" s="37">
        <f t="shared" si="19"/>
        <v>62400</v>
      </c>
      <c r="E147" s="37">
        <f t="shared" si="19"/>
        <v>140400</v>
      </c>
      <c r="F147" s="37">
        <f t="shared" si="19"/>
        <v>395200</v>
      </c>
      <c r="G147" s="35">
        <f t="shared" si="19"/>
        <v>1040000</v>
      </c>
    </row>
    <row r="148" spans="1:7">
      <c r="A148" s="16">
        <v>110</v>
      </c>
      <c r="B148" s="36">
        <f t="shared" si="18"/>
        <v>5200</v>
      </c>
      <c r="C148" s="37">
        <f t="shared" si="19"/>
        <v>28600</v>
      </c>
      <c r="D148" s="37">
        <f t="shared" si="19"/>
        <v>62400</v>
      </c>
      <c r="E148" s="37">
        <f t="shared" si="19"/>
        <v>140400</v>
      </c>
      <c r="F148" s="37">
        <f t="shared" si="19"/>
        <v>395200</v>
      </c>
      <c r="G148" s="35">
        <f t="shared" si="19"/>
        <v>1040000</v>
      </c>
    </row>
    <row r="149" spans="1:7">
      <c r="A149" s="16">
        <v>111</v>
      </c>
      <c r="B149" s="36">
        <f t="shared" si="18"/>
        <v>5200</v>
      </c>
      <c r="C149" s="37">
        <f t="shared" si="19"/>
        <v>28600</v>
      </c>
      <c r="D149" s="37">
        <f t="shared" si="19"/>
        <v>62400</v>
      </c>
      <c r="E149" s="37">
        <f t="shared" si="19"/>
        <v>140400</v>
      </c>
      <c r="F149" s="37">
        <f t="shared" si="19"/>
        <v>395200</v>
      </c>
      <c r="G149" s="35">
        <f t="shared" si="19"/>
        <v>1040000</v>
      </c>
    </row>
    <row r="150" spans="1:7">
      <c r="A150" s="16">
        <v>112</v>
      </c>
      <c r="B150" s="36">
        <f t="shared" si="18"/>
        <v>5300</v>
      </c>
      <c r="C150" s="37">
        <f t="shared" si="19"/>
        <v>29150</v>
      </c>
      <c r="D150" s="37">
        <f t="shared" si="19"/>
        <v>63600</v>
      </c>
      <c r="E150" s="37">
        <f t="shared" si="19"/>
        <v>143100</v>
      </c>
      <c r="F150" s="37">
        <f t="shared" si="19"/>
        <v>402800</v>
      </c>
      <c r="G150" s="35">
        <f t="shared" si="19"/>
        <v>1060000</v>
      </c>
    </row>
    <row r="151" spans="1:7">
      <c r="A151" s="16">
        <v>113</v>
      </c>
      <c r="B151" s="36">
        <f t="shared" si="18"/>
        <v>5300</v>
      </c>
      <c r="C151" s="37">
        <f t="shared" si="19"/>
        <v>29150</v>
      </c>
      <c r="D151" s="37">
        <f t="shared" si="19"/>
        <v>63600</v>
      </c>
      <c r="E151" s="37">
        <f t="shared" si="19"/>
        <v>143100</v>
      </c>
      <c r="F151" s="37">
        <f t="shared" si="19"/>
        <v>402800</v>
      </c>
      <c r="G151" s="35">
        <f t="shared" si="19"/>
        <v>1060000</v>
      </c>
    </row>
    <row r="152" spans="1:7">
      <c r="A152" s="16">
        <v>114</v>
      </c>
      <c r="B152" s="36">
        <f t="shared" si="18"/>
        <v>5300</v>
      </c>
      <c r="C152" s="37">
        <f t="shared" si="19"/>
        <v>29150</v>
      </c>
      <c r="D152" s="37">
        <f t="shared" si="19"/>
        <v>63600</v>
      </c>
      <c r="E152" s="37">
        <f t="shared" si="19"/>
        <v>143100</v>
      </c>
      <c r="F152" s="37">
        <f t="shared" si="19"/>
        <v>402800</v>
      </c>
      <c r="G152" s="35">
        <f t="shared" si="19"/>
        <v>1060000</v>
      </c>
    </row>
    <row r="153" spans="1:7">
      <c r="A153" s="16">
        <v>115</v>
      </c>
      <c r="B153" s="36">
        <f t="shared" si="18"/>
        <v>5300</v>
      </c>
      <c r="C153" s="37">
        <f t="shared" si="19"/>
        <v>29150</v>
      </c>
      <c r="D153" s="37">
        <f t="shared" si="19"/>
        <v>63600</v>
      </c>
      <c r="E153" s="37">
        <f t="shared" si="19"/>
        <v>143100</v>
      </c>
      <c r="F153" s="37">
        <f t="shared" si="19"/>
        <v>402800</v>
      </c>
      <c r="G153" s="35">
        <f t="shared" si="19"/>
        <v>1060000</v>
      </c>
    </row>
    <row r="154" spans="1:7">
      <c r="A154" s="16">
        <v>116</v>
      </c>
      <c r="B154" s="36">
        <f t="shared" si="18"/>
        <v>5400</v>
      </c>
      <c r="C154" s="37">
        <f t="shared" si="19"/>
        <v>29700</v>
      </c>
      <c r="D154" s="37">
        <f t="shared" si="19"/>
        <v>64800</v>
      </c>
      <c r="E154" s="37">
        <f t="shared" si="19"/>
        <v>145800</v>
      </c>
      <c r="F154" s="37">
        <f t="shared" si="19"/>
        <v>410400</v>
      </c>
      <c r="G154" s="35">
        <f t="shared" si="19"/>
        <v>1080000</v>
      </c>
    </row>
    <row r="155" spans="1:7">
      <c r="A155" s="16">
        <v>117</v>
      </c>
      <c r="B155" s="36">
        <f t="shared" si="18"/>
        <v>5400</v>
      </c>
      <c r="C155" s="37">
        <f t="shared" si="19"/>
        <v>29700</v>
      </c>
      <c r="D155" s="37">
        <f t="shared" si="19"/>
        <v>64800</v>
      </c>
      <c r="E155" s="37">
        <f t="shared" si="19"/>
        <v>145800</v>
      </c>
      <c r="F155" s="37">
        <f t="shared" si="19"/>
        <v>410400</v>
      </c>
      <c r="G155" s="35">
        <f t="shared" si="19"/>
        <v>1080000</v>
      </c>
    </row>
    <row r="156" spans="1:7">
      <c r="A156" s="16">
        <v>118</v>
      </c>
      <c r="B156" s="36">
        <f t="shared" si="18"/>
        <v>5400</v>
      </c>
      <c r="C156" s="37">
        <f t="shared" si="19"/>
        <v>29700</v>
      </c>
      <c r="D156" s="37">
        <f t="shared" si="19"/>
        <v>64800</v>
      </c>
      <c r="E156" s="37">
        <f t="shared" si="19"/>
        <v>145800</v>
      </c>
      <c r="F156" s="37">
        <f t="shared" si="19"/>
        <v>410400</v>
      </c>
      <c r="G156" s="35">
        <f t="shared" si="19"/>
        <v>1080000</v>
      </c>
    </row>
    <row r="157" spans="1:7">
      <c r="A157" s="16">
        <v>119</v>
      </c>
      <c r="B157" s="36">
        <f t="shared" si="18"/>
        <v>5400</v>
      </c>
      <c r="C157" s="37">
        <f t="shared" si="19"/>
        <v>29700</v>
      </c>
      <c r="D157" s="37">
        <f t="shared" si="19"/>
        <v>64800</v>
      </c>
      <c r="E157" s="37">
        <f t="shared" si="19"/>
        <v>145800</v>
      </c>
      <c r="F157" s="37">
        <f t="shared" si="19"/>
        <v>410400</v>
      </c>
      <c r="G157" s="35">
        <f t="shared" si="19"/>
        <v>1080000</v>
      </c>
    </row>
    <row r="158" spans="1:7">
      <c r="A158" s="16">
        <v>120</v>
      </c>
      <c r="B158" s="36">
        <f t="shared" si="18"/>
        <v>5500</v>
      </c>
      <c r="C158" s="37">
        <f t="shared" si="19"/>
        <v>30250</v>
      </c>
      <c r="D158" s="37">
        <f t="shared" si="19"/>
        <v>66000</v>
      </c>
      <c r="E158" s="37">
        <f t="shared" si="19"/>
        <v>148500</v>
      </c>
      <c r="F158" s="37">
        <f t="shared" si="19"/>
        <v>418000</v>
      </c>
      <c r="G158" s="35">
        <f t="shared" si="19"/>
        <v>1100000</v>
      </c>
    </row>
    <row r="159" spans="1:7">
      <c r="A159" s="16">
        <v>121</v>
      </c>
      <c r="B159" s="36">
        <f t="shared" si="18"/>
        <v>5500</v>
      </c>
      <c r="C159" s="37">
        <f t="shared" si="19"/>
        <v>30250</v>
      </c>
      <c r="D159" s="37">
        <f t="shared" si="19"/>
        <v>66000</v>
      </c>
      <c r="E159" s="37">
        <f t="shared" si="19"/>
        <v>148500</v>
      </c>
      <c r="F159" s="37">
        <f t="shared" si="19"/>
        <v>418000</v>
      </c>
      <c r="G159" s="35">
        <f t="shared" si="19"/>
        <v>1100000</v>
      </c>
    </row>
    <row r="160" spans="1:7">
      <c r="A160" s="16">
        <v>122</v>
      </c>
      <c r="B160" s="36">
        <f t="shared" si="18"/>
        <v>5500</v>
      </c>
      <c r="C160" s="37">
        <f t="shared" si="19"/>
        <v>30250</v>
      </c>
      <c r="D160" s="37">
        <f t="shared" si="19"/>
        <v>66000</v>
      </c>
      <c r="E160" s="37">
        <f t="shared" si="19"/>
        <v>148500</v>
      </c>
      <c r="F160" s="37">
        <f t="shared" si="19"/>
        <v>418000</v>
      </c>
      <c r="G160" s="35">
        <f t="shared" si="19"/>
        <v>1100000</v>
      </c>
    </row>
    <row r="161" spans="1:7">
      <c r="A161" s="16">
        <v>123</v>
      </c>
      <c r="B161" s="36">
        <f t="shared" si="18"/>
        <v>5500</v>
      </c>
      <c r="C161" s="37">
        <f t="shared" si="19"/>
        <v>30250</v>
      </c>
      <c r="D161" s="37">
        <f t="shared" si="19"/>
        <v>66000</v>
      </c>
      <c r="E161" s="37">
        <f t="shared" si="19"/>
        <v>148500</v>
      </c>
      <c r="F161" s="37">
        <f t="shared" si="19"/>
        <v>418000</v>
      </c>
      <c r="G161" s="35">
        <f t="shared" si="19"/>
        <v>1100000</v>
      </c>
    </row>
    <row r="162" spans="1:7">
      <c r="A162" s="16">
        <v>124</v>
      </c>
      <c r="B162" s="36">
        <f t="shared" si="18"/>
        <v>5600</v>
      </c>
      <c r="C162" s="37">
        <f t="shared" si="19"/>
        <v>30800</v>
      </c>
      <c r="D162" s="37">
        <f t="shared" si="19"/>
        <v>67200</v>
      </c>
      <c r="E162" s="37">
        <f t="shared" si="19"/>
        <v>151200</v>
      </c>
      <c r="F162" s="37">
        <f t="shared" si="19"/>
        <v>425600</v>
      </c>
      <c r="G162" s="35">
        <f t="shared" si="19"/>
        <v>1120000</v>
      </c>
    </row>
    <row r="163" spans="1:7">
      <c r="A163" s="16">
        <v>125</v>
      </c>
      <c r="B163" s="36">
        <f t="shared" si="18"/>
        <v>5600</v>
      </c>
      <c r="C163" s="37">
        <f t="shared" si="19"/>
        <v>30800</v>
      </c>
      <c r="D163" s="37">
        <f t="shared" si="19"/>
        <v>67200</v>
      </c>
      <c r="E163" s="37">
        <f t="shared" si="19"/>
        <v>151200</v>
      </c>
      <c r="F163" s="37">
        <f t="shared" si="19"/>
        <v>425600</v>
      </c>
      <c r="G163" s="35">
        <f t="shared" si="19"/>
        <v>1120000</v>
      </c>
    </row>
    <row r="164" spans="1:7">
      <c r="A164" s="16">
        <v>126</v>
      </c>
      <c r="B164" s="36">
        <f t="shared" si="18"/>
        <v>5600</v>
      </c>
      <c r="C164" s="37">
        <f t="shared" si="19"/>
        <v>30800</v>
      </c>
      <c r="D164" s="37">
        <f t="shared" si="19"/>
        <v>67200</v>
      </c>
      <c r="E164" s="37">
        <f t="shared" si="19"/>
        <v>151200</v>
      </c>
      <c r="F164" s="37">
        <f t="shared" si="19"/>
        <v>425600</v>
      </c>
      <c r="G164" s="35">
        <f t="shared" si="19"/>
        <v>1120000</v>
      </c>
    </row>
    <row r="165" spans="1:7">
      <c r="A165" s="16">
        <v>127</v>
      </c>
      <c r="B165" s="36">
        <f t="shared" si="18"/>
        <v>5600</v>
      </c>
      <c r="C165" s="37">
        <f t="shared" si="19"/>
        <v>30800</v>
      </c>
      <c r="D165" s="37">
        <f t="shared" si="19"/>
        <v>67200</v>
      </c>
      <c r="E165" s="37">
        <f t="shared" si="19"/>
        <v>151200</v>
      </c>
      <c r="F165" s="37">
        <f t="shared" si="19"/>
        <v>425600</v>
      </c>
      <c r="G165" s="35">
        <f t="shared" si="19"/>
        <v>1120000</v>
      </c>
    </row>
    <row r="166" spans="1:7">
      <c r="A166" s="16">
        <v>128</v>
      </c>
      <c r="B166" s="36">
        <f t="shared" si="18"/>
        <v>5700</v>
      </c>
      <c r="C166" s="37">
        <f t="shared" si="19"/>
        <v>31350</v>
      </c>
      <c r="D166" s="37">
        <f t="shared" si="19"/>
        <v>68400</v>
      </c>
      <c r="E166" s="37">
        <f t="shared" si="19"/>
        <v>153900</v>
      </c>
      <c r="F166" s="37">
        <f t="shared" si="19"/>
        <v>433200</v>
      </c>
      <c r="G166" s="35">
        <f t="shared" si="19"/>
        <v>1140000</v>
      </c>
    </row>
    <row r="167" spans="1:7">
      <c r="A167" s="16">
        <v>129</v>
      </c>
      <c r="B167" s="36">
        <f t="shared" si="18"/>
        <v>5700</v>
      </c>
      <c r="C167" s="37">
        <f t="shared" si="19"/>
        <v>31350</v>
      </c>
      <c r="D167" s="37">
        <f t="shared" si="19"/>
        <v>68400</v>
      </c>
      <c r="E167" s="37">
        <f t="shared" si="19"/>
        <v>153900</v>
      </c>
      <c r="F167" s="37">
        <f t="shared" si="19"/>
        <v>433200</v>
      </c>
      <c r="G167" s="35">
        <f t="shared" si="19"/>
        <v>1140000</v>
      </c>
    </row>
    <row r="168" spans="1:7">
      <c r="A168" s="16">
        <v>130</v>
      </c>
      <c r="B168" s="36">
        <f t="shared" si="18"/>
        <v>5700</v>
      </c>
      <c r="C168" s="37">
        <f t="shared" si="19"/>
        <v>31350</v>
      </c>
      <c r="D168" s="37">
        <f t="shared" si="19"/>
        <v>68400</v>
      </c>
      <c r="E168" s="37">
        <f t="shared" si="19"/>
        <v>153900</v>
      </c>
      <c r="F168" s="37">
        <f t="shared" si="19"/>
        <v>433200</v>
      </c>
      <c r="G168" s="35">
        <f t="shared" si="19"/>
        <v>1140000</v>
      </c>
    </row>
    <row r="169" spans="1:7">
      <c r="A169" s="16">
        <v>131</v>
      </c>
      <c r="B169" s="36">
        <f t="shared" si="18"/>
        <v>5700</v>
      </c>
      <c r="C169" s="37">
        <f t="shared" si="19"/>
        <v>31350</v>
      </c>
      <c r="D169" s="37">
        <f t="shared" si="19"/>
        <v>68400</v>
      </c>
      <c r="E169" s="37">
        <f t="shared" si="19"/>
        <v>153900</v>
      </c>
      <c r="F169" s="37">
        <f t="shared" si="19"/>
        <v>433200</v>
      </c>
      <c r="G169" s="35">
        <f t="shared" si="19"/>
        <v>1140000</v>
      </c>
    </row>
    <row r="170" spans="1:7">
      <c r="A170" s="16">
        <v>132</v>
      </c>
      <c r="B170" s="36">
        <f t="shared" si="18"/>
        <v>5800</v>
      </c>
      <c r="C170" s="37">
        <f t="shared" si="19"/>
        <v>31900</v>
      </c>
      <c r="D170" s="37">
        <f t="shared" si="19"/>
        <v>69600</v>
      </c>
      <c r="E170" s="37">
        <f t="shared" si="19"/>
        <v>156600</v>
      </c>
      <c r="F170" s="37">
        <f t="shared" si="19"/>
        <v>440800</v>
      </c>
      <c r="G170" s="35">
        <f t="shared" si="19"/>
        <v>1160000</v>
      </c>
    </row>
    <row r="171" spans="1:7">
      <c r="A171" s="16">
        <v>133</v>
      </c>
      <c r="B171" s="36">
        <f t="shared" si="18"/>
        <v>5800</v>
      </c>
      <c r="C171" s="37">
        <f t="shared" si="19"/>
        <v>31900</v>
      </c>
      <c r="D171" s="37">
        <f t="shared" si="19"/>
        <v>69600</v>
      </c>
      <c r="E171" s="37">
        <f t="shared" si="19"/>
        <v>156600</v>
      </c>
      <c r="F171" s="37">
        <f t="shared" si="19"/>
        <v>440800</v>
      </c>
      <c r="G171" s="35">
        <f t="shared" si="19"/>
        <v>1160000</v>
      </c>
    </row>
    <row r="172" spans="1:7">
      <c r="A172" s="16">
        <v>134</v>
      </c>
      <c r="B172" s="36">
        <f t="shared" si="18"/>
        <v>5800</v>
      </c>
      <c r="C172" s="37">
        <f t="shared" si="19"/>
        <v>31900</v>
      </c>
      <c r="D172" s="37">
        <f t="shared" si="19"/>
        <v>69600</v>
      </c>
      <c r="E172" s="37">
        <f t="shared" si="19"/>
        <v>156600</v>
      </c>
      <c r="F172" s="37">
        <f t="shared" si="19"/>
        <v>440800</v>
      </c>
      <c r="G172" s="35">
        <f t="shared" si="19"/>
        <v>1160000</v>
      </c>
    </row>
    <row r="173" spans="1:7">
      <c r="A173" s="16">
        <v>135</v>
      </c>
      <c r="B173" s="36">
        <f t="shared" si="18"/>
        <v>5800</v>
      </c>
      <c r="C173" s="37">
        <f t="shared" si="19"/>
        <v>31900</v>
      </c>
      <c r="D173" s="37">
        <f t="shared" si="19"/>
        <v>69600</v>
      </c>
      <c r="E173" s="37">
        <f t="shared" si="19"/>
        <v>156600</v>
      </c>
      <c r="F173" s="37">
        <f t="shared" si="19"/>
        <v>440800</v>
      </c>
      <c r="G173" s="35">
        <f t="shared" si="19"/>
        <v>1160000</v>
      </c>
    </row>
    <row r="174" spans="1:7">
      <c r="A174" s="16">
        <v>136</v>
      </c>
      <c r="B174" s="36">
        <f t="shared" si="18"/>
        <v>5900</v>
      </c>
      <c r="C174" s="37">
        <f t="shared" si="19"/>
        <v>32450</v>
      </c>
      <c r="D174" s="37">
        <f t="shared" si="19"/>
        <v>70800</v>
      </c>
      <c r="E174" s="37">
        <f t="shared" si="19"/>
        <v>159300</v>
      </c>
      <c r="F174" s="37">
        <f t="shared" si="19"/>
        <v>448400</v>
      </c>
      <c r="G174" s="35">
        <f t="shared" si="19"/>
        <v>1180000</v>
      </c>
    </row>
    <row r="175" spans="1:7">
      <c r="A175" s="16">
        <v>137</v>
      </c>
      <c r="B175" s="36">
        <f t="shared" si="18"/>
        <v>5900</v>
      </c>
      <c r="C175" s="37">
        <f t="shared" si="19"/>
        <v>32450</v>
      </c>
      <c r="D175" s="37">
        <f t="shared" si="19"/>
        <v>70800</v>
      </c>
      <c r="E175" s="37">
        <f t="shared" si="19"/>
        <v>159300</v>
      </c>
      <c r="F175" s="37">
        <f t="shared" si="19"/>
        <v>448400</v>
      </c>
      <c r="G175" s="35">
        <f t="shared" si="19"/>
        <v>1180000</v>
      </c>
    </row>
    <row r="176" spans="1:7">
      <c r="A176" s="16">
        <v>138</v>
      </c>
      <c r="B176" s="36">
        <f t="shared" si="18"/>
        <v>5900</v>
      </c>
      <c r="C176" s="37">
        <f t="shared" si="19"/>
        <v>32450</v>
      </c>
      <c r="D176" s="37">
        <f t="shared" si="19"/>
        <v>70800</v>
      </c>
      <c r="E176" s="37">
        <f t="shared" si="19"/>
        <v>159300</v>
      </c>
      <c r="F176" s="37">
        <f t="shared" si="19"/>
        <v>448400</v>
      </c>
      <c r="G176" s="35">
        <f t="shared" si="19"/>
        <v>1180000</v>
      </c>
    </row>
    <row r="177" spans="1:7">
      <c r="A177" s="16">
        <v>139</v>
      </c>
      <c r="B177" s="36">
        <f t="shared" si="18"/>
        <v>5900</v>
      </c>
      <c r="C177" s="37">
        <f t="shared" si="19"/>
        <v>32450</v>
      </c>
      <c r="D177" s="37">
        <f t="shared" si="19"/>
        <v>70800</v>
      </c>
      <c r="E177" s="37">
        <f t="shared" si="19"/>
        <v>159300</v>
      </c>
      <c r="F177" s="37">
        <f t="shared" si="19"/>
        <v>448400</v>
      </c>
      <c r="G177" s="35">
        <f t="shared" si="19"/>
        <v>1180000</v>
      </c>
    </row>
    <row r="178" spans="1:7">
      <c r="A178" s="16">
        <v>140</v>
      </c>
      <c r="B178" s="36">
        <f t="shared" si="18"/>
        <v>6000</v>
      </c>
      <c r="C178" s="37">
        <f t="shared" si="19"/>
        <v>33000</v>
      </c>
      <c r="D178" s="37">
        <f t="shared" si="19"/>
        <v>72000</v>
      </c>
      <c r="E178" s="37">
        <f t="shared" si="19"/>
        <v>162000</v>
      </c>
      <c r="F178" s="37">
        <f t="shared" si="19"/>
        <v>456000</v>
      </c>
      <c r="G178" s="35">
        <f t="shared" si="19"/>
        <v>1200000</v>
      </c>
    </row>
    <row r="179" spans="1:7">
      <c r="A179" s="16">
        <v>141</v>
      </c>
      <c r="B179" s="36">
        <f t="shared" si="18"/>
        <v>6000</v>
      </c>
      <c r="C179" s="37">
        <f t="shared" si="19"/>
        <v>33000</v>
      </c>
      <c r="D179" s="37">
        <f t="shared" si="19"/>
        <v>72000</v>
      </c>
      <c r="E179" s="37">
        <f t="shared" si="19"/>
        <v>162000</v>
      </c>
      <c r="F179" s="37">
        <f t="shared" si="19"/>
        <v>456000</v>
      </c>
      <c r="G179" s="35">
        <f t="shared" si="19"/>
        <v>1200000</v>
      </c>
    </row>
    <row r="180" spans="1:7">
      <c r="A180" s="16">
        <v>142</v>
      </c>
      <c r="B180" s="36">
        <f t="shared" si="18"/>
        <v>6000</v>
      </c>
      <c r="C180" s="37">
        <f t="shared" si="19"/>
        <v>33000</v>
      </c>
      <c r="D180" s="37">
        <f t="shared" si="19"/>
        <v>72000</v>
      </c>
      <c r="E180" s="37">
        <f t="shared" si="19"/>
        <v>162000</v>
      </c>
      <c r="F180" s="37">
        <f t="shared" si="19"/>
        <v>456000</v>
      </c>
      <c r="G180" s="35">
        <f t="shared" si="19"/>
        <v>1200000</v>
      </c>
    </row>
    <row r="181" spans="1:7">
      <c r="A181" s="16">
        <v>143</v>
      </c>
      <c r="B181" s="36">
        <f t="shared" si="18"/>
        <v>6000</v>
      </c>
      <c r="C181" s="37">
        <f t="shared" si="19"/>
        <v>33000</v>
      </c>
      <c r="D181" s="37">
        <f t="shared" si="19"/>
        <v>72000</v>
      </c>
      <c r="E181" s="37">
        <f t="shared" si="19"/>
        <v>162000</v>
      </c>
      <c r="F181" s="37">
        <f t="shared" si="19"/>
        <v>456000</v>
      </c>
      <c r="G181" s="35">
        <f t="shared" si="19"/>
        <v>1200000</v>
      </c>
    </row>
    <row r="182" spans="1:7">
      <c r="A182" s="16">
        <v>144</v>
      </c>
      <c r="B182" s="36">
        <f t="shared" si="18"/>
        <v>6100</v>
      </c>
      <c r="C182" s="37">
        <f t="shared" si="19"/>
        <v>33550</v>
      </c>
      <c r="D182" s="37">
        <f t="shared" si="19"/>
        <v>73200</v>
      </c>
      <c r="E182" s="37">
        <f t="shared" si="19"/>
        <v>164700</v>
      </c>
      <c r="F182" s="37">
        <f t="shared" si="19"/>
        <v>463600</v>
      </c>
      <c r="G182" s="35">
        <f t="shared" si="19"/>
        <v>1220000</v>
      </c>
    </row>
    <row r="183" spans="1:7">
      <c r="A183" s="16">
        <v>145</v>
      </c>
      <c r="B183" s="36">
        <f t="shared" si="18"/>
        <v>6100</v>
      </c>
      <c r="C183" s="37">
        <f t="shared" si="19"/>
        <v>33550</v>
      </c>
      <c r="D183" s="37">
        <f t="shared" si="19"/>
        <v>73200</v>
      </c>
      <c r="E183" s="37">
        <f t="shared" si="19"/>
        <v>164700</v>
      </c>
      <c r="F183" s="37">
        <f t="shared" si="19"/>
        <v>463600</v>
      </c>
      <c r="G183" s="35">
        <f t="shared" si="19"/>
        <v>1220000</v>
      </c>
    </row>
    <row r="184" spans="1:7">
      <c r="A184" s="16">
        <v>146</v>
      </c>
      <c r="B184" s="36">
        <f t="shared" si="18"/>
        <v>6100</v>
      </c>
      <c r="C184" s="37">
        <f t="shared" si="19"/>
        <v>33550</v>
      </c>
      <c r="D184" s="37">
        <f t="shared" si="19"/>
        <v>73200</v>
      </c>
      <c r="E184" s="37">
        <f t="shared" si="19"/>
        <v>164700</v>
      </c>
      <c r="F184" s="37">
        <f t="shared" si="19"/>
        <v>463600</v>
      </c>
      <c r="G184" s="35">
        <f t="shared" si="19"/>
        <v>1220000</v>
      </c>
    </row>
    <row r="185" spans="1:7">
      <c r="A185" s="16">
        <v>147</v>
      </c>
      <c r="B185" s="36">
        <f t="shared" si="18"/>
        <v>6100</v>
      </c>
      <c r="C185" s="37">
        <f t="shared" si="19"/>
        <v>33550</v>
      </c>
      <c r="D185" s="37">
        <f t="shared" si="19"/>
        <v>73200</v>
      </c>
      <c r="E185" s="37">
        <f t="shared" si="19"/>
        <v>164700</v>
      </c>
      <c r="F185" s="37">
        <f t="shared" si="19"/>
        <v>463600</v>
      </c>
      <c r="G185" s="35">
        <f t="shared" si="19"/>
        <v>1220000</v>
      </c>
    </row>
    <row r="186" spans="1:7">
      <c r="A186" s="16">
        <v>148</v>
      </c>
      <c r="B186" s="36">
        <f t="shared" si="18"/>
        <v>6200</v>
      </c>
      <c r="C186" s="37">
        <f t="shared" si="19"/>
        <v>34100</v>
      </c>
      <c r="D186" s="37">
        <f t="shared" si="19"/>
        <v>74400</v>
      </c>
      <c r="E186" s="37">
        <f t="shared" si="19"/>
        <v>167400</v>
      </c>
      <c r="F186" s="37">
        <f t="shared" si="19"/>
        <v>471200</v>
      </c>
      <c r="G186" s="35">
        <f t="shared" si="19"/>
        <v>1240000</v>
      </c>
    </row>
    <row r="187" spans="1:7">
      <c r="A187" s="16">
        <v>149</v>
      </c>
      <c r="B187" s="36">
        <f t="shared" si="18"/>
        <v>6200</v>
      </c>
      <c r="C187" s="37">
        <f t="shared" si="19"/>
        <v>34100</v>
      </c>
      <c r="D187" s="37">
        <f t="shared" si="19"/>
        <v>74400</v>
      </c>
      <c r="E187" s="37">
        <f t="shared" si="19"/>
        <v>167400</v>
      </c>
      <c r="F187" s="37">
        <f t="shared" si="19"/>
        <v>471200</v>
      </c>
      <c r="G187" s="35">
        <f t="shared" si="19"/>
        <v>1240000</v>
      </c>
    </row>
    <row r="188" spans="1:7">
      <c r="A188" s="16">
        <v>150</v>
      </c>
      <c r="B188" s="36">
        <f t="shared" si="18"/>
        <v>6200</v>
      </c>
      <c r="C188" s="37">
        <f t="shared" si="19"/>
        <v>34100</v>
      </c>
      <c r="D188" s="37">
        <f t="shared" si="19"/>
        <v>74400</v>
      </c>
      <c r="E188" s="37">
        <f t="shared" si="19"/>
        <v>167400</v>
      </c>
      <c r="F188" s="37">
        <f t="shared" si="19"/>
        <v>471200</v>
      </c>
      <c r="G188" s="35">
        <f t="shared" si="19"/>
        <v>1240000</v>
      </c>
    </row>
    <row r="189" spans="1:7">
      <c r="A189" s="16">
        <v>151</v>
      </c>
      <c r="B189" s="36">
        <f t="shared" si="18"/>
        <v>6200</v>
      </c>
      <c r="C189" s="37">
        <f t="shared" si="19"/>
        <v>34100</v>
      </c>
      <c r="D189" s="37">
        <f t="shared" si="19"/>
        <v>74400</v>
      </c>
      <c r="E189" s="37">
        <f t="shared" si="19"/>
        <v>167400</v>
      </c>
      <c r="F189" s="37">
        <f t="shared" si="19"/>
        <v>471200</v>
      </c>
      <c r="G189" s="35">
        <f t="shared" si="19"/>
        <v>1240000</v>
      </c>
    </row>
    <row r="190" spans="1:7">
      <c r="A190" s="16">
        <v>152</v>
      </c>
      <c r="B190" s="36">
        <f t="shared" si="18"/>
        <v>6300</v>
      </c>
      <c r="C190" s="37">
        <f t="shared" ref="C190:G239" si="20">$B190/$B$38*C$38</f>
        <v>34650</v>
      </c>
      <c r="D190" s="37">
        <f t="shared" si="20"/>
        <v>75600</v>
      </c>
      <c r="E190" s="37">
        <f t="shared" si="20"/>
        <v>170100</v>
      </c>
      <c r="F190" s="37">
        <f t="shared" si="20"/>
        <v>478800</v>
      </c>
      <c r="G190" s="35">
        <f t="shared" si="20"/>
        <v>1260000</v>
      </c>
    </row>
    <row r="191" spans="1:7">
      <c r="A191" s="16">
        <v>153</v>
      </c>
      <c r="B191" s="36">
        <f t="shared" si="18"/>
        <v>6300</v>
      </c>
      <c r="C191" s="37">
        <f t="shared" si="20"/>
        <v>34650</v>
      </c>
      <c r="D191" s="37">
        <f t="shared" si="20"/>
        <v>75600</v>
      </c>
      <c r="E191" s="37">
        <f t="shared" si="20"/>
        <v>170100</v>
      </c>
      <c r="F191" s="37">
        <f t="shared" si="20"/>
        <v>478800</v>
      </c>
      <c r="G191" s="35">
        <f t="shared" si="20"/>
        <v>1260000</v>
      </c>
    </row>
    <row r="192" spans="1:7">
      <c r="A192" s="16">
        <v>154</v>
      </c>
      <c r="B192" s="36">
        <f t="shared" si="18"/>
        <v>6300</v>
      </c>
      <c r="C192" s="37">
        <f t="shared" si="20"/>
        <v>34650</v>
      </c>
      <c r="D192" s="37">
        <f t="shared" si="20"/>
        <v>75600</v>
      </c>
      <c r="E192" s="37">
        <f t="shared" si="20"/>
        <v>170100</v>
      </c>
      <c r="F192" s="37">
        <f t="shared" si="20"/>
        <v>478800</v>
      </c>
      <c r="G192" s="35">
        <f t="shared" si="20"/>
        <v>1260000</v>
      </c>
    </row>
    <row r="193" spans="1:7">
      <c r="A193" s="16">
        <v>155</v>
      </c>
      <c r="B193" s="36">
        <f t="shared" si="18"/>
        <v>6300</v>
      </c>
      <c r="C193" s="37">
        <f t="shared" si="20"/>
        <v>34650</v>
      </c>
      <c r="D193" s="37">
        <f t="shared" si="20"/>
        <v>75600</v>
      </c>
      <c r="E193" s="37">
        <f t="shared" si="20"/>
        <v>170100</v>
      </c>
      <c r="F193" s="37">
        <f t="shared" si="20"/>
        <v>478800</v>
      </c>
      <c r="G193" s="35">
        <f t="shared" si="20"/>
        <v>1260000</v>
      </c>
    </row>
    <row r="194" spans="1:7">
      <c r="A194" s="16">
        <v>156</v>
      </c>
      <c r="B194" s="36">
        <f t="shared" si="18"/>
        <v>6400</v>
      </c>
      <c r="C194" s="37">
        <f t="shared" si="20"/>
        <v>35200</v>
      </c>
      <c r="D194" s="37">
        <f t="shared" si="20"/>
        <v>76800</v>
      </c>
      <c r="E194" s="37">
        <f t="shared" si="20"/>
        <v>172800</v>
      </c>
      <c r="F194" s="37">
        <f t="shared" si="20"/>
        <v>486400</v>
      </c>
      <c r="G194" s="35">
        <f t="shared" si="20"/>
        <v>1280000</v>
      </c>
    </row>
    <row r="195" spans="1:7">
      <c r="A195" s="16">
        <v>157</v>
      </c>
      <c r="B195" s="36">
        <f t="shared" si="18"/>
        <v>6400</v>
      </c>
      <c r="C195" s="37">
        <f t="shared" si="20"/>
        <v>35200</v>
      </c>
      <c r="D195" s="37">
        <f t="shared" si="20"/>
        <v>76800</v>
      </c>
      <c r="E195" s="37">
        <f t="shared" si="20"/>
        <v>172800</v>
      </c>
      <c r="F195" s="37">
        <f t="shared" si="20"/>
        <v>486400</v>
      </c>
      <c r="G195" s="35">
        <f t="shared" si="20"/>
        <v>1280000</v>
      </c>
    </row>
    <row r="196" spans="1:7">
      <c r="A196" s="16">
        <v>158</v>
      </c>
      <c r="B196" s="36">
        <f t="shared" si="18"/>
        <v>6400</v>
      </c>
      <c r="C196" s="37">
        <f t="shared" si="20"/>
        <v>35200</v>
      </c>
      <c r="D196" s="37">
        <f t="shared" si="20"/>
        <v>76800</v>
      </c>
      <c r="E196" s="37">
        <f t="shared" si="20"/>
        <v>172800</v>
      </c>
      <c r="F196" s="37">
        <f t="shared" si="20"/>
        <v>486400</v>
      </c>
      <c r="G196" s="35">
        <f t="shared" si="20"/>
        <v>1280000</v>
      </c>
    </row>
    <row r="197" spans="1:7">
      <c r="A197" s="16">
        <v>159</v>
      </c>
      <c r="B197" s="36">
        <f t="shared" si="18"/>
        <v>6400</v>
      </c>
      <c r="C197" s="37">
        <f t="shared" si="20"/>
        <v>35200</v>
      </c>
      <c r="D197" s="37">
        <f t="shared" si="20"/>
        <v>76800</v>
      </c>
      <c r="E197" s="37">
        <f t="shared" si="20"/>
        <v>172800</v>
      </c>
      <c r="F197" s="37">
        <f t="shared" si="20"/>
        <v>486400</v>
      </c>
      <c r="G197" s="35">
        <f t="shared" si="20"/>
        <v>1280000</v>
      </c>
    </row>
    <row r="198" spans="1:7">
      <c r="A198" s="16">
        <v>160</v>
      </c>
      <c r="B198" s="36">
        <f t="shared" si="18"/>
        <v>6500</v>
      </c>
      <c r="C198" s="37">
        <f t="shared" si="20"/>
        <v>35750</v>
      </c>
      <c r="D198" s="37">
        <f t="shared" si="20"/>
        <v>78000</v>
      </c>
      <c r="E198" s="37">
        <f t="shared" si="20"/>
        <v>175500</v>
      </c>
      <c r="F198" s="37">
        <f t="shared" si="20"/>
        <v>494000</v>
      </c>
      <c r="G198" s="35">
        <f t="shared" si="20"/>
        <v>1300000</v>
      </c>
    </row>
    <row r="199" spans="1:7">
      <c r="A199" s="16">
        <v>161</v>
      </c>
      <c r="B199" s="36">
        <f t="shared" si="18"/>
        <v>6500</v>
      </c>
      <c r="C199" s="37">
        <f t="shared" si="20"/>
        <v>35750</v>
      </c>
      <c r="D199" s="37">
        <f t="shared" si="20"/>
        <v>78000</v>
      </c>
      <c r="E199" s="37">
        <f t="shared" si="20"/>
        <v>175500</v>
      </c>
      <c r="F199" s="37">
        <f t="shared" si="20"/>
        <v>494000</v>
      </c>
      <c r="G199" s="35">
        <f t="shared" si="20"/>
        <v>1300000</v>
      </c>
    </row>
    <row r="200" spans="1:7">
      <c r="A200" s="16">
        <v>162</v>
      </c>
      <c r="B200" s="36">
        <f t="shared" si="18"/>
        <v>6500</v>
      </c>
      <c r="C200" s="37">
        <f t="shared" si="20"/>
        <v>35750</v>
      </c>
      <c r="D200" s="37">
        <f t="shared" si="20"/>
        <v>78000</v>
      </c>
      <c r="E200" s="37">
        <f t="shared" si="20"/>
        <v>175500</v>
      </c>
      <c r="F200" s="37">
        <f t="shared" si="20"/>
        <v>494000</v>
      </c>
      <c r="G200" s="35">
        <f t="shared" si="20"/>
        <v>1300000</v>
      </c>
    </row>
    <row r="201" spans="1:7">
      <c r="A201" s="16">
        <v>163</v>
      </c>
      <c r="B201" s="36">
        <f t="shared" si="18"/>
        <v>6500</v>
      </c>
      <c r="C201" s="37">
        <f t="shared" si="20"/>
        <v>35750</v>
      </c>
      <c r="D201" s="37">
        <f t="shared" si="20"/>
        <v>78000</v>
      </c>
      <c r="E201" s="37">
        <f t="shared" si="20"/>
        <v>175500</v>
      </c>
      <c r="F201" s="37">
        <f t="shared" si="20"/>
        <v>494000</v>
      </c>
      <c r="G201" s="35">
        <f t="shared" si="20"/>
        <v>1300000</v>
      </c>
    </row>
    <row r="202" spans="1:7">
      <c r="A202" s="16">
        <v>164</v>
      </c>
      <c r="B202" s="36">
        <f t="shared" ref="B202:B239" si="21">ROUNDDOWN(50*(1+A202/100)/2,0)*2*B$38</f>
        <v>6600</v>
      </c>
      <c r="C202" s="37">
        <f t="shared" si="20"/>
        <v>36300</v>
      </c>
      <c r="D202" s="37">
        <f t="shared" si="20"/>
        <v>79200</v>
      </c>
      <c r="E202" s="37">
        <f t="shared" si="20"/>
        <v>178200</v>
      </c>
      <c r="F202" s="37">
        <f t="shared" si="20"/>
        <v>501600</v>
      </c>
      <c r="G202" s="35">
        <f t="shared" si="20"/>
        <v>1320000</v>
      </c>
    </row>
    <row r="203" spans="1:7">
      <c r="A203" s="16">
        <v>165</v>
      </c>
      <c r="B203" s="36">
        <f t="shared" si="21"/>
        <v>6600</v>
      </c>
      <c r="C203" s="37">
        <f t="shared" si="20"/>
        <v>36300</v>
      </c>
      <c r="D203" s="37">
        <f t="shared" si="20"/>
        <v>79200</v>
      </c>
      <c r="E203" s="37">
        <f t="shared" si="20"/>
        <v>178200</v>
      </c>
      <c r="F203" s="37">
        <f t="shared" si="20"/>
        <v>501600</v>
      </c>
      <c r="G203" s="35">
        <f t="shared" si="20"/>
        <v>1320000</v>
      </c>
    </row>
    <row r="204" spans="1:7">
      <c r="A204" s="16">
        <v>166</v>
      </c>
      <c r="B204" s="36">
        <f t="shared" si="21"/>
        <v>6600</v>
      </c>
      <c r="C204" s="37">
        <f t="shared" si="20"/>
        <v>36300</v>
      </c>
      <c r="D204" s="37">
        <f t="shared" si="20"/>
        <v>79200</v>
      </c>
      <c r="E204" s="37">
        <f t="shared" si="20"/>
        <v>178200</v>
      </c>
      <c r="F204" s="37">
        <f t="shared" si="20"/>
        <v>501600</v>
      </c>
      <c r="G204" s="35">
        <f t="shared" si="20"/>
        <v>1320000</v>
      </c>
    </row>
    <row r="205" spans="1:7">
      <c r="A205" s="16">
        <v>167</v>
      </c>
      <c r="B205" s="36">
        <f t="shared" si="21"/>
        <v>6600</v>
      </c>
      <c r="C205" s="37">
        <f t="shared" si="20"/>
        <v>36300</v>
      </c>
      <c r="D205" s="37">
        <f t="shared" si="20"/>
        <v>79200</v>
      </c>
      <c r="E205" s="37">
        <f t="shared" si="20"/>
        <v>178200</v>
      </c>
      <c r="F205" s="37">
        <f t="shared" si="20"/>
        <v>501600</v>
      </c>
      <c r="G205" s="35">
        <f t="shared" si="20"/>
        <v>1320000</v>
      </c>
    </row>
    <row r="206" spans="1:7">
      <c r="A206" s="16">
        <v>168</v>
      </c>
      <c r="B206" s="36">
        <f t="shared" si="21"/>
        <v>6700</v>
      </c>
      <c r="C206" s="37">
        <f t="shared" si="20"/>
        <v>36850</v>
      </c>
      <c r="D206" s="37">
        <f t="shared" si="20"/>
        <v>80400</v>
      </c>
      <c r="E206" s="37">
        <f t="shared" si="20"/>
        <v>180900</v>
      </c>
      <c r="F206" s="37">
        <f t="shared" si="20"/>
        <v>509200</v>
      </c>
      <c r="G206" s="35">
        <f t="shared" si="20"/>
        <v>1340000</v>
      </c>
    </row>
    <row r="207" spans="1:7">
      <c r="A207" s="16">
        <v>169</v>
      </c>
      <c r="B207" s="36">
        <f t="shared" si="21"/>
        <v>6700</v>
      </c>
      <c r="C207" s="37">
        <f t="shared" si="20"/>
        <v>36850</v>
      </c>
      <c r="D207" s="37">
        <f t="shared" si="20"/>
        <v>80400</v>
      </c>
      <c r="E207" s="37">
        <f t="shared" si="20"/>
        <v>180900</v>
      </c>
      <c r="F207" s="37">
        <f t="shared" si="20"/>
        <v>509200</v>
      </c>
      <c r="G207" s="35">
        <f t="shared" si="20"/>
        <v>1340000</v>
      </c>
    </row>
    <row r="208" spans="1:7">
      <c r="A208" s="16">
        <v>170</v>
      </c>
      <c r="B208" s="36">
        <f t="shared" si="21"/>
        <v>6700</v>
      </c>
      <c r="C208" s="37">
        <f t="shared" si="20"/>
        <v>36850</v>
      </c>
      <c r="D208" s="37">
        <f t="shared" si="20"/>
        <v>80400</v>
      </c>
      <c r="E208" s="37">
        <f t="shared" si="20"/>
        <v>180900</v>
      </c>
      <c r="F208" s="37">
        <f t="shared" si="20"/>
        <v>509200</v>
      </c>
      <c r="G208" s="35">
        <f t="shared" si="20"/>
        <v>1340000</v>
      </c>
    </row>
    <row r="209" spans="1:7">
      <c r="A209" s="16">
        <v>171</v>
      </c>
      <c r="B209" s="36">
        <f t="shared" si="21"/>
        <v>6700</v>
      </c>
      <c r="C209" s="37">
        <f t="shared" si="20"/>
        <v>36850</v>
      </c>
      <c r="D209" s="37">
        <f t="shared" si="20"/>
        <v>80400</v>
      </c>
      <c r="E209" s="37">
        <f t="shared" si="20"/>
        <v>180900</v>
      </c>
      <c r="F209" s="37">
        <f t="shared" si="20"/>
        <v>509200</v>
      </c>
      <c r="G209" s="35">
        <f t="shared" si="20"/>
        <v>1340000</v>
      </c>
    </row>
    <row r="210" spans="1:7">
      <c r="A210" s="16">
        <v>172</v>
      </c>
      <c r="B210" s="36">
        <f t="shared" si="21"/>
        <v>6800</v>
      </c>
      <c r="C210" s="37">
        <f t="shared" si="20"/>
        <v>37400</v>
      </c>
      <c r="D210" s="37">
        <f t="shared" si="20"/>
        <v>81600</v>
      </c>
      <c r="E210" s="37">
        <f t="shared" si="20"/>
        <v>183600</v>
      </c>
      <c r="F210" s="37">
        <f t="shared" si="20"/>
        <v>516800</v>
      </c>
      <c r="G210" s="35">
        <f t="shared" si="20"/>
        <v>1360000</v>
      </c>
    </row>
    <row r="211" spans="1:7">
      <c r="A211" s="16">
        <v>173</v>
      </c>
      <c r="B211" s="36">
        <f t="shared" si="21"/>
        <v>6800</v>
      </c>
      <c r="C211" s="37">
        <f t="shared" si="20"/>
        <v>37400</v>
      </c>
      <c r="D211" s="37">
        <f t="shared" si="20"/>
        <v>81600</v>
      </c>
      <c r="E211" s="37">
        <f t="shared" si="20"/>
        <v>183600</v>
      </c>
      <c r="F211" s="37">
        <f t="shared" si="20"/>
        <v>516800</v>
      </c>
      <c r="G211" s="35">
        <f t="shared" si="20"/>
        <v>1360000</v>
      </c>
    </row>
    <row r="212" spans="1:7">
      <c r="A212" s="16">
        <v>174</v>
      </c>
      <c r="B212" s="36">
        <f t="shared" si="21"/>
        <v>6800</v>
      </c>
      <c r="C212" s="37">
        <f t="shared" si="20"/>
        <v>37400</v>
      </c>
      <c r="D212" s="37">
        <f t="shared" si="20"/>
        <v>81600</v>
      </c>
      <c r="E212" s="37">
        <f t="shared" si="20"/>
        <v>183600</v>
      </c>
      <c r="F212" s="37">
        <f t="shared" si="20"/>
        <v>516800</v>
      </c>
      <c r="G212" s="35">
        <f t="shared" si="20"/>
        <v>1360000</v>
      </c>
    </row>
    <row r="213" spans="1:7">
      <c r="A213" s="16">
        <v>175</v>
      </c>
      <c r="B213" s="36">
        <f t="shared" si="21"/>
        <v>6800</v>
      </c>
      <c r="C213" s="37">
        <f t="shared" si="20"/>
        <v>37400</v>
      </c>
      <c r="D213" s="37">
        <f t="shared" si="20"/>
        <v>81600</v>
      </c>
      <c r="E213" s="37">
        <f t="shared" si="20"/>
        <v>183600</v>
      </c>
      <c r="F213" s="37">
        <f t="shared" si="20"/>
        <v>516800</v>
      </c>
      <c r="G213" s="35">
        <f t="shared" si="20"/>
        <v>1360000</v>
      </c>
    </row>
    <row r="214" spans="1:7">
      <c r="A214" s="16">
        <v>176</v>
      </c>
      <c r="B214" s="36">
        <f t="shared" si="21"/>
        <v>6900</v>
      </c>
      <c r="C214" s="37">
        <f t="shared" si="20"/>
        <v>37950</v>
      </c>
      <c r="D214" s="37">
        <f t="shared" si="20"/>
        <v>82800</v>
      </c>
      <c r="E214" s="37">
        <f t="shared" si="20"/>
        <v>186300</v>
      </c>
      <c r="F214" s="37">
        <f t="shared" si="20"/>
        <v>524400</v>
      </c>
      <c r="G214" s="35">
        <f t="shared" si="20"/>
        <v>1380000</v>
      </c>
    </row>
    <row r="215" spans="1:7">
      <c r="A215" s="16">
        <v>177</v>
      </c>
      <c r="B215" s="36">
        <f t="shared" si="21"/>
        <v>6900</v>
      </c>
      <c r="C215" s="37">
        <f t="shared" si="20"/>
        <v>37950</v>
      </c>
      <c r="D215" s="37">
        <f t="shared" si="20"/>
        <v>82800</v>
      </c>
      <c r="E215" s="37">
        <f t="shared" si="20"/>
        <v>186300</v>
      </c>
      <c r="F215" s="37">
        <f t="shared" si="20"/>
        <v>524400</v>
      </c>
      <c r="G215" s="35">
        <f t="shared" si="20"/>
        <v>1380000</v>
      </c>
    </row>
    <row r="216" spans="1:7">
      <c r="A216" s="16">
        <v>178</v>
      </c>
      <c r="B216" s="36">
        <f t="shared" si="21"/>
        <v>6900</v>
      </c>
      <c r="C216" s="37">
        <f t="shared" si="20"/>
        <v>37950</v>
      </c>
      <c r="D216" s="37">
        <f t="shared" si="20"/>
        <v>82800</v>
      </c>
      <c r="E216" s="37">
        <f t="shared" si="20"/>
        <v>186300</v>
      </c>
      <c r="F216" s="37">
        <f t="shared" si="20"/>
        <v>524400</v>
      </c>
      <c r="G216" s="35">
        <f t="shared" si="20"/>
        <v>1380000</v>
      </c>
    </row>
    <row r="217" spans="1:7">
      <c r="A217" s="16">
        <v>179</v>
      </c>
      <c r="B217" s="36">
        <f t="shared" si="21"/>
        <v>6900</v>
      </c>
      <c r="C217" s="37">
        <f t="shared" si="20"/>
        <v>37950</v>
      </c>
      <c r="D217" s="37">
        <f t="shared" si="20"/>
        <v>82800</v>
      </c>
      <c r="E217" s="37">
        <f t="shared" si="20"/>
        <v>186300</v>
      </c>
      <c r="F217" s="37">
        <f t="shared" si="20"/>
        <v>524400</v>
      </c>
      <c r="G217" s="35">
        <f t="shared" si="20"/>
        <v>1380000</v>
      </c>
    </row>
    <row r="218" spans="1:7">
      <c r="A218" s="16">
        <v>180</v>
      </c>
      <c r="B218" s="36">
        <f t="shared" si="21"/>
        <v>7000</v>
      </c>
      <c r="C218" s="37">
        <f t="shared" si="20"/>
        <v>38500</v>
      </c>
      <c r="D218" s="37">
        <f t="shared" si="20"/>
        <v>84000</v>
      </c>
      <c r="E218" s="37">
        <f t="shared" si="20"/>
        <v>189000</v>
      </c>
      <c r="F218" s="37">
        <f t="shared" si="20"/>
        <v>532000</v>
      </c>
      <c r="G218" s="35">
        <f t="shared" si="20"/>
        <v>1400000</v>
      </c>
    </row>
    <row r="219" spans="1:7">
      <c r="A219" s="16">
        <v>181</v>
      </c>
      <c r="B219" s="36">
        <f t="shared" si="21"/>
        <v>7000</v>
      </c>
      <c r="C219" s="37">
        <f t="shared" si="20"/>
        <v>38500</v>
      </c>
      <c r="D219" s="37">
        <f t="shared" si="20"/>
        <v>84000</v>
      </c>
      <c r="E219" s="37">
        <f t="shared" si="20"/>
        <v>189000</v>
      </c>
      <c r="F219" s="37">
        <f t="shared" si="20"/>
        <v>532000</v>
      </c>
      <c r="G219" s="35">
        <f t="shared" si="20"/>
        <v>1400000</v>
      </c>
    </row>
    <row r="220" spans="1:7">
      <c r="A220" s="16">
        <v>182</v>
      </c>
      <c r="B220" s="36">
        <f t="shared" si="21"/>
        <v>7000</v>
      </c>
      <c r="C220" s="37">
        <f t="shared" si="20"/>
        <v>38500</v>
      </c>
      <c r="D220" s="37">
        <f t="shared" si="20"/>
        <v>84000</v>
      </c>
      <c r="E220" s="37">
        <f t="shared" si="20"/>
        <v>189000</v>
      </c>
      <c r="F220" s="37">
        <f t="shared" si="20"/>
        <v>532000</v>
      </c>
      <c r="G220" s="35">
        <f t="shared" si="20"/>
        <v>1400000</v>
      </c>
    </row>
    <row r="221" spans="1:7">
      <c r="A221" s="16">
        <v>183</v>
      </c>
      <c r="B221" s="36">
        <f t="shared" si="21"/>
        <v>7000</v>
      </c>
      <c r="C221" s="37">
        <f t="shared" si="20"/>
        <v>38500</v>
      </c>
      <c r="D221" s="37">
        <f t="shared" si="20"/>
        <v>84000</v>
      </c>
      <c r="E221" s="37">
        <f t="shared" si="20"/>
        <v>189000</v>
      </c>
      <c r="F221" s="37">
        <f t="shared" si="20"/>
        <v>532000</v>
      </c>
      <c r="G221" s="35">
        <f t="shared" si="20"/>
        <v>1400000</v>
      </c>
    </row>
    <row r="222" spans="1:7">
      <c r="A222" s="16">
        <v>184</v>
      </c>
      <c r="B222" s="36">
        <f t="shared" si="21"/>
        <v>7100</v>
      </c>
      <c r="C222" s="37">
        <f t="shared" si="20"/>
        <v>39050</v>
      </c>
      <c r="D222" s="37">
        <f t="shared" si="20"/>
        <v>85200</v>
      </c>
      <c r="E222" s="37">
        <f t="shared" si="20"/>
        <v>191700</v>
      </c>
      <c r="F222" s="37">
        <f t="shared" si="20"/>
        <v>539600</v>
      </c>
      <c r="G222" s="35">
        <f t="shared" si="20"/>
        <v>1420000</v>
      </c>
    </row>
    <row r="223" spans="1:7">
      <c r="A223" s="16">
        <v>185</v>
      </c>
      <c r="B223" s="36">
        <f t="shared" si="21"/>
        <v>7100</v>
      </c>
      <c r="C223" s="37">
        <f t="shared" si="20"/>
        <v>39050</v>
      </c>
      <c r="D223" s="37">
        <f t="shared" si="20"/>
        <v>85200</v>
      </c>
      <c r="E223" s="37">
        <f t="shared" si="20"/>
        <v>191700</v>
      </c>
      <c r="F223" s="37">
        <f t="shared" si="20"/>
        <v>539600</v>
      </c>
      <c r="G223" s="35">
        <f t="shared" si="20"/>
        <v>1420000</v>
      </c>
    </row>
    <row r="224" spans="1:7">
      <c r="A224" s="16">
        <v>186</v>
      </c>
      <c r="B224" s="36">
        <f t="shared" si="21"/>
        <v>7100</v>
      </c>
      <c r="C224" s="37">
        <f t="shared" si="20"/>
        <v>39050</v>
      </c>
      <c r="D224" s="37">
        <f t="shared" si="20"/>
        <v>85200</v>
      </c>
      <c r="E224" s="37">
        <f t="shared" si="20"/>
        <v>191700</v>
      </c>
      <c r="F224" s="37">
        <f t="shared" si="20"/>
        <v>539600</v>
      </c>
      <c r="G224" s="35">
        <f t="shared" si="20"/>
        <v>1420000</v>
      </c>
    </row>
    <row r="225" spans="1:7">
      <c r="A225" s="16">
        <v>187</v>
      </c>
      <c r="B225" s="36">
        <f t="shared" si="21"/>
        <v>7100</v>
      </c>
      <c r="C225" s="37">
        <f t="shared" si="20"/>
        <v>39050</v>
      </c>
      <c r="D225" s="37">
        <f t="shared" si="20"/>
        <v>85200</v>
      </c>
      <c r="E225" s="37">
        <f t="shared" si="20"/>
        <v>191700</v>
      </c>
      <c r="F225" s="37">
        <f t="shared" si="20"/>
        <v>539600</v>
      </c>
      <c r="G225" s="35">
        <f t="shared" si="20"/>
        <v>1420000</v>
      </c>
    </row>
    <row r="226" spans="1:7">
      <c r="A226" s="16">
        <v>188</v>
      </c>
      <c r="B226" s="36">
        <f t="shared" si="21"/>
        <v>7200</v>
      </c>
      <c r="C226" s="37">
        <f t="shared" si="20"/>
        <v>39600</v>
      </c>
      <c r="D226" s="37">
        <f t="shared" si="20"/>
        <v>86400</v>
      </c>
      <c r="E226" s="37">
        <f t="shared" si="20"/>
        <v>194400</v>
      </c>
      <c r="F226" s="37">
        <f t="shared" si="20"/>
        <v>547200</v>
      </c>
      <c r="G226" s="35">
        <f t="shared" si="20"/>
        <v>1440000</v>
      </c>
    </row>
    <row r="227" spans="1:7">
      <c r="A227" s="16">
        <v>189</v>
      </c>
      <c r="B227" s="36">
        <f t="shared" si="21"/>
        <v>7200</v>
      </c>
      <c r="C227" s="37">
        <f t="shared" si="20"/>
        <v>39600</v>
      </c>
      <c r="D227" s="37">
        <f t="shared" si="20"/>
        <v>86400</v>
      </c>
      <c r="E227" s="37">
        <f t="shared" si="20"/>
        <v>194400</v>
      </c>
      <c r="F227" s="37">
        <f t="shared" si="20"/>
        <v>547200</v>
      </c>
      <c r="G227" s="35">
        <f t="shared" si="20"/>
        <v>1440000</v>
      </c>
    </row>
    <row r="228" spans="1:7">
      <c r="A228" s="16">
        <v>190</v>
      </c>
      <c r="B228" s="36">
        <f t="shared" si="21"/>
        <v>7200</v>
      </c>
      <c r="C228" s="37">
        <f t="shared" si="20"/>
        <v>39600</v>
      </c>
      <c r="D228" s="37">
        <f t="shared" si="20"/>
        <v>86400</v>
      </c>
      <c r="E228" s="37">
        <f t="shared" si="20"/>
        <v>194400</v>
      </c>
      <c r="F228" s="37">
        <f t="shared" si="20"/>
        <v>547200</v>
      </c>
      <c r="G228" s="35">
        <f t="shared" si="20"/>
        <v>1440000</v>
      </c>
    </row>
    <row r="229" spans="1:7">
      <c r="A229" s="16">
        <v>191</v>
      </c>
      <c r="B229" s="36">
        <f t="shared" si="21"/>
        <v>7200</v>
      </c>
      <c r="C229" s="37">
        <f t="shared" si="20"/>
        <v>39600</v>
      </c>
      <c r="D229" s="37">
        <f t="shared" si="20"/>
        <v>86400</v>
      </c>
      <c r="E229" s="37">
        <f t="shared" si="20"/>
        <v>194400</v>
      </c>
      <c r="F229" s="37">
        <f t="shared" si="20"/>
        <v>547200</v>
      </c>
      <c r="G229" s="35">
        <f t="shared" si="20"/>
        <v>1440000</v>
      </c>
    </row>
    <row r="230" spans="1:7">
      <c r="A230" s="16">
        <v>192</v>
      </c>
      <c r="B230" s="36">
        <f t="shared" si="21"/>
        <v>7300</v>
      </c>
      <c r="C230" s="37">
        <f t="shared" si="20"/>
        <v>40150</v>
      </c>
      <c r="D230" s="37">
        <f t="shared" si="20"/>
        <v>87600</v>
      </c>
      <c r="E230" s="37">
        <f t="shared" si="20"/>
        <v>197100</v>
      </c>
      <c r="F230" s="37">
        <f t="shared" si="20"/>
        <v>554800</v>
      </c>
      <c r="G230" s="35">
        <f t="shared" si="20"/>
        <v>1460000</v>
      </c>
    </row>
    <row r="231" spans="1:7">
      <c r="A231" s="16">
        <v>193</v>
      </c>
      <c r="B231" s="36">
        <f t="shared" si="21"/>
        <v>7300</v>
      </c>
      <c r="C231" s="37">
        <f t="shared" si="20"/>
        <v>40150</v>
      </c>
      <c r="D231" s="37">
        <f t="shared" si="20"/>
        <v>87600</v>
      </c>
      <c r="E231" s="37">
        <f t="shared" si="20"/>
        <v>197100</v>
      </c>
      <c r="F231" s="37">
        <f t="shared" si="20"/>
        <v>554800</v>
      </c>
      <c r="G231" s="35">
        <f t="shared" si="20"/>
        <v>1460000</v>
      </c>
    </row>
    <row r="232" spans="1:7">
      <c r="A232" s="16">
        <v>194</v>
      </c>
      <c r="B232" s="36">
        <f t="shared" si="21"/>
        <v>7300</v>
      </c>
      <c r="C232" s="37">
        <f t="shared" si="20"/>
        <v>40150</v>
      </c>
      <c r="D232" s="37">
        <f t="shared" si="20"/>
        <v>87600</v>
      </c>
      <c r="E232" s="37">
        <f t="shared" si="20"/>
        <v>197100</v>
      </c>
      <c r="F232" s="37">
        <f t="shared" si="20"/>
        <v>554800</v>
      </c>
      <c r="G232" s="35">
        <f t="shared" si="20"/>
        <v>1460000</v>
      </c>
    </row>
    <row r="233" spans="1:7">
      <c r="A233" s="16">
        <v>195</v>
      </c>
      <c r="B233" s="36">
        <f t="shared" si="21"/>
        <v>7300</v>
      </c>
      <c r="C233" s="37">
        <f t="shared" si="20"/>
        <v>40150</v>
      </c>
      <c r="D233" s="37">
        <f t="shared" si="20"/>
        <v>87600</v>
      </c>
      <c r="E233" s="37">
        <f t="shared" si="20"/>
        <v>197100</v>
      </c>
      <c r="F233" s="37">
        <f t="shared" si="20"/>
        <v>554800</v>
      </c>
      <c r="G233" s="35">
        <f t="shared" si="20"/>
        <v>1460000</v>
      </c>
    </row>
    <row r="234" spans="1:7">
      <c r="A234" s="16">
        <v>196</v>
      </c>
      <c r="B234" s="36">
        <f t="shared" si="21"/>
        <v>7400</v>
      </c>
      <c r="C234" s="37">
        <f t="shared" si="20"/>
        <v>40700</v>
      </c>
      <c r="D234" s="37">
        <f t="shared" si="20"/>
        <v>88800</v>
      </c>
      <c r="E234" s="37">
        <f t="shared" si="20"/>
        <v>199800</v>
      </c>
      <c r="F234" s="37">
        <f t="shared" si="20"/>
        <v>562400</v>
      </c>
      <c r="G234" s="35">
        <f t="shared" si="20"/>
        <v>1480000</v>
      </c>
    </row>
    <row r="235" spans="1:7">
      <c r="A235" s="16">
        <v>197</v>
      </c>
      <c r="B235" s="36">
        <f t="shared" si="21"/>
        <v>7400</v>
      </c>
      <c r="C235" s="37">
        <f t="shared" si="20"/>
        <v>40700</v>
      </c>
      <c r="D235" s="37">
        <f t="shared" si="20"/>
        <v>88800</v>
      </c>
      <c r="E235" s="37">
        <f t="shared" si="20"/>
        <v>199800</v>
      </c>
      <c r="F235" s="37">
        <f t="shared" si="20"/>
        <v>562400</v>
      </c>
      <c r="G235" s="35">
        <f t="shared" si="20"/>
        <v>1480000</v>
      </c>
    </row>
    <row r="236" spans="1:7">
      <c r="A236" s="16">
        <v>198</v>
      </c>
      <c r="B236" s="36">
        <f t="shared" si="21"/>
        <v>7400</v>
      </c>
      <c r="C236" s="37">
        <f t="shared" si="20"/>
        <v>40700</v>
      </c>
      <c r="D236" s="37">
        <f t="shared" si="20"/>
        <v>88800</v>
      </c>
      <c r="E236" s="37">
        <f t="shared" si="20"/>
        <v>199800</v>
      </c>
      <c r="F236" s="37">
        <f t="shared" si="20"/>
        <v>562400</v>
      </c>
      <c r="G236" s="35">
        <f t="shared" si="20"/>
        <v>1480000</v>
      </c>
    </row>
    <row r="237" spans="1:7">
      <c r="A237" s="16">
        <v>199</v>
      </c>
      <c r="B237" s="36">
        <f t="shared" si="21"/>
        <v>7400</v>
      </c>
      <c r="C237" s="37">
        <f t="shared" si="20"/>
        <v>40700</v>
      </c>
      <c r="D237" s="37">
        <f t="shared" si="20"/>
        <v>88800</v>
      </c>
      <c r="E237" s="37">
        <f t="shared" si="20"/>
        <v>199800</v>
      </c>
      <c r="F237" s="37">
        <f t="shared" si="20"/>
        <v>562400</v>
      </c>
      <c r="G237" s="35">
        <f t="shared" si="20"/>
        <v>1480000</v>
      </c>
    </row>
    <row r="238" spans="1:7">
      <c r="A238" s="16">
        <v>200</v>
      </c>
      <c r="B238" s="36">
        <f t="shared" si="21"/>
        <v>7500</v>
      </c>
      <c r="C238" s="37">
        <f t="shared" si="20"/>
        <v>41250</v>
      </c>
      <c r="D238" s="37">
        <f t="shared" si="20"/>
        <v>90000</v>
      </c>
      <c r="E238" s="37">
        <f t="shared" si="20"/>
        <v>202500</v>
      </c>
      <c r="F238" s="37">
        <f t="shared" si="20"/>
        <v>570000</v>
      </c>
      <c r="G238" s="35">
        <f t="shared" si="20"/>
        <v>1500000</v>
      </c>
    </row>
    <row r="239" spans="1:7">
      <c r="A239" s="16">
        <v>201</v>
      </c>
      <c r="B239" s="36">
        <f t="shared" si="21"/>
        <v>7500</v>
      </c>
      <c r="C239" s="37">
        <f t="shared" si="20"/>
        <v>41250</v>
      </c>
      <c r="D239" s="37">
        <f t="shared" si="20"/>
        <v>90000</v>
      </c>
      <c r="E239" s="37">
        <f t="shared" si="20"/>
        <v>202500</v>
      </c>
      <c r="F239" s="37">
        <f t="shared" si="20"/>
        <v>570000</v>
      </c>
      <c r="G239" s="35">
        <f t="shared" si="20"/>
        <v>1500000</v>
      </c>
    </row>
  </sheetData>
  <mergeCells count="5">
    <mergeCell ref="A19:B19"/>
    <mergeCell ref="D19:E19"/>
    <mergeCell ref="I1:J1"/>
    <mergeCell ref="I4:J4"/>
    <mergeCell ref="A37:G3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33"/>
  <sheetViews>
    <sheetView workbookViewId="0">
      <pane ySplit="1" topLeftCell="A2" activePane="bottomLeft" state="frozen"/>
      <selection pane="bottomLeft" activeCell="Q39" sqref="Q39:S39"/>
    </sheetView>
  </sheetViews>
  <sheetFormatPr baseColWidth="10" defaultRowHeight="15" x14ac:dyDescent="0"/>
  <cols>
    <col min="1" max="1" width="18.1640625" bestFit="1" customWidth="1"/>
    <col min="2" max="2" width="9.83203125" customWidth="1"/>
    <col min="3" max="3" width="12.33203125" bestFit="1" customWidth="1"/>
    <col min="4" max="4" width="16.5" customWidth="1"/>
    <col min="5" max="5" width="16" customWidth="1"/>
    <col min="6" max="6" width="17" customWidth="1"/>
    <col min="7" max="7" width="10" bestFit="1" customWidth="1"/>
    <col min="8" max="8" width="10" customWidth="1"/>
    <col min="9" max="9" width="19.1640625" bestFit="1" customWidth="1"/>
    <col min="10" max="11" width="19.1640625" customWidth="1"/>
    <col min="12" max="12" width="18.5" customWidth="1"/>
    <col min="13" max="13" width="12.33203125" bestFit="1" customWidth="1"/>
    <col min="14" max="15" width="12.6640625" customWidth="1"/>
    <col min="16" max="16" width="18" customWidth="1"/>
    <col min="17" max="17" width="12.6640625" customWidth="1"/>
    <col min="18" max="18" width="13.6640625" customWidth="1"/>
    <col min="19" max="19" width="13.6640625" style="191" customWidth="1"/>
    <col min="20" max="20" width="12.33203125" bestFit="1" customWidth="1"/>
    <col min="21" max="21" width="18.1640625" bestFit="1" customWidth="1"/>
    <col min="23" max="23" width="2.83203125" customWidth="1"/>
  </cols>
  <sheetData>
    <row r="1" spans="1:22" ht="46" thickBot="1">
      <c r="A1" s="166" t="s">
        <v>129</v>
      </c>
      <c r="B1" s="167" t="s">
        <v>5</v>
      </c>
      <c r="C1" s="167" t="s">
        <v>182</v>
      </c>
      <c r="D1" s="168" t="s">
        <v>185</v>
      </c>
      <c r="E1" s="187" t="s">
        <v>208</v>
      </c>
      <c r="F1" s="188" t="s">
        <v>209</v>
      </c>
      <c r="G1" s="187" t="s">
        <v>212</v>
      </c>
      <c r="H1" s="188" t="s">
        <v>213</v>
      </c>
      <c r="I1" s="168" t="s">
        <v>221</v>
      </c>
      <c r="J1" s="187" t="s">
        <v>222</v>
      </c>
      <c r="K1" s="193" t="s">
        <v>226</v>
      </c>
      <c r="L1" s="169" t="s">
        <v>192</v>
      </c>
      <c r="M1" s="168" t="s">
        <v>193</v>
      </c>
      <c r="N1" s="187" t="s">
        <v>218</v>
      </c>
      <c r="O1" s="193" t="s">
        <v>218</v>
      </c>
      <c r="P1" s="169" t="s">
        <v>191</v>
      </c>
      <c r="Q1" s="168" t="s">
        <v>194</v>
      </c>
      <c r="R1" s="192" t="s">
        <v>219</v>
      </c>
      <c r="S1" s="193" t="s">
        <v>220</v>
      </c>
    </row>
    <row r="2" spans="1:22">
      <c r="A2" s="36">
        <v>1</v>
      </c>
      <c r="B2" s="37">
        <v>21600</v>
      </c>
      <c r="C2" s="37">
        <f>ROUNDUP(B2/3600,0)</f>
        <v>6</v>
      </c>
      <c r="D2" s="37">
        <f>A2*C2</f>
        <v>6</v>
      </c>
      <c r="E2" s="37">
        <f>IF(A2&gt;65,ROUNDUP(A2*C2*0.8,0),IF(A2&gt;37,ROUNDUP(A2*C2*0.85,0),IF(A2&gt;9,ROUNDUP(A2*C2*0.9,0),A2*C2)))</f>
        <v>6</v>
      </c>
      <c r="F2" s="37">
        <f>ROUNDUP(IF(D2&gt;9999,D2*0.9,IF(D2&gt;9999,D2*0.9,IF(D2&gt;999,D2*0.9,IF(D2&gt;550,D2*0.8,IF(D2&gt;220,D2*0.85,IF(D2&gt;99,D2*0.9,D2)))))),0)</f>
        <v>6</v>
      </c>
      <c r="G2" s="180" t="s">
        <v>104</v>
      </c>
      <c r="H2" s="69"/>
      <c r="I2" s="194"/>
      <c r="J2" s="194"/>
      <c r="K2" s="160"/>
      <c r="L2" s="172">
        <f>Payment!C10</f>
        <v>1.9799999999999998E-2</v>
      </c>
      <c r="M2" s="62">
        <f>L2*D2</f>
        <v>0.11879999999999999</v>
      </c>
      <c r="N2" s="62">
        <f t="shared" ref="N2:N33" si="0">L2*E2</f>
        <v>0.11879999999999999</v>
      </c>
      <c r="O2" s="173">
        <f>L2*F2</f>
        <v>0.11879999999999999</v>
      </c>
      <c r="P2" s="172">
        <f>Payment!C15</f>
        <v>9.9989999999999992E-3</v>
      </c>
      <c r="Q2" s="62">
        <f>P2*D2</f>
        <v>5.9993999999999992E-2</v>
      </c>
      <c r="R2" s="189">
        <f t="shared" ref="R2:R33" si="1">P2*E2</f>
        <v>5.9993999999999992E-2</v>
      </c>
      <c r="S2" s="173">
        <f>P2*F2</f>
        <v>5.9993999999999992E-2</v>
      </c>
      <c r="U2" s="370" t="s">
        <v>153</v>
      </c>
      <c r="V2" s="371"/>
    </row>
    <row r="3" spans="1:22">
      <c r="A3" s="36">
        <f>A2+1</f>
        <v>2</v>
      </c>
      <c r="B3" s="37">
        <v>21600</v>
      </c>
      <c r="C3" s="37">
        <f t="shared" ref="C3:C66" si="2">ROUNDUP(B3/3600,0)</f>
        <v>6</v>
      </c>
      <c r="D3" s="37">
        <f t="shared" ref="D3:D66" si="3">A3*C3</f>
        <v>12</v>
      </c>
      <c r="E3" s="37">
        <f t="shared" ref="E3:E66" si="4">IF(A3&gt;65,ROUNDUP(A3*C3*0.8,0),IF(A3&gt;37,ROUNDUP(A3*C3*0.85,0),IF(A3&gt;9,ROUNDUP(A3*C3*0.9,0),A3*C3)))</f>
        <v>12</v>
      </c>
      <c r="F3" s="37">
        <f>ROUNDUP(IF(D3&gt;9999,D3*0.9,IF(D3&gt;9999,D3*0.9,IF(D3&gt;999,D3*0.9,IF(D3&gt;550,D3*0.8,IF(D3&gt;220,D3*0.85,IF(D3&gt;99,D3*0.9,D3)))))),0)</f>
        <v>12</v>
      </c>
      <c r="G3" s="37">
        <f t="shared" ref="G3:H34" si="5">E3-E2</f>
        <v>6</v>
      </c>
      <c r="H3" s="37">
        <f t="shared" si="5"/>
        <v>6</v>
      </c>
      <c r="I3" s="194">
        <f>D3/D2-1</f>
        <v>1</v>
      </c>
      <c r="J3" s="194">
        <f>E3/E2-1</f>
        <v>1</v>
      </c>
      <c r="K3" s="160">
        <f>F3/F2-1</f>
        <v>1</v>
      </c>
      <c r="L3" s="172">
        <f>L2</f>
        <v>1.9799999999999998E-2</v>
      </c>
      <c r="M3" s="62">
        <f t="shared" ref="M3:M66" si="6">L3*D3</f>
        <v>0.23759999999999998</v>
      </c>
      <c r="N3" s="62">
        <f t="shared" si="0"/>
        <v>0.23759999999999998</v>
      </c>
      <c r="O3" s="173">
        <f t="shared" ref="O3:O66" si="7">L3*F3</f>
        <v>0.23759999999999998</v>
      </c>
      <c r="P3" s="172">
        <f>P2</f>
        <v>9.9989999999999992E-3</v>
      </c>
      <c r="Q3" s="62">
        <f t="shared" ref="Q3:Q66" si="8">P3*D3</f>
        <v>0.11998799999999998</v>
      </c>
      <c r="R3" s="189">
        <f t="shared" si="1"/>
        <v>0.11998799999999998</v>
      </c>
      <c r="S3" s="173">
        <f t="shared" ref="S3:S66" si="9">P3*F3</f>
        <v>0.11998799999999998</v>
      </c>
      <c r="U3" s="36" t="s">
        <v>133</v>
      </c>
      <c r="V3" s="35">
        <v>25</v>
      </c>
    </row>
    <row r="4" spans="1:22">
      <c r="A4" s="36">
        <f t="shared" ref="A4:A67" si="10">A3+1</f>
        <v>3</v>
      </c>
      <c r="B4" s="37">
        <v>21600</v>
      </c>
      <c r="C4" s="37">
        <f t="shared" si="2"/>
        <v>6</v>
      </c>
      <c r="D4" s="37">
        <f t="shared" si="3"/>
        <v>18</v>
      </c>
      <c r="E4" s="37">
        <f t="shared" si="4"/>
        <v>18</v>
      </c>
      <c r="F4" s="37">
        <f>ROUNDUP(IF(D4&gt;9999,D4*0.9,IF(D4&gt;9999,D4*0.9,IF(D4&gt;999,D4*0.9,IF(D4&gt;550,D4*0.8,IF(D4&gt;220,D4*0.85,IF(D4&gt;99,D4*0.9,D4)))))),0)</f>
        <v>18</v>
      </c>
      <c r="G4" s="37">
        <f t="shared" si="5"/>
        <v>6</v>
      </c>
      <c r="H4" s="37">
        <f t="shared" si="5"/>
        <v>6</v>
      </c>
      <c r="I4" s="194">
        <f t="shared" ref="I4:I67" si="11">D4/D3-1</f>
        <v>0.5</v>
      </c>
      <c r="J4" s="194">
        <f t="shared" ref="J4:J67" si="12">E4/E3-1</f>
        <v>0.5</v>
      </c>
      <c r="K4" s="160">
        <f t="shared" ref="K4:K67" si="13">F4/F3-1</f>
        <v>0.5</v>
      </c>
      <c r="L4" s="172">
        <f t="shared" ref="L4:L67" si="14">L3</f>
        <v>1.9799999999999998E-2</v>
      </c>
      <c r="M4" s="62">
        <f t="shared" si="6"/>
        <v>0.35639999999999994</v>
      </c>
      <c r="N4" s="62">
        <f t="shared" si="0"/>
        <v>0.35639999999999994</v>
      </c>
      <c r="O4" s="173">
        <f t="shared" si="7"/>
        <v>0.35639999999999994</v>
      </c>
      <c r="P4" s="172">
        <f t="shared" ref="P4:P67" si="15">P3</f>
        <v>9.9989999999999992E-3</v>
      </c>
      <c r="Q4" s="62">
        <f t="shared" si="8"/>
        <v>0.17998199999999998</v>
      </c>
      <c r="R4" s="189">
        <f t="shared" si="1"/>
        <v>0.17998199999999998</v>
      </c>
      <c r="S4" s="173">
        <f t="shared" si="9"/>
        <v>0.17998199999999998</v>
      </c>
      <c r="U4" s="36" t="s">
        <v>151</v>
      </c>
      <c r="V4" s="35">
        <v>890</v>
      </c>
    </row>
    <row r="5" spans="1:22">
      <c r="A5" s="36">
        <f t="shared" si="10"/>
        <v>4</v>
      </c>
      <c r="B5" s="37">
        <v>21600</v>
      </c>
      <c r="C5" s="37">
        <f t="shared" si="2"/>
        <v>6</v>
      </c>
      <c r="D5" s="37">
        <f t="shared" si="3"/>
        <v>24</v>
      </c>
      <c r="E5" s="37">
        <f t="shared" si="4"/>
        <v>24</v>
      </c>
      <c r="F5" s="37">
        <f>ROUNDUP(IF(D5&gt;9999,D5*0.9,IF(D5&gt;9999,D5*0.9,IF(D5&gt;999,D5*0.9,IF(D5&gt;550,D5*0.8,IF(D5&gt;220,D5*0.85,IF(D5&gt;99,D5*0.9,D5)))))),0)</f>
        <v>24</v>
      </c>
      <c r="G5" s="37">
        <f t="shared" si="5"/>
        <v>6</v>
      </c>
      <c r="H5" s="37">
        <f t="shared" si="5"/>
        <v>6</v>
      </c>
      <c r="I5" s="194">
        <f t="shared" si="11"/>
        <v>0.33333333333333326</v>
      </c>
      <c r="J5" s="194">
        <f t="shared" si="12"/>
        <v>0.33333333333333326</v>
      </c>
      <c r="K5" s="160">
        <f t="shared" si="13"/>
        <v>0.33333333333333326</v>
      </c>
      <c r="L5" s="172">
        <f t="shared" si="14"/>
        <v>1.9799999999999998E-2</v>
      </c>
      <c r="M5" s="62">
        <f t="shared" si="6"/>
        <v>0.47519999999999996</v>
      </c>
      <c r="N5" s="62">
        <f t="shared" si="0"/>
        <v>0.47519999999999996</v>
      </c>
      <c r="O5" s="173">
        <f t="shared" si="7"/>
        <v>0.47519999999999996</v>
      </c>
      <c r="P5" s="172">
        <f t="shared" si="15"/>
        <v>9.9989999999999992E-3</v>
      </c>
      <c r="Q5" s="62">
        <f t="shared" si="8"/>
        <v>0.23997599999999997</v>
      </c>
      <c r="R5" s="189">
        <f t="shared" si="1"/>
        <v>0.23997599999999997</v>
      </c>
      <c r="S5" s="173">
        <f t="shared" si="9"/>
        <v>0.23997599999999997</v>
      </c>
      <c r="U5" s="36" t="s">
        <v>132</v>
      </c>
      <c r="V5" s="35">
        <v>100</v>
      </c>
    </row>
    <row r="6" spans="1:22">
      <c r="A6" s="36">
        <f t="shared" si="10"/>
        <v>5</v>
      </c>
      <c r="B6" s="37">
        <v>21600</v>
      </c>
      <c r="C6" s="37">
        <f t="shared" si="2"/>
        <v>6</v>
      </c>
      <c r="D6" s="37">
        <f t="shared" si="3"/>
        <v>30</v>
      </c>
      <c r="E6" s="37">
        <f t="shared" si="4"/>
        <v>30</v>
      </c>
      <c r="F6" s="37">
        <f>ROUNDUP(IF(D6&gt;9999,D6*0.9,IF(D6&gt;550,MAX(D6*0.8,499),IF(D6&gt;220,MAX(D6*0.85,199),IF(D6&gt;99,D6*0.9,D6)))),0)</f>
        <v>30</v>
      </c>
      <c r="G6" s="37">
        <f t="shared" si="5"/>
        <v>6</v>
      </c>
      <c r="H6" s="37">
        <f t="shared" si="5"/>
        <v>6</v>
      </c>
      <c r="I6" s="194">
        <f t="shared" si="11"/>
        <v>0.25</v>
      </c>
      <c r="J6" s="194">
        <f t="shared" si="12"/>
        <v>0.25</v>
      </c>
      <c r="K6" s="160">
        <f t="shared" si="13"/>
        <v>0.25</v>
      </c>
      <c r="L6" s="172">
        <f t="shared" si="14"/>
        <v>1.9799999999999998E-2</v>
      </c>
      <c r="M6" s="62">
        <f t="shared" si="6"/>
        <v>0.59399999999999997</v>
      </c>
      <c r="N6" s="62">
        <f t="shared" si="0"/>
        <v>0.59399999999999997</v>
      </c>
      <c r="O6" s="173">
        <f t="shared" si="7"/>
        <v>0.59399999999999997</v>
      </c>
      <c r="P6" s="172">
        <f t="shared" si="15"/>
        <v>9.9989999999999992E-3</v>
      </c>
      <c r="Q6" s="62">
        <f t="shared" si="8"/>
        <v>0.29996999999999996</v>
      </c>
      <c r="R6" s="189">
        <f t="shared" si="1"/>
        <v>0.29996999999999996</v>
      </c>
      <c r="S6" s="173">
        <f t="shared" si="9"/>
        <v>0.29996999999999996</v>
      </c>
      <c r="U6" s="36" t="s">
        <v>121</v>
      </c>
      <c r="V6" s="35">
        <f>ROUNDDOWN((V5*V3)*0.25/250,0)</f>
        <v>2</v>
      </c>
    </row>
    <row r="7" spans="1:22">
      <c r="A7" s="36">
        <f t="shared" si="10"/>
        <v>6</v>
      </c>
      <c r="B7" s="37">
        <v>21600</v>
      </c>
      <c r="C7" s="37">
        <f t="shared" si="2"/>
        <v>6</v>
      </c>
      <c r="D7" s="37">
        <f t="shared" si="3"/>
        <v>36</v>
      </c>
      <c r="E7" s="37">
        <f t="shared" si="4"/>
        <v>36</v>
      </c>
      <c r="F7" s="37">
        <f t="shared" ref="F7:F70" si="16">ROUNDUP(IF(D7&gt;9999,D7*0.9,IF(D7&gt;550,MAX(D7*0.8,499),IF(D7&gt;220,MAX(D7*0.85,199),IF(D7&gt;99,D7*0.9,D7)))),0)</f>
        <v>36</v>
      </c>
      <c r="G7" s="37">
        <f t="shared" si="5"/>
        <v>6</v>
      </c>
      <c r="H7" s="37">
        <f t="shared" si="5"/>
        <v>6</v>
      </c>
      <c r="I7" s="194">
        <f t="shared" si="11"/>
        <v>0.19999999999999996</v>
      </c>
      <c r="J7" s="194">
        <f t="shared" si="12"/>
        <v>0.19999999999999996</v>
      </c>
      <c r="K7" s="160">
        <f t="shared" si="13"/>
        <v>0.19999999999999996</v>
      </c>
      <c r="L7" s="172">
        <f t="shared" si="14"/>
        <v>1.9799999999999998E-2</v>
      </c>
      <c r="M7" s="62">
        <f t="shared" si="6"/>
        <v>0.71279999999999988</v>
      </c>
      <c r="N7" s="62">
        <f t="shared" si="0"/>
        <v>0.71279999999999988</v>
      </c>
      <c r="O7" s="173">
        <f t="shared" si="7"/>
        <v>0.71279999999999988</v>
      </c>
      <c r="P7" s="172">
        <f t="shared" si="15"/>
        <v>9.9989999999999992E-3</v>
      </c>
      <c r="Q7" s="62">
        <f t="shared" si="8"/>
        <v>0.35996399999999995</v>
      </c>
      <c r="R7" s="189">
        <f t="shared" si="1"/>
        <v>0.35996399999999995</v>
      </c>
      <c r="S7" s="173">
        <f t="shared" si="9"/>
        <v>0.35996399999999995</v>
      </c>
      <c r="U7" s="36" t="s">
        <v>130</v>
      </c>
      <c r="V7" s="35">
        <f>ROUNDDOWN((V5*V3)*0.25/1,0)</f>
        <v>625</v>
      </c>
    </row>
    <row r="8" spans="1:22" ht="16" thickBot="1">
      <c r="A8" s="36">
        <f t="shared" si="10"/>
        <v>7</v>
      </c>
      <c r="B8" s="37">
        <v>21600</v>
      </c>
      <c r="C8" s="37">
        <f t="shared" si="2"/>
        <v>6</v>
      </c>
      <c r="D8" s="37">
        <f t="shared" si="3"/>
        <v>42</v>
      </c>
      <c r="E8" s="37">
        <f t="shared" si="4"/>
        <v>42</v>
      </c>
      <c r="F8" s="37">
        <f t="shared" si="16"/>
        <v>42</v>
      </c>
      <c r="G8" s="37">
        <f t="shared" si="5"/>
        <v>6</v>
      </c>
      <c r="H8" s="37">
        <f t="shared" si="5"/>
        <v>6</v>
      </c>
      <c r="I8" s="194">
        <f t="shared" si="11"/>
        <v>0.16666666666666674</v>
      </c>
      <c r="J8" s="194">
        <f t="shared" si="12"/>
        <v>0.16666666666666674</v>
      </c>
      <c r="K8" s="160">
        <f t="shared" si="13"/>
        <v>0.16666666666666674</v>
      </c>
      <c r="L8" s="172">
        <f t="shared" si="14"/>
        <v>1.9799999999999998E-2</v>
      </c>
      <c r="M8" s="62">
        <f t="shared" si="6"/>
        <v>0.83159999999999989</v>
      </c>
      <c r="N8" s="62">
        <f t="shared" si="0"/>
        <v>0.83159999999999989</v>
      </c>
      <c r="O8" s="173">
        <f t="shared" si="7"/>
        <v>0.83159999999999989</v>
      </c>
      <c r="P8" s="172">
        <f t="shared" si="15"/>
        <v>9.9989999999999992E-3</v>
      </c>
      <c r="Q8" s="62">
        <f t="shared" si="8"/>
        <v>0.41995799999999994</v>
      </c>
      <c r="R8" s="189">
        <f t="shared" si="1"/>
        <v>0.41995799999999994</v>
      </c>
      <c r="S8" s="173">
        <f t="shared" si="9"/>
        <v>0.41995799999999994</v>
      </c>
      <c r="U8" s="38" t="s">
        <v>152</v>
      </c>
      <c r="V8" s="40">
        <f>V4*V5*1.25</f>
        <v>111250</v>
      </c>
    </row>
    <row r="9" spans="1:22">
      <c r="A9" s="36">
        <f t="shared" si="10"/>
        <v>8</v>
      </c>
      <c r="B9" s="37">
        <v>21600</v>
      </c>
      <c r="C9" s="37">
        <f t="shared" si="2"/>
        <v>6</v>
      </c>
      <c r="D9" s="37">
        <f t="shared" si="3"/>
        <v>48</v>
      </c>
      <c r="E9" s="37">
        <f t="shared" si="4"/>
        <v>48</v>
      </c>
      <c r="F9" s="37">
        <f t="shared" si="16"/>
        <v>48</v>
      </c>
      <c r="G9" s="37">
        <f t="shared" si="5"/>
        <v>6</v>
      </c>
      <c r="H9" s="37">
        <f t="shared" si="5"/>
        <v>6</v>
      </c>
      <c r="I9" s="194">
        <f t="shared" si="11"/>
        <v>0.14285714285714279</v>
      </c>
      <c r="J9" s="194">
        <f t="shared" si="12"/>
        <v>0.14285714285714279</v>
      </c>
      <c r="K9" s="160">
        <f t="shared" si="13"/>
        <v>0.14285714285714279</v>
      </c>
      <c r="L9" s="172">
        <f t="shared" si="14"/>
        <v>1.9799999999999998E-2</v>
      </c>
      <c r="M9" s="62">
        <f t="shared" si="6"/>
        <v>0.95039999999999991</v>
      </c>
      <c r="N9" s="62">
        <f t="shared" si="0"/>
        <v>0.95039999999999991</v>
      </c>
      <c r="O9" s="173">
        <f t="shared" si="7"/>
        <v>0.95039999999999991</v>
      </c>
      <c r="P9" s="172">
        <f t="shared" si="15"/>
        <v>9.9989999999999992E-3</v>
      </c>
      <c r="Q9" s="62">
        <f t="shared" si="8"/>
        <v>0.47995199999999993</v>
      </c>
      <c r="R9" s="189">
        <f t="shared" si="1"/>
        <v>0.47995199999999993</v>
      </c>
      <c r="S9" s="173">
        <f t="shared" si="9"/>
        <v>0.47995199999999993</v>
      </c>
    </row>
    <row r="10" spans="1:22">
      <c r="A10" s="36">
        <f t="shared" si="10"/>
        <v>9</v>
      </c>
      <c r="B10" s="37">
        <v>21600</v>
      </c>
      <c r="C10" s="37">
        <f t="shared" si="2"/>
        <v>6</v>
      </c>
      <c r="D10" s="37">
        <f t="shared" si="3"/>
        <v>54</v>
      </c>
      <c r="E10" s="37">
        <f t="shared" si="4"/>
        <v>54</v>
      </c>
      <c r="F10" s="37">
        <f t="shared" si="16"/>
        <v>54</v>
      </c>
      <c r="G10" s="37">
        <f t="shared" si="5"/>
        <v>6</v>
      </c>
      <c r="H10" s="37">
        <f t="shared" si="5"/>
        <v>6</v>
      </c>
      <c r="I10" s="194">
        <f t="shared" si="11"/>
        <v>0.125</v>
      </c>
      <c r="J10" s="194">
        <f t="shared" si="12"/>
        <v>0.125</v>
      </c>
      <c r="K10" s="160">
        <f t="shared" si="13"/>
        <v>0.125</v>
      </c>
      <c r="L10" s="172">
        <f t="shared" si="14"/>
        <v>1.9799999999999998E-2</v>
      </c>
      <c r="M10" s="62">
        <f t="shared" si="6"/>
        <v>1.0691999999999999</v>
      </c>
      <c r="N10" s="62">
        <f t="shared" si="0"/>
        <v>1.0691999999999999</v>
      </c>
      <c r="O10" s="173">
        <f t="shared" si="7"/>
        <v>1.0691999999999999</v>
      </c>
      <c r="P10" s="172">
        <f t="shared" si="15"/>
        <v>9.9989999999999992E-3</v>
      </c>
      <c r="Q10" s="62">
        <f t="shared" si="8"/>
        <v>0.53994599999999993</v>
      </c>
      <c r="R10" s="189">
        <f t="shared" si="1"/>
        <v>0.53994599999999993</v>
      </c>
      <c r="S10" s="173">
        <f t="shared" si="9"/>
        <v>0.53994599999999993</v>
      </c>
      <c r="U10" s="376" t="s">
        <v>210</v>
      </c>
      <c r="V10" s="376"/>
    </row>
    <row r="11" spans="1:22">
      <c r="A11" s="36">
        <f t="shared" si="10"/>
        <v>10</v>
      </c>
      <c r="B11" s="37">
        <v>21600</v>
      </c>
      <c r="C11" s="37">
        <f t="shared" si="2"/>
        <v>6</v>
      </c>
      <c r="D11" s="37">
        <f t="shared" si="3"/>
        <v>60</v>
      </c>
      <c r="E11" s="37">
        <f t="shared" si="4"/>
        <v>54</v>
      </c>
      <c r="F11" s="37">
        <f t="shared" si="16"/>
        <v>60</v>
      </c>
      <c r="G11" s="37">
        <f t="shared" si="5"/>
        <v>0</v>
      </c>
      <c r="H11" s="37">
        <f t="shared" si="5"/>
        <v>6</v>
      </c>
      <c r="I11" s="194">
        <f t="shared" si="11"/>
        <v>0.11111111111111116</v>
      </c>
      <c r="J11" s="194">
        <f t="shared" si="12"/>
        <v>0</v>
      </c>
      <c r="K11" s="160">
        <f t="shared" si="13"/>
        <v>0.11111111111111116</v>
      </c>
      <c r="L11" s="172">
        <f t="shared" si="14"/>
        <v>1.9799999999999998E-2</v>
      </c>
      <c r="M11" s="62">
        <f t="shared" si="6"/>
        <v>1.1879999999999999</v>
      </c>
      <c r="N11" s="62">
        <f t="shared" si="0"/>
        <v>1.0691999999999999</v>
      </c>
      <c r="O11" s="173">
        <f t="shared" si="7"/>
        <v>1.1879999999999999</v>
      </c>
      <c r="P11" s="172">
        <f t="shared" si="15"/>
        <v>9.9989999999999992E-3</v>
      </c>
      <c r="Q11" s="62">
        <f t="shared" si="8"/>
        <v>0.59993999999999992</v>
      </c>
      <c r="R11" s="189">
        <f t="shared" si="1"/>
        <v>0.53994599999999993</v>
      </c>
      <c r="S11" s="173">
        <f t="shared" si="9"/>
        <v>0.59993999999999992</v>
      </c>
      <c r="U11" s="37" t="s">
        <v>203</v>
      </c>
      <c r="V11" s="171">
        <v>0</v>
      </c>
    </row>
    <row r="12" spans="1:22">
      <c r="A12" s="36">
        <f t="shared" si="10"/>
        <v>11</v>
      </c>
      <c r="B12" s="37">
        <v>21600</v>
      </c>
      <c r="C12" s="37">
        <f t="shared" si="2"/>
        <v>6</v>
      </c>
      <c r="D12" s="37">
        <f t="shared" si="3"/>
        <v>66</v>
      </c>
      <c r="E12" s="37">
        <f t="shared" si="4"/>
        <v>60</v>
      </c>
      <c r="F12" s="37">
        <f t="shared" si="16"/>
        <v>66</v>
      </c>
      <c r="G12" s="37">
        <f t="shared" si="5"/>
        <v>6</v>
      </c>
      <c r="H12" s="37">
        <f t="shared" si="5"/>
        <v>6</v>
      </c>
      <c r="I12" s="194">
        <f t="shared" si="11"/>
        <v>0.10000000000000009</v>
      </c>
      <c r="J12" s="194">
        <f t="shared" si="12"/>
        <v>0.11111111111111116</v>
      </c>
      <c r="K12" s="160">
        <f t="shared" si="13"/>
        <v>0.10000000000000009</v>
      </c>
      <c r="L12" s="172">
        <f t="shared" si="14"/>
        <v>1.9799999999999998E-2</v>
      </c>
      <c r="M12" s="62">
        <f t="shared" si="6"/>
        <v>1.3068</v>
      </c>
      <c r="N12" s="62">
        <f t="shared" si="0"/>
        <v>1.1879999999999999</v>
      </c>
      <c r="O12" s="173">
        <f t="shared" si="7"/>
        <v>1.3068</v>
      </c>
      <c r="P12" s="172">
        <f t="shared" si="15"/>
        <v>9.9989999999999992E-3</v>
      </c>
      <c r="Q12" s="62">
        <f t="shared" si="8"/>
        <v>0.65993399999999991</v>
      </c>
      <c r="R12" s="189">
        <f t="shared" si="1"/>
        <v>0.59993999999999992</v>
      </c>
      <c r="S12" s="173">
        <f t="shared" si="9"/>
        <v>0.65993399999999991</v>
      </c>
      <c r="U12" s="37" t="s">
        <v>225</v>
      </c>
      <c r="V12" s="171">
        <v>0.1</v>
      </c>
    </row>
    <row r="13" spans="1:22">
      <c r="A13" s="36">
        <f t="shared" si="10"/>
        <v>12</v>
      </c>
      <c r="B13" s="37">
        <v>21600</v>
      </c>
      <c r="C13" s="37">
        <f t="shared" si="2"/>
        <v>6</v>
      </c>
      <c r="D13" s="37">
        <f t="shared" si="3"/>
        <v>72</v>
      </c>
      <c r="E13" s="37">
        <f t="shared" si="4"/>
        <v>65</v>
      </c>
      <c r="F13" s="37">
        <f t="shared" si="16"/>
        <v>72</v>
      </c>
      <c r="G13" s="37">
        <f t="shared" si="5"/>
        <v>5</v>
      </c>
      <c r="H13" s="37">
        <f t="shared" si="5"/>
        <v>6</v>
      </c>
      <c r="I13" s="194">
        <f t="shared" si="11"/>
        <v>9.0909090909090828E-2</v>
      </c>
      <c r="J13" s="194">
        <f t="shared" si="12"/>
        <v>8.3333333333333259E-2</v>
      </c>
      <c r="K13" s="160">
        <f t="shared" si="13"/>
        <v>9.0909090909090828E-2</v>
      </c>
      <c r="L13" s="172">
        <f t="shared" si="14"/>
        <v>1.9799999999999998E-2</v>
      </c>
      <c r="M13" s="62">
        <f t="shared" si="6"/>
        <v>1.4255999999999998</v>
      </c>
      <c r="N13" s="62">
        <f t="shared" si="0"/>
        <v>1.2869999999999999</v>
      </c>
      <c r="O13" s="173">
        <f t="shared" si="7"/>
        <v>1.4255999999999998</v>
      </c>
      <c r="P13" s="172">
        <f t="shared" si="15"/>
        <v>9.9989999999999992E-3</v>
      </c>
      <c r="Q13" s="62">
        <f t="shared" si="8"/>
        <v>0.7199279999999999</v>
      </c>
      <c r="R13" s="189">
        <f t="shared" si="1"/>
        <v>0.64993499999999993</v>
      </c>
      <c r="S13" s="173">
        <f t="shared" si="9"/>
        <v>0.7199279999999999</v>
      </c>
      <c r="U13" s="37" t="s">
        <v>223</v>
      </c>
      <c r="V13" s="171">
        <v>0.15</v>
      </c>
    </row>
    <row r="14" spans="1:22">
      <c r="A14" s="36">
        <f t="shared" si="10"/>
        <v>13</v>
      </c>
      <c r="B14" s="37">
        <v>21600</v>
      </c>
      <c r="C14" s="37">
        <f t="shared" si="2"/>
        <v>6</v>
      </c>
      <c r="D14" s="37">
        <f t="shared" si="3"/>
        <v>78</v>
      </c>
      <c r="E14" s="37">
        <f t="shared" si="4"/>
        <v>71</v>
      </c>
      <c r="F14" s="37">
        <f t="shared" si="16"/>
        <v>78</v>
      </c>
      <c r="G14" s="37">
        <f t="shared" si="5"/>
        <v>6</v>
      </c>
      <c r="H14" s="37">
        <f t="shared" si="5"/>
        <v>6</v>
      </c>
      <c r="I14" s="194">
        <f t="shared" si="11"/>
        <v>8.3333333333333259E-2</v>
      </c>
      <c r="J14" s="194">
        <f t="shared" si="12"/>
        <v>9.2307692307692202E-2</v>
      </c>
      <c r="K14" s="160">
        <f t="shared" si="13"/>
        <v>8.3333333333333259E-2</v>
      </c>
      <c r="L14" s="172">
        <f t="shared" si="14"/>
        <v>1.9799999999999998E-2</v>
      </c>
      <c r="M14" s="62">
        <f t="shared" si="6"/>
        <v>1.5443999999999998</v>
      </c>
      <c r="N14" s="62">
        <f t="shared" si="0"/>
        <v>1.4057999999999999</v>
      </c>
      <c r="O14" s="173">
        <f t="shared" si="7"/>
        <v>1.5443999999999998</v>
      </c>
      <c r="P14" s="172">
        <f t="shared" si="15"/>
        <v>9.9989999999999992E-3</v>
      </c>
      <c r="Q14" s="62">
        <f t="shared" si="8"/>
        <v>0.77992199999999989</v>
      </c>
      <c r="R14" s="189">
        <f t="shared" si="1"/>
        <v>0.70992899999999992</v>
      </c>
      <c r="S14" s="173">
        <f t="shared" si="9"/>
        <v>0.77992199999999989</v>
      </c>
      <c r="U14" s="37" t="s">
        <v>224</v>
      </c>
      <c r="V14" s="171">
        <v>0.2</v>
      </c>
    </row>
    <row r="15" spans="1:22">
      <c r="A15" s="36">
        <f t="shared" si="10"/>
        <v>14</v>
      </c>
      <c r="B15" s="37">
        <v>21600</v>
      </c>
      <c r="C15" s="37">
        <f t="shared" si="2"/>
        <v>6</v>
      </c>
      <c r="D15" s="37">
        <f t="shared" si="3"/>
        <v>84</v>
      </c>
      <c r="E15" s="37">
        <f t="shared" si="4"/>
        <v>76</v>
      </c>
      <c r="F15" s="37">
        <f t="shared" si="16"/>
        <v>84</v>
      </c>
      <c r="G15" s="37">
        <f t="shared" si="5"/>
        <v>5</v>
      </c>
      <c r="H15" s="37">
        <f t="shared" si="5"/>
        <v>6</v>
      </c>
      <c r="I15" s="194">
        <f t="shared" si="11"/>
        <v>7.6923076923076872E-2</v>
      </c>
      <c r="J15" s="194">
        <f t="shared" si="12"/>
        <v>7.0422535211267512E-2</v>
      </c>
      <c r="K15" s="160">
        <f t="shared" si="13"/>
        <v>7.6923076923076872E-2</v>
      </c>
      <c r="L15" s="172">
        <f t="shared" si="14"/>
        <v>1.9799999999999998E-2</v>
      </c>
      <c r="M15" s="62">
        <f t="shared" si="6"/>
        <v>1.6631999999999998</v>
      </c>
      <c r="N15" s="62">
        <f t="shared" si="0"/>
        <v>1.5047999999999999</v>
      </c>
      <c r="O15" s="173">
        <f t="shared" si="7"/>
        <v>1.6631999999999998</v>
      </c>
      <c r="P15" s="172">
        <f t="shared" si="15"/>
        <v>9.9989999999999992E-3</v>
      </c>
      <c r="Q15" s="62">
        <f t="shared" si="8"/>
        <v>0.83991599999999988</v>
      </c>
      <c r="R15" s="189">
        <f t="shared" si="1"/>
        <v>0.75992399999999993</v>
      </c>
      <c r="S15" s="173">
        <f t="shared" si="9"/>
        <v>0.83991599999999988</v>
      </c>
    </row>
    <row r="16" spans="1:22">
      <c r="A16" s="36">
        <f t="shared" si="10"/>
        <v>15</v>
      </c>
      <c r="B16" s="37">
        <v>21600</v>
      </c>
      <c r="C16" s="37">
        <f t="shared" si="2"/>
        <v>6</v>
      </c>
      <c r="D16" s="37">
        <f t="shared" si="3"/>
        <v>90</v>
      </c>
      <c r="E16" s="37">
        <f t="shared" si="4"/>
        <v>81</v>
      </c>
      <c r="F16" s="37">
        <f t="shared" si="16"/>
        <v>90</v>
      </c>
      <c r="G16" s="37">
        <f t="shared" si="5"/>
        <v>5</v>
      </c>
      <c r="H16" s="37">
        <f t="shared" si="5"/>
        <v>6</v>
      </c>
      <c r="I16" s="194">
        <f t="shared" si="11"/>
        <v>7.1428571428571397E-2</v>
      </c>
      <c r="J16" s="194">
        <f t="shared" si="12"/>
        <v>6.578947368421062E-2</v>
      </c>
      <c r="K16" s="160">
        <f t="shared" si="13"/>
        <v>7.1428571428571397E-2</v>
      </c>
      <c r="L16" s="172">
        <f t="shared" si="14"/>
        <v>1.9799999999999998E-2</v>
      </c>
      <c r="M16" s="62">
        <f t="shared" si="6"/>
        <v>1.7819999999999998</v>
      </c>
      <c r="N16" s="62">
        <f t="shared" si="0"/>
        <v>1.6037999999999999</v>
      </c>
      <c r="O16" s="173">
        <f t="shared" si="7"/>
        <v>1.7819999999999998</v>
      </c>
      <c r="P16" s="172">
        <f t="shared" si="15"/>
        <v>9.9989999999999992E-3</v>
      </c>
      <c r="Q16" s="62">
        <f t="shared" si="8"/>
        <v>0.89990999999999988</v>
      </c>
      <c r="R16" s="189">
        <f t="shared" si="1"/>
        <v>0.80991899999999994</v>
      </c>
      <c r="S16" s="173">
        <f t="shared" si="9"/>
        <v>0.89990999999999988</v>
      </c>
      <c r="U16" s="376" t="s">
        <v>211</v>
      </c>
      <c r="V16" s="376"/>
    </row>
    <row r="17" spans="1:22">
      <c r="A17" s="36">
        <f t="shared" si="10"/>
        <v>16</v>
      </c>
      <c r="B17" s="37">
        <v>21600</v>
      </c>
      <c r="C17" s="37">
        <f t="shared" si="2"/>
        <v>6</v>
      </c>
      <c r="D17" s="37">
        <f t="shared" si="3"/>
        <v>96</v>
      </c>
      <c r="E17" s="37">
        <f t="shared" si="4"/>
        <v>87</v>
      </c>
      <c r="F17" s="37">
        <f t="shared" si="16"/>
        <v>96</v>
      </c>
      <c r="G17" s="37">
        <f t="shared" si="5"/>
        <v>6</v>
      </c>
      <c r="H17" s="37">
        <f t="shared" si="5"/>
        <v>6</v>
      </c>
      <c r="I17" s="194">
        <f t="shared" si="11"/>
        <v>6.6666666666666652E-2</v>
      </c>
      <c r="J17" s="194">
        <f t="shared" si="12"/>
        <v>7.4074074074074181E-2</v>
      </c>
      <c r="K17" s="160">
        <f t="shared" si="13"/>
        <v>6.6666666666666652E-2</v>
      </c>
      <c r="L17" s="172">
        <f t="shared" si="14"/>
        <v>1.9799999999999998E-2</v>
      </c>
      <c r="M17" s="62">
        <f t="shared" si="6"/>
        <v>1.9007999999999998</v>
      </c>
      <c r="N17" s="62">
        <f t="shared" si="0"/>
        <v>1.7225999999999999</v>
      </c>
      <c r="O17" s="173">
        <f t="shared" si="7"/>
        <v>1.9007999999999998</v>
      </c>
      <c r="P17" s="172">
        <f t="shared" si="15"/>
        <v>9.9989999999999992E-3</v>
      </c>
      <c r="Q17" s="62">
        <f t="shared" si="8"/>
        <v>0.95990399999999987</v>
      </c>
      <c r="R17" s="189">
        <f t="shared" si="1"/>
        <v>0.86991299999999994</v>
      </c>
      <c r="S17" s="173">
        <f t="shared" si="9"/>
        <v>0.95990399999999987</v>
      </c>
      <c r="U17" s="37" t="s">
        <v>214</v>
      </c>
      <c r="V17" s="171">
        <v>0</v>
      </c>
    </row>
    <row r="18" spans="1:22">
      <c r="A18" s="36">
        <f t="shared" si="10"/>
        <v>17</v>
      </c>
      <c r="B18" s="37">
        <v>21600</v>
      </c>
      <c r="C18" s="37">
        <f t="shared" si="2"/>
        <v>6</v>
      </c>
      <c r="D18" s="37">
        <f t="shared" si="3"/>
        <v>102</v>
      </c>
      <c r="E18" s="37">
        <f t="shared" si="4"/>
        <v>92</v>
      </c>
      <c r="F18" s="37">
        <f t="shared" si="16"/>
        <v>92</v>
      </c>
      <c r="G18" s="37">
        <f t="shared" si="5"/>
        <v>5</v>
      </c>
      <c r="H18" s="37">
        <f t="shared" si="5"/>
        <v>-4</v>
      </c>
      <c r="I18" s="194">
        <f t="shared" si="11"/>
        <v>6.25E-2</v>
      </c>
      <c r="J18" s="194">
        <f t="shared" si="12"/>
        <v>5.7471264367816133E-2</v>
      </c>
      <c r="K18" s="160">
        <f t="shared" si="13"/>
        <v>-4.166666666666663E-2</v>
      </c>
      <c r="L18" s="172">
        <f t="shared" si="14"/>
        <v>1.9799999999999998E-2</v>
      </c>
      <c r="M18" s="62">
        <f t="shared" si="6"/>
        <v>2.0195999999999996</v>
      </c>
      <c r="N18" s="62">
        <f t="shared" si="0"/>
        <v>1.8215999999999999</v>
      </c>
      <c r="O18" s="173">
        <f t="shared" si="7"/>
        <v>1.8215999999999999</v>
      </c>
      <c r="P18" s="172">
        <f t="shared" si="15"/>
        <v>9.9989999999999992E-3</v>
      </c>
      <c r="Q18" s="62">
        <f t="shared" si="8"/>
        <v>1.019898</v>
      </c>
      <c r="R18" s="189">
        <f t="shared" si="1"/>
        <v>0.91990799999999995</v>
      </c>
      <c r="S18" s="173">
        <f t="shared" si="9"/>
        <v>0.91990799999999995</v>
      </c>
      <c r="U18" s="37" t="s">
        <v>215</v>
      </c>
      <c r="V18" s="171">
        <v>0.1</v>
      </c>
    </row>
    <row r="19" spans="1:22">
      <c r="A19" s="36">
        <f t="shared" si="10"/>
        <v>18</v>
      </c>
      <c r="B19" s="37">
        <v>21600</v>
      </c>
      <c r="C19" s="37">
        <f t="shared" si="2"/>
        <v>6</v>
      </c>
      <c r="D19" s="37">
        <f t="shared" si="3"/>
        <v>108</v>
      </c>
      <c r="E19" s="37">
        <f t="shared" si="4"/>
        <v>98</v>
      </c>
      <c r="F19" s="37">
        <f t="shared" si="16"/>
        <v>98</v>
      </c>
      <c r="G19" s="37">
        <f t="shared" si="5"/>
        <v>6</v>
      </c>
      <c r="H19" s="37">
        <f t="shared" si="5"/>
        <v>6</v>
      </c>
      <c r="I19" s="194">
        <f t="shared" si="11"/>
        <v>5.8823529411764719E-2</v>
      </c>
      <c r="J19" s="194">
        <f t="shared" si="12"/>
        <v>6.5217391304347894E-2</v>
      </c>
      <c r="K19" s="160">
        <f t="shared" si="13"/>
        <v>6.5217391304347894E-2</v>
      </c>
      <c r="L19" s="172">
        <f t="shared" si="14"/>
        <v>1.9799999999999998E-2</v>
      </c>
      <c r="M19" s="62">
        <f t="shared" si="6"/>
        <v>2.1383999999999999</v>
      </c>
      <c r="N19" s="62">
        <f t="shared" si="0"/>
        <v>1.9403999999999999</v>
      </c>
      <c r="O19" s="173">
        <f t="shared" si="7"/>
        <v>1.9403999999999999</v>
      </c>
      <c r="P19" s="172">
        <f t="shared" si="15"/>
        <v>9.9989999999999992E-3</v>
      </c>
      <c r="Q19" s="62">
        <f t="shared" si="8"/>
        <v>1.0798919999999999</v>
      </c>
      <c r="R19" s="189">
        <f t="shared" si="1"/>
        <v>0.97990199999999994</v>
      </c>
      <c r="S19" s="173">
        <f t="shared" si="9"/>
        <v>0.97990199999999994</v>
      </c>
      <c r="U19" s="37" t="s">
        <v>216</v>
      </c>
      <c r="V19" s="171">
        <v>0.15</v>
      </c>
    </row>
    <row r="20" spans="1:22">
      <c r="A20" s="36">
        <f t="shared" si="10"/>
        <v>19</v>
      </c>
      <c r="B20" s="37">
        <v>21600</v>
      </c>
      <c r="C20" s="37">
        <f t="shared" si="2"/>
        <v>6</v>
      </c>
      <c r="D20" s="37">
        <f t="shared" si="3"/>
        <v>114</v>
      </c>
      <c r="E20" s="37">
        <f t="shared" si="4"/>
        <v>103</v>
      </c>
      <c r="F20" s="37">
        <f t="shared" si="16"/>
        <v>103</v>
      </c>
      <c r="G20" s="37">
        <f t="shared" si="5"/>
        <v>5</v>
      </c>
      <c r="H20" s="37">
        <f t="shared" si="5"/>
        <v>5</v>
      </c>
      <c r="I20" s="194">
        <f t="shared" si="11"/>
        <v>5.555555555555558E-2</v>
      </c>
      <c r="J20" s="194">
        <f t="shared" si="12"/>
        <v>5.1020408163265252E-2</v>
      </c>
      <c r="K20" s="160">
        <f t="shared" si="13"/>
        <v>5.1020408163265252E-2</v>
      </c>
      <c r="L20" s="172">
        <f t="shared" si="14"/>
        <v>1.9799999999999998E-2</v>
      </c>
      <c r="M20" s="62">
        <f t="shared" si="6"/>
        <v>2.2571999999999997</v>
      </c>
      <c r="N20" s="62">
        <f t="shared" si="0"/>
        <v>2.0393999999999997</v>
      </c>
      <c r="O20" s="173">
        <f t="shared" si="7"/>
        <v>2.0393999999999997</v>
      </c>
      <c r="P20" s="172">
        <f t="shared" si="15"/>
        <v>9.9989999999999992E-3</v>
      </c>
      <c r="Q20" s="62">
        <f t="shared" si="8"/>
        <v>1.139886</v>
      </c>
      <c r="R20" s="189">
        <f t="shared" si="1"/>
        <v>1.0298969999999998</v>
      </c>
      <c r="S20" s="173">
        <f t="shared" si="9"/>
        <v>1.0298969999999998</v>
      </c>
      <c r="U20" s="37" t="s">
        <v>217</v>
      </c>
      <c r="V20" s="171">
        <v>0.2</v>
      </c>
    </row>
    <row r="21" spans="1:22">
      <c r="A21" s="36">
        <f t="shared" si="10"/>
        <v>20</v>
      </c>
      <c r="B21" s="37">
        <v>21600</v>
      </c>
      <c r="C21" s="37">
        <f t="shared" si="2"/>
        <v>6</v>
      </c>
      <c r="D21" s="37">
        <f t="shared" si="3"/>
        <v>120</v>
      </c>
      <c r="E21" s="37">
        <f t="shared" si="4"/>
        <v>108</v>
      </c>
      <c r="F21" s="37">
        <f t="shared" si="16"/>
        <v>108</v>
      </c>
      <c r="G21" s="37">
        <f t="shared" si="5"/>
        <v>5</v>
      </c>
      <c r="H21" s="37">
        <f t="shared" si="5"/>
        <v>5</v>
      </c>
      <c r="I21" s="194">
        <f t="shared" si="11"/>
        <v>5.2631578947368363E-2</v>
      </c>
      <c r="J21" s="194">
        <f t="shared" si="12"/>
        <v>4.8543689320388328E-2</v>
      </c>
      <c r="K21" s="160">
        <f t="shared" si="13"/>
        <v>4.8543689320388328E-2</v>
      </c>
      <c r="L21" s="172">
        <f t="shared" si="14"/>
        <v>1.9799999999999998E-2</v>
      </c>
      <c r="M21" s="62">
        <f t="shared" si="6"/>
        <v>2.3759999999999999</v>
      </c>
      <c r="N21" s="62">
        <f t="shared" si="0"/>
        <v>2.1383999999999999</v>
      </c>
      <c r="O21" s="173">
        <f t="shared" si="7"/>
        <v>2.1383999999999999</v>
      </c>
      <c r="P21" s="172">
        <f t="shared" si="15"/>
        <v>9.9989999999999992E-3</v>
      </c>
      <c r="Q21" s="62">
        <f t="shared" si="8"/>
        <v>1.1998799999999998</v>
      </c>
      <c r="R21" s="189">
        <f t="shared" si="1"/>
        <v>1.0798919999999999</v>
      </c>
      <c r="S21" s="173">
        <f t="shared" si="9"/>
        <v>1.0798919999999999</v>
      </c>
    </row>
    <row r="22" spans="1:22">
      <c r="A22" s="36">
        <f t="shared" si="10"/>
        <v>21</v>
      </c>
      <c r="B22" s="37">
        <v>21600</v>
      </c>
      <c r="C22" s="37">
        <f t="shared" si="2"/>
        <v>6</v>
      </c>
      <c r="D22" s="37">
        <f t="shared" si="3"/>
        <v>126</v>
      </c>
      <c r="E22" s="37">
        <f t="shared" si="4"/>
        <v>114</v>
      </c>
      <c r="F22" s="37">
        <f t="shared" si="16"/>
        <v>114</v>
      </c>
      <c r="G22" s="37">
        <f t="shared" si="5"/>
        <v>6</v>
      </c>
      <c r="H22" s="37">
        <f t="shared" si="5"/>
        <v>6</v>
      </c>
      <c r="I22" s="194">
        <f t="shared" si="11"/>
        <v>5.0000000000000044E-2</v>
      </c>
      <c r="J22" s="194">
        <f t="shared" si="12"/>
        <v>5.555555555555558E-2</v>
      </c>
      <c r="K22" s="160">
        <f t="shared" si="13"/>
        <v>5.555555555555558E-2</v>
      </c>
      <c r="L22" s="172">
        <f t="shared" si="14"/>
        <v>1.9799999999999998E-2</v>
      </c>
      <c r="M22" s="62">
        <f t="shared" si="6"/>
        <v>2.4947999999999997</v>
      </c>
      <c r="N22" s="62">
        <f t="shared" si="0"/>
        <v>2.2571999999999997</v>
      </c>
      <c r="O22" s="173">
        <f t="shared" si="7"/>
        <v>2.2571999999999997</v>
      </c>
      <c r="P22" s="172">
        <f t="shared" si="15"/>
        <v>9.9989999999999992E-3</v>
      </c>
      <c r="Q22" s="62">
        <f t="shared" si="8"/>
        <v>1.2598739999999999</v>
      </c>
      <c r="R22" s="189">
        <f t="shared" si="1"/>
        <v>1.139886</v>
      </c>
      <c r="S22" s="173">
        <f t="shared" si="9"/>
        <v>1.139886</v>
      </c>
      <c r="U22" s="352" t="s">
        <v>187</v>
      </c>
      <c r="V22" s="352"/>
    </row>
    <row r="23" spans="1:22">
      <c r="A23" s="36">
        <f t="shared" si="10"/>
        <v>22</v>
      </c>
      <c r="B23" s="37">
        <v>21600</v>
      </c>
      <c r="C23" s="37">
        <f t="shared" si="2"/>
        <v>6</v>
      </c>
      <c r="D23" s="37">
        <f t="shared" si="3"/>
        <v>132</v>
      </c>
      <c r="E23" s="37">
        <f t="shared" si="4"/>
        <v>119</v>
      </c>
      <c r="F23" s="37">
        <f t="shared" si="16"/>
        <v>119</v>
      </c>
      <c r="G23" s="37">
        <f t="shared" si="5"/>
        <v>5</v>
      </c>
      <c r="H23" s="37">
        <f t="shared" si="5"/>
        <v>5</v>
      </c>
      <c r="I23" s="194">
        <f t="shared" si="11"/>
        <v>4.7619047619047672E-2</v>
      </c>
      <c r="J23" s="194">
        <f t="shared" si="12"/>
        <v>4.3859649122806932E-2</v>
      </c>
      <c r="K23" s="160">
        <f t="shared" si="13"/>
        <v>4.3859649122806932E-2</v>
      </c>
      <c r="L23" s="172">
        <f t="shared" si="14"/>
        <v>1.9799999999999998E-2</v>
      </c>
      <c r="M23" s="62">
        <f t="shared" si="6"/>
        <v>2.6135999999999999</v>
      </c>
      <c r="N23" s="62">
        <f t="shared" si="0"/>
        <v>2.3561999999999999</v>
      </c>
      <c r="O23" s="173">
        <f t="shared" si="7"/>
        <v>2.3561999999999999</v>
      </c>
      <c r="P23" s="172">
        <f t="shared" si="15"/>
        <v>9.9989999999999992E-3</v>
      </c>
      <c r="Q23" s="62">
        <f t="shared" si="8"/>
        <v>1.3198679999999998</v>
      </c>
      <c r="R23" s="189">
        <f t="shared" si="1"/>
        <v>1.189881</v>
      </c>
      <c r="S23" s="173">
        <f t="shared" si="9"/>
        <v>1.189881</v>
      </c>
      <c r="U23" t="s">
        <v>188</v>
      </c>
      <c r="V23" t="s">
        <v>189</v>
      </c>
    </row>
    <row r="24" spans="1:22">
      <c r="A24" s="36">
        <f t="shared" si="10"/>
        <v>23</v>
      </c>
      <c r="B24" s="37">
        <v>21600</v>
      </c>
      <c r="C24" s="37">
        <f t="shared" si="2"/>
        <v>6</v>
      </c>
      <c r="D24" s="37">
        <f t="shared" si="3"/>
        <v>138</v>
      </c>
      <c r="E24" s="37">
        <f t="shared" si="4"/>
        <v>125</v>
      </c>
      <c r="F24" s="37">
        <f t="shared" si="16"/>
        <v>125</v>
      </c>
      <c r="G24" s="37">
        <f t="shared" si="5"/>
        <v>6</v>
      </c>
      <c r="H24" s="37">
        <f t="shared" si="5"/>
        <v>6</v>
      </c>
      <c r="I24" s="194">
        <f t="shared" si="11"/>
        <v>4.5454545454545414E-2</v>
      </c>
      <c r="J24" s="194">
        <f t="shared" si="12"/>
        <v>5.0420168067226934E-2</v>
      </c>
      <c r="K24" s="160">
        <f t="shared" si="13"/>
        <v>5.0420168067226934E-2</v>
      </c>
      <c r="L24" s="172">
        <f t="shared" si="14"/>
        <v>1.9799999999999998E-2</v>
      </c>
      <c r="M24" s="62">
        <f t="shared" si="6"/>
        <v>2.7323999999999997</v>
      </c>
      <c r="N24" s="62">
        <f t="shared" si="0"/>
        <v>2.4749999999999996</v>
      </c>
      <c r="O24" s="173">
        <f t="shared" si="7"/>
        <v>2.4749999999999996</v>
      </c>
      <c r="P24" s="172">
        <f t="shared" si="15"/>
        <v>9.9989999999999992E-3</v>
      </c>
      <c r="Q24" s="62">
        <f t="shared" si="8"/>
        <v>1.3798619999999999</v>
      </c>
      <c r="R24" s="189">
        <f t="shared" si="1"/>
        <v>1.2498749999999998</v>
      </c>
      <c r="S24" s="173">
        <f t="shared" si="9"/>
        <v>1.2498749999999998</v>
      </c>
      <c r="U24" t="s">
        <v>195</v>
      </c>
      <c r="V24" t="s">
        <v>190</v>
      </c>
    </row>
    <row r="25" spans="1:22">
      <c r="A25" s="36">
        <f t="shared" si="10"/>
        <v>24</v>
      </c>
      <c r="B25" s="37">
        <v>21600</v>
      </c>
      <c r="C25" s="37">
        <f t="shared" si="2"/>
        <v>6</v>
      </c>
      <c r="D25" s="37">
        <f t="shared" si="3"/>
        <v>144</v>
      </c>
      <c r="E25" s="37">
        <f t="shared" si="4"/>
        <v>130</v>
      </c>
      <c r="F25" s="37">
        <f t="shared" si="16"/>
        <v>130</v>
      </c>
      <c r="G25" s="37">
        <f t="shared" si="5"/>
        <v>5</v>
      </c>
      <c r="H25" s="37">
        <f t="shared" si="5"/>
        <v>5</v>
      </c>
      <c r="I25" s="194">
        <f t="shared" si="11"/>
        <v>4.3478260869565188E-2</v>
      </c>
      <c r="J25" s="194">
        <f t="shared" si="12"/>
        <v>4.0000000000000036E-2</v>
      </c>
      <c r="K25" s="160">
        <f t="shared" si="13"/>
        <v>4.0000000000000036E-2</v>
      </c>
      <c r="L25" s="172">
        <f t="shared" si="14"/>
        <v>1.9799999999999998E-2</v>
      </c>
      <c r="M25" s="62">
        <f t="shared" si="6"/>
        <v>2.8511999999999995</v>
      </c>
      <c r="N25" s="62">
        <f t="shared" si="0"/>
        <v>2.5739999999999998</v>
      </c>
      <c r="O25" s="173">
        <f t="shared" si="7"/>
        <v>2.5739999999999998</v>
      </c>
      <c r="P25" s="172">
        <f t="shared" si="15"/>
        <v>9.9989999999999992E-3</v>
      </c>
      <c r="Q25" s="62">
        <f t="shared" si="8"/>
        <v>1.4398559999999998</v>
      </c>
      <c r="R25" s="189">
        <f t="shared" si="1"/>
        <v>1.2998699999999999</v>
      </c>
      <c r="S25" s="173">
        <f t="shared" si="9"/>
        <v>1.2998699999999999</v>
      </c>
    </row>
    <row r="26" spans="1:22">
      <c r="A26" s="36">
        <f t="shared" si="10"/>
        <v>25</v>
      </c>
      <c r="B26" s="37">
        <v>21600</v>
      </c>
      <c r="C26" s="37">
        <f t="shared" si="2"/>
        <v>6</v>
      </c>
      <c r="D26" s="37">
        <f t="shared" si="3"/>
        <v>150</v>
      </c>
      <c r="E26" s="37">
        <f t="shared" si="4"/>
        <v>135</v>
      </c>
      <c r="F26" s="37">
        <f t="shared" si="16"/>
        <v>135</v>
      </c>
      <c r="G26" s="37">
        <f t="shared" si="5"/>
        <v>5</v>
      </c>
      <c r="H26" s="37">
        <f t="shared" si="5"/>
        <v>5</v>
      </c>
      <c r="I26" s="194">
        <f t="shared" si="11"/>
        <v>4.1666666666666741E-2</v>
      </c>
      <c r="J26" s="194">
        <f t="shared" si="12"/>
        <v>3.8461538461538547E-2</v>
      </c>
      <c r="K26" s="160">
        <f t="shared" si="13"/>
        <v>3.8461538461538547E-2</v>
      </c>
      <c r="L26" s="172">
        <f t="shared" si="14"/>
        <v>1.9799999999999998E-2</v>
      </c>
      <c r="M26" s="62">
        <f t="shared" si="6"/>
        <v>2.9699999999999998</v>
      </c>
      <c r="N26" s="62">
        <f t="shared" si="0"/>
        <v>2.6729999999999996</v>
      </c>
      <c r="O26" s="173">
        <f t="shared" si="7"/>
        <v>2.6729999999999996</v>
      </c>
      <c r="P26" s="172">
        <f t="shared" si="15"/>
        <v>9.9989999999999992E-3</v>
      </c>
      <c r="Q26" s="62">
        <f t="shared" si="8"/>
        <v>1.4998499999999999</v>
      </c>
      <c r="R26" s="189">
        <f t="shared" si="1"/>
        <v>1.3498649999999999</v>
      </c>
      <c r="S26" s="173">
        <f t="shared" si="9"/>
        <v>1.3498649999999999</v>
      </c>
    </row>
    <row r="27" spans="1:22">
      <c r="A27" s="36">
        <f t="shared" si="10"/>
        <v>26</v>
      </c>
      <c r="B27" s="37">
        <v>21600</v>
      </c>
      <c r="C27" s="37">
        <f t="shared" si="2"/>
        <v>6</v>
      </c>
      <c r="D27" s="37">
        <f t="shared" si="3"/>
        <v>156</v>
      </c>
      <c r="E27" s="37">
        <f t="shared" si="4"/>
        <v>141</v>
      </c>
      <c r="F27" s="37">
        <f t="shared" si="16"/>
        <v>141</v>
      </c>
      <c r="G27" s="37">
        <f t="shared" si="5"/>
        <v>6</v>
      </c>
      <c r="H27" s="37">
        <f t="shared" si="5"/>
        <v>6</v>
      </c>
      <c r="I27" s="194">
        <f t="shared" si="11"/>
        <v>4.0000000000000036E-2</v>
      </c>
      <c r="J27" s="194">
        <f t="shared" si="12"/>
        <v>4.4444444444444509E-2</v>
      </c>
      <c r="K27" s="160">
        <f t="shared" si="13"/>
        <v>4.4444444444444509E-2</v>
      </c>
      <c r="L27" s="172">
        <f t="shared" si="14"/>
        <v>1.9799999999999998E-2</v>
      </c>
      <c r="M27" s="62">
        <f t="shared" si="6"/>
        <v>3.0887999999999995</v>
      </c>
      <c r="N27" s="62">
        <f t="shared" si="0"/>
        <v>2.7917999999999998</v>
      </c>
      <c r="O27" s="173">
        <f t="shared" si="7"/>
        <v>2.7917999999999998</v>
      </c>
      <c r="P27" s="172">
        <f t="shared" si="15"/>
        <v>9.9989999999999992E-3</v>
      </c>
      <c r="Q27" s="62">
        <f t="shared" si="8"/>
        <v>1.5598439999999998</v>
      </c>
      <c r="R27" s="189">
        <f t="shared" si="1"/>
        <v>1.409859</v>
      </c>
      <c r="S27" s="173">
        <f t="shared" si="9"/>
        <v>1.409859</v>
      </c>
    </row>
    <row r="28" spans="1:22">
      <c r="A28" s="36">
        <f t="shared" si="10"/>
        <v>27</v>
      </c>
      <c r="B28" s="37">
        <v>21600</v>
      </c>
      <c r="C28" s="37">
        <f t="shared" si="2"/>
        <v>6</v>
      </c>
      <c r="D28" s="37">
        <f t="shared" si="3"/>
        <v>162</v>
      </c>
      <c r="E28" s="37">
        <f t="shared" si="4"/>
        <v>146</v>
      </c>
      <c r="F28" s="37">
        <f t="shared" si="16"/>
        <v>146</v>
      </c>
      <c r="G28" s="37">
        <f t="shared" si="5"/>
        <v>5</v>
      </c>
      <c r="H28" s="37">
        <f t="shared" si="5"/>
        <v>5</v>
      </c>
      <c r="I28" s="194">
        <f t="shared" si="11"/>
        <v>3.8461538461538547E-2</v>
      </c>
      <c r="J28" s="194">
        <f t="shared" si="12"/>
        <v>3.5460992907801359E-2</v>
      </c>
      <c r="K28" s="160">
        <f t="shared" si="13"/>
        <v>3.5460992907801359E-2</v>
      </c>
      <c r="L28" s="172">
        <f t="shared" si="14"/>
        <v>1.9799999999999998E-2</v>
      </c>
      <c r="M28" s="62">
        <f t="shared" si="6"/>
        <v>3.2075999999999998</v>
      </c>
      <c r="N28" s="62">
        <f t="shared" si="0"/>
        <v>2.8907999999999996</v>
      </c>
      <c r="O28" s="173">
        <f t="shared" si="7"/>
        <v>2.8907999999999996</v>
      </c>
      <c r="P28" s="172">
        <f t="shared" si="15"/>
        <v>9.9989999999999992E-3</v>
      </c>
      <c r="Q28" s="62">
        <f t="shared" si="8"/>
        <v>1.6198379999999999</v>
      </c>
      <c r="R28" s="189">
        <f t="shared" si="1"/>
        <v>1.459854</v>
      </c>
      <c r="S28" s="173">
        <f t="shared" si="9"/>
        <v>1.459854</v>
      </c>
    </row>
    <row r="29" spans="1:22" ht="15" customHeight="1">
      <c r="A29" s="36">
        <f t="shared" si="10"/>
        <v>28</v>
      </c>
      <c r="B29" s="37">
        <v>21600</v>
      </c>
      <c r="C29" s="37">
        <f t="shared" si="2"/>
        <v>6</v>
      </c>
      <c r="D29" s="37">
        <f t="shared" si="3"/>
        <v>168</v>
      </c>
      <c r="E29" s="37">
        <f t="shared" si="4"/>
        <v>152</v>
      </c>
      <c r="F29" s="37">
        <f t="shared" si="16"/>
        <v>152</v>
      </c>
      <c r="G29" s="37">
        <f t="shared" si="5"/>
        <v>6</v>
      </c>
      <c r="H29" s="37">
        <f t="shared" si="5"/>
        <v>6</v>
      </c>
      <c r="I29" s="194">
        <f t="shared" si="11"/>
        <v>3.7037037037036979E-2</v>
      </c>
      <c r="J29" s="194">
        <f t="shared" si="12"/>
        <v>4.1095890410958846E-2</v>
      </c>
      <c r="K29" s="160">
        <f t="shared" si="13"/>
        <v>4.1095890410958846E-2</v>
      </c>
      <c r="L29" s="172">
        <f t="shared" si="14"/>
        <v>1.9799999999999998E-2</v>
      </c>
      <c r="M29" s="62">
        <f t="shared" si="6"/>
        <v>3.3263999999999996</v>
      </c>
      <c r="N29" s="62">
        <f t="shared" si="0"/>
        <v>3.0095999999999998</v>
      </c>
      <c r="O29" s="173">
        <f t="shared" si="7"/>
        <v>3.0095999999999998</v>
      </c>
      <c r="P29" s="172">
        <f t="shared" si="15"/>
        <v>9.9989999999999992E-3</v>
      </c>
      <c r="Q29" s="62">
        <f t="shared" si="8"/>
        <v>1.6798319999999998</v>
      </c>
      <c r="R29" s="189">
        <f t="shared" si="1"/>
        <v>1.5198479999999999</v>
      </c>
      <c r="S29" s="173">
        <f t="shared" si="9"/>
        <v>1.5198479999999999</v>
      </c>
    </row>
    <row r="30" spans="1:22">
      <c r="A30" s="36">
        <f t="shared" si="10"/>
        <v>29</v>
      </c>
      <c r="B30" s="37">
        <v>21600</v>
      </c>
      <c r="C30" s="37">
        <f t="shared" si="2"/>
        <v>6</v>
      </c>
      <c r="D30" s="37">
        <f t="shared" si="3"/>
        <v>174</v>
      </c>
      <c r="E30" s="37">
        <f t="shared" si="4"/>
        <v>157</v>
      </c>
      <c r="F30" s="37">
        <f t="shared" si="16"/>
        <v>157</v>
      </c>
      <c r="G30" s="37">
        <f t="shared" si="5"/>
        <v>5</v>
      </c>
      <c r="H30" s="37">
        <f t="shared" si="5"/>
        <v>5</v>
      </c>
      <c r="I30" s="194">
        <f t="shared" si="11"/>
        <v>3.5714285714285809E-2</v>
      </c>
      <c r="J30" s="194">
        <f t="shared" si="12"/>
        <v>3.289473684210531E-2</v>
      </c>
      <c r="K30" s="160">
        <f t="shared" si="13"/>
        <v>3.289473684210531E-2</v>
      </c>
      <c r="L30" s="172">
        <f t="shared" si="14"/>
        <v>1.9799999999999998E-2</v>
      </c>
      <c r="M30" s="62">
        <f t="shared" si="6"/>
        <v>3.4451999999999998</v>
      </c>
      <c r="N30" s="62">
        <f t="shared" si="0"/>
        <v>3.1085999999999996</v>
      </c>
      <c r="O30" s="173">
        <f t="shared" si="7"/>
        <v>3.1085999999999996</v>
      </c>
      <c r="P30" s="172">
        <f t="shared" si="15"/>
        <v>9.9989999999999992E-3</v>
      </c>
      <c r="Q30" s="62">
        <f t="shared" si="8"/>
        <v>1.7398259999999999</v>
      </c>
      <c r="R30" s="189">
        <f t="shared" si="1"/>
        <v>1.5698429999999999</v>
      </c>
      <c r="S30" s="173">
        <f t="shared" si="9"/>
        <v>1.5698429999999999</v>
      </c>
    </row>
    <row r="31" spans="1:22">
      <c r="A31" s="36">
        <f t="shared" si="10"/>
        <v>30</v>
      </c>
      <c r="B31" s="37">
        <v>21600</v>
      </c>
      <c r="C31" s="37">
        <f t="shared" si="2"/>
        <v>6</v>
      </c>
      <c r="D31" s="37">
        <f t="shared" si="3"/>
        <v>180</v>
      </c>
      <c r="E31" s="37">
        <f t="shared" si="4"/>
        <v>162</v>
      </c>
      <c r="F31" s="37">
        <f t="shared" si="16"/>
        <v>162</v>
      </c>
      <c r="G31" s="37">
        <f t="shared" si="5"/>
        <v>5</v>
      </c>
      <c r="H31" s="37">
        <f t="shared" si="5"/>
        <v>5</v>
      </c>
      <c r="I31" s="194">
        <f t="shared" si="11"/>
        <v>3.4482758620689724E-2</v>
      </c>
      <c r="J31" s="194">
        <f t="shared" si="12"/>
        <v>3.1847133757961776E-2</v>
      </c>
      <c r="K31" s="160">
        <f t="shared" si="13"/>
        <v>3.1847133757961776E-2</v>
      </c>
      <c r="L31" s="172">
        <f t="shared" si="14"/>
        <v>1.9799999999999998E-2</v>
      </c>
      <c r="M31" s="62">
        <f t="shared" si="6"/>
        <v>3.5639999999999996</v>
      </c>
      <c r="N31" s="62">
        <f t="shared" si="0"/>
        <v>3.2075999999999998</v>
      </c>
      <c r="O31" s="173">
        <f t="shared" si="7"/>
        <v>3.2075999999999998</v>
      </c>
      <c r="P31" s="172">
        <f t="shared" si="15"/>
        <v>9.9989999999999992E-3</v>
      </c>
      <c r="Q31" s="62">
        <f t="shared" si="8"/>
        <v>1.7998199999999998</v>
      </c>
      <c r="R31" s="189">
        <f t="shared" si="1"/>
        <v>1.6198379999999999</v>
      </c>
      <c r="S31" s="173">
        <f t="shared" si="9"/>
        <v>1.6198379999999999</v>
      </c>
    </row>
    <row r="32" spans="1:22">
      <c r="A32" s="36">
        <f t="shared" si="10"/>
        <v>31</v>
      </c>
      <c r="B32" s="37">
        <v>21600</v>
      </c>
      <c r="C32" s="37">
        <f t="shared" si="2"/>
        <v>6</v>
      </c>
      <c r="D32" s="37">
        <f t="shared" si="3"/>
        <v>186</v>
      </c>
      <c r="E32" s="37">
        <f t="shared" si="4"/>
        <v>168</v>
      </c>
      <c r="F32" s="37">
        <f t="shared" si="16"/>
        <v>168</v>
      </c>
      <c r="G32" s="37">
        <f t="shared" si="5"/>
        <v>6</v>
      </c>
      <c r="H32" s="37">
        <f t="shared" si="5"/>
        <v>6</v>
      </c>
      <c r="I32" s="194">
        <f t="shared" si="11"/>
        <v>3.3333333333333437E-2</v>
      </c>
      <c r="J32" s="194">
        <f t="shared" si="12"/>
        <v>3.7037037037036979E-2</v>
      </c>
      <c r="K32" s="160">
        <f t="shared" si="13"/>
        <v>3.7037037037036979E-2</v>
      </c>
      <c r="L32" s="172">
        <f t="shared" si="14"/>
        <v>1.9799999999999998E-2</v>
      </c>
      <c r="M32" s="62">
        <f t="shared" si="6"/>
        <v>3.6827999999999999</v>
      </c>
      <c r="N32" s="62">
        <f t="shared" si="0"/>
        <v>3.3263999999999996</v>
      </c>
      <c r="O32" s="173">
        <f t="shared" si="7"/>
        <v>3.3263999999999996</v>
      </c>
      <c r="P32" s="172">
        <f t="shared" si="15"/>
        <v>9.9989999999999992E-3</v>
      </c>
      <c r="Q32" s="62">
        <f t="shared" si="8"/>
        <v>1.8598139999999999</v>
      </c>
      <c r="R32" s="189">
        <f t="shared" si="1"/>
        <v>1.6798319999999998</v>
      </c>
      <c r="S32" s="173">
        <f t="shared" si="9"/>
        <v>1.6798319999999998</v>
      </c>
    </row>
    <row r="33" spans="1:19">
      <c r="A33" s="36">
        <f t="shared" si="10"/>
        <v>32</v>
      </c>
      <c r="B33" s="37">
        <v>21600</v>
      </c>
      <c r="C33" s="37">
        <f t="shared" si="2"/>
        <v>6</v>
      </c>
      <c r="D33" s="37">
        <f t="shared" si="3"/>
        <v>192</v>
      </c>
      <c r="E33" s="37">
        <f t="shared" si="4"/>
        <v>173</v>
      </c>
      <c r="F33" s="37">
        <f t="shared" si="16"/>
        <v>173</v>
      </c>
      <c r="G33" s="37">
        <f t="shared" si="5"/>
        <v>5</v>
      </c>
      <c r="H33" s="37">
        <f t="shared" si="5"/>
        <v>5</v>
      </c>
      <c r="I33" s="194">
        <f t="shared" si="11"/>
        <v>3.2258064516129004E-2</v>
      </c>
      <c r="J33" s="194">
        <f t="shared" si="12"/>
        <v>2.9761904761904656E-2</v>
      </c>
      <c r="K33" s="160">
        <f t="shared" si="13"/>
        <v>2.9761904761904656E-2</v>
      </c>
      <c r="L33" s="172">
        <f t="shared" si="14"/>
        <v>1.9799999999999998E-2</v>
      </c>
      <c r="M33" s="62">
        <f t="shared" si="6"/>
        <v>3.8015999999999996</v>
      </c>
      <c r="N33" s="62">
        <f t="shared" si="0"/>
        <v>3.4253999999999998</v>
      </c>
      <c r="O33" s="173">
        <f t="shared" si="7"/>
        <v>3.4253999999999998</v>
      </c>
      <c r="P33" s="172">
        <f t="shared" si="15"/>
        <v>9.9989999999999992E-3</v>
      </c>
      <c r="Q33" s="62">
        <f t="shared" si="8"/>
        <v>1.9198079999999997</v>
      </c>
      <c r="R33" s="189">
        <f t="shared" si="1"/>
        <v>1.7298269999999998</v>
      </c>
      <c r="S33" s="173">
        <f t="shared" si="9"/>
        <v>1.7298269999999998</v>
      </c>
    </row>
    <row r="34" spans="1:19">
      <c r="A34" s="36">
        <f t="shared" si="10"/>
        <v>33</v>
      </c>
      <c r="B34" s="37">
        <v>21600</v>
      </c>
      <c r="C34" s="37">
        <f t="shared" si="2"/>
        <v>6</v>
      </c>
      <c r="D34" s="37">
        <f t="shared" si="3"/>
        <v>198</v>
      </c>
      <c r="E34" s="37">
        <f t="shared" si="4"/>
        <v>179</v>
      </c>
      <c r="F34" s="37">
        <f t="shared" si="16"/>
        <v>179</v>
      </c>
      <c r="G34" s="37">
        <f t="shared" si="5"/>
        <v>6</v>
      </c>
      <c r="H34" s="37">
        <f t="shared" si="5"/>
        <v>6</v>
      </c>
      <c r="I34" s="194">
        <f t="shared" si="11"/>
        <v>3.125E-2</v>
      </c>
      <c r="J34" s="194">
        <f t="shared" si="12"/>
        <v>3.4682080924855585E-2</v>
      </c>
      <c r="K34" s="160">
        <f t="shared" si="13"/>
        <v>3.4682080924855585E-2</v>
      </c>
      <c r="L34" s="172">
        <f t="shared" si="14"/>
        <v>1.9799999999999998E-2</v>
      </c>
      <c r="M34" s="62">
        <f t="shared" si="6"/>
        <v>3.9203999999999994</v>
      </c>
      <c r="N34" s="62">
        <f t="shared" ref="N34:N65" si="17">L34*E34</f>
        <v>3.5441999999999996</v>
      </c>
      <c r="O34" s="173">
        <f t="shared" si="7"/>
        <v>3.5441999999999996</v>
      </c>
      <c r="P34" s="172">
        <f t="shared" si="15"/>
        <v>9.9989999999999992E-3</v>
      </c>
      <c r="Q34" s="62">
        <f t="shared" si="8"/>
        <v>1.9798019999999998</v>
      </c>
      <c r="R34" s="189">
        <f t="shared" ref="R34:R65" si="18">P34*E34</f>
        <v>1.7898209999999999</v>
      </c>
      <c r="S34" s="173">
        <f t="shared" si="9"/>
        <v>1.7898209999999999</v>
      </c>
    </row>
    <row r="35" spans="1:19">
      <c r="A35" s="36">
        <f t="shared" si="10"/>
        <v>34</v>
      </c>
      <c r="B35" s="37">
        <v>21600</v>
      </c>
      <c r="C35" s="37">
        <f t="shared" si="2"/>
        <v>6</v>
      </c>
      <c r="D35" s="37">
        <f t="shared" si="3"/>
        <v>204</v>
      </c>
      <c r="E35" s="37">
        <f t="shared" si="4"/>
        <v>184</v>
      </c>
      <c r="F35" s="37">
        <f t="shared" si="16"/>
        <v>184</v>
      </c>
      <c r="G35" s="37">
        <f t="shared" ref="G35:H66" si="19">E35-E34</f>
        <v>5</v>
      </c>
      <c r="H35" s="37">
        <f t="shared" si="19"/>
        <v>5</v>
      </c>
      <c r="I35" s="194">
        <f t="shared" si="11"/>
        <v>3.0303030303030276E-2</v>
      </c>
      <c r="J35" s="194">
        <f t="shared" si="12"/>
        <v>2.7932960893854775E-2</v>
      </c>
      <c r="K35" s="160">
        <f t="shared" si="13"/>
        <v>2.7932960893854775E-2</v>
      </c>
      <c r="L35" s="172">
        <f t="shared" si="14"/>
        <v>1.9799999999999998E-2</v>
      </c>
      <c r="M35" s="62">
        <f t="shared" si="6"/>
        <v>4.0391999999999992</v>
      </c>
      <c r="N35" s="62">
        <f t="shared" si="17"/>
        <v>3.6431999999999998</v>
      </c>
      <c r="O35" s="173">
        <f t="shared" si="7"/>
        <v>3.6431999999999998</v>
      </c>
      <c r="P35" s="172">
        <f t="shared" si="15"/>
        <v>9.9989999999999992E-3</v>
      </c>
      <c r="Q35" s="62">
        <f t="shared" si="8"/>
        <v>2.0397959999999999</v>
      </c>
      <c r="R35" s="189">
        <f t="shared" si="18"/>
        <v>1.8398159999999999</v>
      </c>
      <c r="S35" s="173">
        <f t="shared" si="9"/>
        <v>1.8398159999999999</v>
      </c>
    </row>
    <row r="36" spans="1:19">
      <c r="A36" s="36">
        <f t="shared" si="10"/>
        <v>35</v>
      </c>
      <c r="B36" s="37">
        <v>21600</v>
      </c>
      <c r="C36" s="37">
        <f t="shared" si="2"/>
        <v>6</v>
      </c>
      <c r="D36" s="37">
        <f t="shared" si="3"/>
        <v>210</v>
      </c>
      <c r="E36" s="37">
        <f t="shared" si="4"/>
        <v>189</v>
      </c>
      <c r="F36" s="37">
        <f t="shared" si="16"/>
        <v>189</v>
      </c>
      <c r="G36" s="37">
        <f t="shared" si="19"/>
        <v>5</v>
      </c>
      <c r="H36" s="37">
        <f t="shared" si="19"/>
        <v>5</v>
      </c>
      <c r="I36" s="194">
        <f t="shared" si="11"/>
        <v>2.9411764705882248E-2</v>
      </c>
      <c r="J36" s="194">
        <f t="shared" si="12"/>
        <v>2.7173913043478271E-2</v>
      </c>
      <c r="K36" s="160">
        <f t="shared" si="13"/>
        <v>2.7173913043478271E-2</v>
      </c>
      <c r="L36" s="172">
        <f t="shared" si="14"/>
        <v>1.9799999999999998E-2</v>
      </c>
      <c r="M36" s="62">
        <f t="shared" si="6"/>
        <v>4.1579999999999995</v>
      </c>
      <c r="N36" s="62">
        <f t="shared" si="17"/>
        <v>3.7421999999999995</v>
      </c>
      <c r="O36" s="173">
        <f t="shared" si="7"/>
        <v>3.7421999999999995</v>
      </c>
      <c r="P36" s="172">
        <f t="shared" si="15"/>
        <v>9.9989999999999992E-3</v>
      </c>
      <c r="Q36" s="62">
        <f t="shared" si="8"/>
        <v>2.09979</v>
      </c>
      <c r="R36" s="189">
        <f t="shared" si="18"/>
        <v>1.8898109999999999</v>
      </c>
      <c r="S36" s="173">
        <f t="shared" si="9"/>
        <v>1.8898109999999999</v>
      </c>
    </row>
    <row r="37" spans="1:19" ht="15" customHeight="1">
      <c r="A37" s="36">
        <f t="shared" si="10"/>
        <v>36</v>
      </c>
      <c r="B37" s="37">
        <v>21600</v>
      </c>
      <c r="C37" s="37">
        <f t="shared" si="2"/>
        <v>6</v>
      </c>
      <c r="D37" s="37">
        <f t="shared" si="3"/>
        <v>216</v>
      </c>
      <c r="E37" s="37">
        <f t="shared" si="4"/>
        <v>195</v>
      </c>
      <c r="F37" s="37">
        <f t="shared" si="16"/>
        <v>195</v>
      </c>
      <c r="G37" s="37">
        <f t="shared" si="19"/>
        <v>6</v>
      </c>
      <c r="H37" s="37">
        <f t="shared" si="19"/>
        <v>6</v>
      </c>
      <c r="I37" s="194">
        <f t="shared" si="11"/>
        <v>2.857142857142847E-2</v>
      </c>
      <c r="J37" s="194">
        <f t="shared" si="12"/>
        <v>3.1746031746031855E-2</v>
      </c>
      <c r="K37" s="160">
        <f t="shared" si="13"/>
        <v>3.1746031746031855E-2</v>
      </c>
      <c r="L37" s="172">
        <f t="shared" si="14"/>
        <v>1.9799999999999998E-2</v>
      </c>
      <c r="M37" s="62">
        <f t="shared" si="6"/>
        <v>4.2767999999999997</v>
      </c>
      <c r="N37" s="62">
        <f t="shared" si="17"/>
        <v>3.8609999999999998</v>
      </c>
      <c r="O37" s="173">
        <f t="shared" si="7"/>
        <v>3.8609999999999998</v>
      </c>
      <c r="P37" s="172">
        <f t="shared" si="15"/>
        <v>9.9989999999999992E-3</v>
      </c>
      <c r="Q37" s="62">
        <f t="shared" si="8"/>
        <v>2.1597839999999997</v>
      </c>
      <c r="R37" s="189">
        <f t="shared" si="18"/>
        <v>1.9498049999999998</v>
      </c>
      <c r="S37" s="173">
        <f t="shared" si="9"/>
        <v>1.9498049999999998</v>
      </c>
    </row>
    <row r="38" spans="1:19">
      <c r="A38" s="36">
        <f t="shared" si="10"/>
        <v>37</v>
      </c>
      <c r="B38" s="37">
        <v>21600</v>
      </c>
      <c r="C38" s="37">
        <f t="shared" si="2"/>
        <v>6</v>
      </c>
      <c r="D38" s="37">
        <f t="shared" si="3"/>
        <v>222</v>
      </c>
      <c r="E38" s="37">
        <f t="shared" si="4"/>
        <v>200</v>
      </c>
      <c r="F38" s="37">
        <f t="shared" si="16"/>
        <v>199</v>
      </c>
      <c r="G38" s="37">
        <f t="shared" si="19"/>
        <v>5</v>
      </c>
      <c r="H38" s="37">
        <f t="shared" si="19"/>
        <v>4</v>
      </c>
      <c r="I38" s="194">
        <f t="shared" si="11"/>
        <v>2.7777777777777679E-2</v>
      </c>
      <c r="J38" s="194">
        <f t="shared" si="12"/>
        <v>2.564102564102555E-2</v>
      </c>
      <c r="K38" s="160">
        <f t="shared" si="13"/>
        <v>2.051282051282044E-2</v>
      </c>
      <c r="L38" s="172">
        <f t="shared" si="14"/>
        <v>1.9799999999999998E-2</v>
      </c>
      <c r="M38" s="62">
        <f t="shared" si="6"/>
        <v>4.3956</v>
      </c>
      <c r="N38" s="62">
        <f t="shared" si="17"/>
        <v>3.9599999999999995</v>
      </c>
      <c r="O38" s="173">
        <f t="shared" si="7"/>
        <v>3.9401999999999995</v>
      </c>
      <c r="P38" s="172">
        <f t="shared" si="15"/>
        <v>9.9989999999999992E-3</v>
      </c>
      <c r="Q38" s="62">
        <f t="shared" si="8"/>
        <v>2.2197779999999998</v>
      </c>
      <c r="R38" s="189">
        <f t="shared" si="18"/>
        <v>1.9997999999999998</v>
      </c>
      <c r="S38" s="173">
        <f t="shared" si="9"/>
        <v>1.9898009999999999</v>
      </c>
    </row>
    <row r="39" spans="1:19">
      <c r="A39" s="36">
        <f t="shared" si="10"/>
        <v>38</v>
      </c>
      <c r="B39" s="37">
        <v>21600</v>
      </c>
      <c r="C39" s="37">
        <f t="shared" si="2"/>
        <v>6</v>
      </c>
      <c r="D39" s="37">
        <f t="shared" si="3"/>
        <v>228</v>
      </c>
      <c r="E39" s="37">
        <f t="shared" si="4"/>
        <v>194</v>
      </c>
      <c r="F39" s="37">
        <f t="shared" si="16"/>
        <v>199</v>
      </c>
      <c r="G39" s="37">
        <f t="shared" si="19"/>
        <v>-6</v>
      </c>
      <c r="H39" s="37">
        <f t="shared" si="19"/>
        <v>0</v>
      </c>
      <c r="I39" s="194">
        <f t="shared" si="11"/>
        <v>2.7027027027026973E-2</v>
      </c>
      <c r="J39" s="194">
        <f t="shared" si="12"/>
        <v>-3.0000000000000027E-2</v>
      </c>
      <c r="K39" s="160">
        <f t="shared" si="13"/>
        <v>0</v>
      </c>
      <c r="L39" s="172">
        <f t="shared" si="14"/>
        <v>1.9799999999999998E-2</v>
      </c>
      <c r="M39" s="62">
        <f t="shared" si="6"/>
        <v>4.5143999999999993</v>
      </c>
      <c r="N39" s="62">
        <f t="shared" si="17"/>
        <v>3.8411999999999997</v>
      </c>
      <c r="O39" s="173">
        <f t="shared" si="7"/>
        <v>3.9401999999999995</v>
      </c>
      <c r="P39" s="172">
        <f t="shared" si="15"/>
        <v>9.9989999999999992E-3</v>
      </c>
      <c r="Q39" s="62">
        <f t="shared" si="8"/>
        <v>2.2797719999999999</v>
      </c>
      <c r="R39" s="189">
        <f t="shared" si="18"/>
        <v>1.9398059999999999</v>
      </c>
      <c r="S39" s="173">
        <f t="shared" si="9"/>
        <v>1.9898009999999999</v>
      </c>
    </row>
    <row r="40" spans="1:19">
      <c r="A40" s="36">
        <f t="shared" si="10"/>
        <v>39</v>
      </c>
      <c r="B40" s="37">
        <v>21600</v>
      </c>
      <c r="C40" s="37">
        <f t="shared" si="2"/>
        <v>6</v>
      </c>
      <c r="D40" s="37">
        <f t="shared" si="3"/>
        <v>234</v>
      </c>
      <c r="E40" s="37">
        <f t="shared" si="4"/>
        <v>199</v>
      </c>
      <c r="F40" s="37">
        <f t="shared" si="16"/>
        <v>199</v>
      </c>
      <c r="G40" s="37">
        <f t="shared" si="19"/>
        <v>5</v>
      </c>
      <c r="H40" s="37">
        <f t="shared" si="19"/>
        <v>0</v>
      </c>
      <c r="I40" s="194">
        <f t="shared" si="11"/>
        <v>2.6315789473684292E-2</v>
      </c>
      <c r="J40" s="194">
        <f t="shared" si="12"/>
        <v>2.5773195876288568E-2</v>
      </c>
      <c r="K40" s="160">
        <f t="shared" si="13"/>
        <v>0</v>
      </c>
      <c r="L40" s="172">
        <f t="shared" si="14"/>
        <v>1.9799999999999998E-2</v>
      </c>
      <c r="M40" s="62">
        <f t="shared" si="6"/>
        <v>4.6331999999999995</v>
      </c>
      <c r="N40" s="62">
        <f t="shared" si="17"/>
        <v>3.9401999999999995</v>
      </c>
      <c r="O40" s="173">
        <f t="shared" si="7"/>
        <v>3.9401999999999995</v>
      </c>
      <c r="P40" s="172">
        <f t="shared" si="15"/>
        <v>9.9989999999999992E-3</v>
      </c>
      <c r="Q40" s="62">
        <f t="shared" si="8"/>
        <v>2.339766</v>
      </c>
      <c r="R40" s="189">
        <f t="shared" si="18"/>
        <v>1.9898009999999999</v>
      </c>
      <c r="S40" s="173">
        <f t="shared" si="9"/>
        <v>1.9898009999999999</v>
      </c>
    </row>
    <row r="41" spans="1:19">
      <c r="A41" s="36">
        <f t="shared" si="10"/>
        <v>40</v>
      </c>
      <c r="B41" s="37">
        <v>21600</v>
      </c>
      <c r="C41" s="37">
        <f t="shared" si="2"/>
        <v>6</v>
      </c>
      <c r="D41" s="37">
        <f t="shared" si="3"/>
        <v>240</v>
      </c>
      <c r="E41" s="37">
        <f t="shared" si="4"/>
        <v>204</v>
      </c>
      <c r="F41" s="37">
        <f t="shared" si="16"/>
        <v>204</v>
      </c>
      <c r="G41" s="37">
        <f t="shared" si="19"/>
        <v>5</v>
      </c>
      <c r="H41" s="37">
        <f t="shared" si="19"/>
        <v>5</v>
      </c>
      <c r="I41" s="194">
        <f t="shared" si="11"/>
        <v>2.564102564102555E-2</v>
      </c>
      <c r="J41" s="194">
        <f t="shared" si="12"/>
        <v>2.5125628140703515E-2</v>
      </c>
      <c r="K41" s="160">
        <f t="shared" si="13"/>
        <v>2.5125628140703515E-2</v>
      </c>
      <c r="L41" s="172">
        <f t="shared" si="14"/>
        <v>1.9799999999999998E-2</v>
      </c>
      <c r="M41" s="62">
        <f t="shared" si="6"/>
        <v>4.7519999999999998</v>
      </c>
      <c r="N41" s="62">
        <f t="shared" si="17"/>
        <v>4.0391999999999992</v>
      </c>
      <c r="O41" s="173">
        <f t="shared" si="7"/>
        <v>4.0391999999999992</v>
      </c>
      <c r="P41" s="172">
        <f t="shared" si="15"/>
        <v>9.9989999999999992E-3</v>
      </c>
      <c r="Q41" s="62">
        <f t="shared" si="8"/>
        <v>2.3997599999999997</v>
      </c>
      <c r="R41" s="189">
        <f t="shared" si="18"/>
        <v>2.0397959999999999</v>
      </c>
      <c r="S41" s="173">
        <f t="shared" si="9"/>
        <v>2.0397959999999999</v>
      </c>
    </row>
    <row r="42" spans="1:19">
      <c r="A42" s="36">
        <f t="shared" si="10"/>
        <v>41</v>
      </c>
      <c r="B42" s="37">
        <v>21600</v>
      </c>
      <c r="C42" s="37">
        <f t="shared" si="2"/>
        <v>6</v>
      </c>
      <c r="D42" s="37">
        <f t="shared" si="3"/>
        <v>246</v>
      </c>
      <c r="E42" s="37">
        <f t="shared" si="4"/>
        <v>210</v>
      </c>
      <c r="F42" s="37">
        <f t="shared" si="16"/>
        <v>210</v>
      </c>
      <c r="G42" s="37">
        <f t="shared" si="19"/>
        <v>6</v>
      </c>
      <c r="H42" s="37">
        <f t="shared" si="19"/>
        <v>6</v>
      </c>
      <c r="I42" s="194">
        <f t="shared" si="11"/>
        <v>2.4999999999999911E-2</v>
      </c>
      <c r="J42" s="194">
        <f t="shared" si="12"/>
        <v>2.9411764705882248E-2</v>
      </c>
      <c r="K42" s="160">
        <f t="shared" si="13"/>
        <v>2.9411764705882248E-2</v>
      </c>
      <c r="L42" s="172">
        <f t="shared" si="14"/>
        <v>1.9799999999999998E-2</v>
      </c>
      <c r="M42" s="62">
        <f t="shared" si="6"/>
        <v>4.8707999999999991</v>
      </c>
      <c r="N42" s="62">
        <f t="shared" si="17"/>
        <v>4.1579999999999995</v>
      </c>
      <c r="O42" s="173">
        <f t="shared" si="7"/>
        <v>4.1579999999999995</v>
      </c>
      <c r="P42" s="172">
        <f t="shared" si="15"/>
        <v>9.9989999999999992E-3</v>
      </c>
      <c r="Q42" s="62">
        <f t="shared" si="8"/>
        <v>2.4597539999999998</v>
      </c>
      <c r="R42" s="189">
        <f t="shared" si="18"/>
        <v>2.09979</v>
      </c>
      <c r="S42" s="173">
        <f t="shared" si="9"/>
        <v>2.09979</v>
      </c>
    </row>
    <row r="43" spans="1:19">
      <c r="A43" s="36">
        <f t="shared" si="10"/>
        <v>42</v>
      </c>
      <c r="B43" s="37">
        <v>21600</v>
      </c>
      <c r="C43" s="37">
        <f t="shared" si="2"/>
        <v>6</v>
      </c>
      <c r="D43" s="37">
        <f t="shared" si="3"/>
        <v>252</v>
      </c>
      <c r="E43" s="37">
        <f t="shared" si="4"/>
        <v>215</v>
      </c>
      <c r="F43" s="37">
        <f t="shared" si="16"/>
        <v>215</v>
      </c>
      <c r="G43" s="37">
        <f t="shared" si="19"/>
        <v>5</v>
      </c>
      <c r="H43" s="37">
        <f t="shared" si="19"/>
        <v>5</v>
      </c>
      <c r="I43" s="194">
        <f t="shared" si="11"/>
        <v>2.4390243902439046E-2</v>
      </c>
      <c r="J43" s="194">
        <f t="shared" si="12"/>
        <v>2.3809523809523725E-2</v>
      </c>
      <c r="K43" s="160">
        <f t="shared" si="13"/>
        <v>2.3809523809523725E-2</v>
      </c>
      <c r="L43" s="172">
        <f t="shared" si="14"/>
        <v>1.9799999999999998E-2</v>
      </c>
      <c r="M43" s="62">
        <f t="shared" si="6"/>
        <v>4.9895999999999994</v>
      </c>
      <c r="N43" s="62">
        <f t="shared" si="17"/>
        <v>4.2569999999999997</v>
      </c>
      <c r="O43" s="173">
        <f t="shared" si="7"/>
        <v>4.2569999999999997</v>
      </c>
      <c r="P43" s="172">
        <f t="shared" si="15"/>
        <v>9.9989999999999992E-3</v>
      </c>
      <c r="Q43" s="62">
        <f t="shared" si="8"/>
        <v>2.5197479999999999</v>
      </c>
      <c r="R43" s="189">
        <f t="shared" si="18"/>
        <v>2.1497849999999996</v>
      </c>
      <c r="S43" s="173">
        <f t="shared" si="9"/>
        <v>2.1497849999999996</v>
      </c>
    </row>
    <row r="44" spans="1:19">
      <c r="A44" s="36">
        <f t="shared" si="10"/>
        <v>43</v>
      </c>
      <c r="B44" s="37">
        <v>21600</v>
      </c>
      <c r="C44" s="37">
        <f t="shared" si="2"/>
        <v>6</v>
      </c>
      <c r="D44" s="37">
        <f t="shared" si="3"/>
        <v>258</v>
      </c>
      <c r="E44" s="37">
        <f t="shared" si="4"/>
        <v>220</v>
      </c>
      <c r="F44" s="37">
        <f t="shared" si="16"/>
        <v>220</v>
      </c>
      <c r="G44" s="37">
        <f t="shared" si="19"/>
        <v>5</v>
      </c>
      <c r="H44" s="37">
        <f t="shared" si="19"/>
        <v>5</v>
      </c>
      <c r="I44" s="194">
        <f t="shared" si="11"/>
        <v>2.3809523809523725E-2</v>
      </c>
      <c r="J44" s="194">
        <f t="shared" si="12"/>
        <v>2.3255813953488413E-2</v>
      </c>
      <c r="K44" s="160">
        <f t="shared" si="13"/>
        <v>2.3255813953488413E-2</v>
      </c>
      <c r="L44" s="172">
        <f t="shared" si="14"/>
        <v>1.9799999999999998E-2</v>
      </c>
      <c r="M44" s="62">
        <f t="shared" si="6"/>
        <v>5.1083999999999996</v>
      </c>
      <c r="N44" s="62">
        <f t="shared" si="17"/>
        <v>4.3559999999999999</v>
      </c>
      <c r="O44" s="173">
        <f t="shared" si="7"/>
        <v>4.3559999999999999</v>
      </c>
      <c r="P44" s="172">
        <f t="shared" si="15"/>
        <v>9.9989999999999992E-3</v>
      </c>
      <c r="Q44" s="62">
        <f t="shared" si="8"/>
        <v>2.579742</v>
      </c>
      <c r="R44" s="189">
        <f t="shared" si="18"/>
        <v>2.1997799999999996</v>
      </c>
      <c r="S44" s="173">
        <f t="shared" si="9"/>
        <v>2.1997799999999996</v>
      </c>
    </row>
    <row r="45" spans="1:19" ht="15" customHeight="1">
      <c r="A45" s="36">
        <f t="shared" si="10"/>
        <v>44</v>
      </c>
      <c r="B45" s="37">
        <v>21600</v>
      </c>
      <c r="C45" s="37">
        <f t="shared" si="2"/>
        <v>6</v>
      </c>
      <c r="D45" s="37">
        <f t="shared" si="3"/>
        <v>264</v>
      </c>
      <c r="E45" s="37">
        <f t="shared" si="4"/>
        <v>225</v>
      </c>
      <c r="F45" s="37">
        <f t="shared" si="16"/>
        <v>225</v>
      </c>
      <c r="G45" s="37">
        <f t="shared" si="19"/>
        <v>5</v>
      </c>
      <c r="H45" s="37">
        <f t="shared" si="19"/>
        <v>5</v>
      </c>
      <c r="I45" s="194">
        <f t="shared" si="11"/>
        <v>2.3255813953488413E-2</v>
      </c>
      <c r="J45" s="194">
        <f t="shared" si="12"/>
        <v>2.2727272727272707E-2</v>
      </c>
      <c r="K45" s="160">
        <f t="shared" si="13"/>
        <v>2.2727272727272707E-2</v>
      </c>
      <c r="L45" s="172">
        <f t="shared" si="14"/>
        <v>1.9799999999999998E-2</v>
      </c>
      <c r="M45" s="62">
        <f t="shared" si="6"/>
        <v>5.2271999999999998</v>
      </c>
      <c r="N45" s="62">
        <f t="shared" si="17"/>
        <v>4.4549999999999992</v>
      </c>
      <c r="O45" s="173">
        <f t="shared" si="7"/>
        <v>4.4549999999999992</v>
      </c>
      <c r="P45" s="172">
        <f t="shared" si="15"/>
        <v>9.9989999999999992E-3</v>
      </c>
      <c r="Q45" s="62">
        <f t="shared" si="8"/>
        <v>2.6397359999999996</v>
      </c>
      <c r="R45" s="189">
        <f t="shared" si="18"/>
        <v>2.2497749999999996</v>
      </c>
      <c r="S45" s="173">
        <f t="shared" si="9"/>
        <v>2.2497749999999996</v>
      </c>
    </row>
    <row r="46" spans="1:19">
      <c r="A46" s="36">
        <f t="shared" si="10"/>
        <v>45</v>
      </c>
      <c r="B46" s="37">
        <v>21600</v>
      </c>
      <c r="C46" s="37">
        <f t="shared" si="2"/>
        <v>6</v>
      </c>
      <c r="D46" s="37">
        <f t="shared" si="3"/>
        <v>270</v>
      </c>
      <c r="E46" s="37">
        <f t="shared" si="4"/>
        <v>230</v>
      </c>
      <c r="F46" s="37">
        <f t="shared" si="16"/>
        <v>230</v>
      </c>
      <c r="G46" s="37">
        <f t="shared" si="19"/>
        <v>5</v>
      </c>
      <c r="H46" s="37">
        <f t="shared" si="19"/>
        <v>5</v>
      </c>
      <c r="I46" s="194">
        <f t="shared" si="11"/>
        <v>2.2727272727272707E-2</v>
      </c>
      <c r="J46" s="194">
        <f t="shared" si="12"/>
        <v>2.2222222222222143E-2</v>
      </c>
      <c r="K46" s="160">
        <f t="shared" si="13"/>
        <v>2.2222222222222143E-2</v>
      </c>
      <c r="L46" s="172">
        <f t="shared" si="14"/>
        <v>1.9799999999999998E-2</v>
      </c>
      <c r="M46" s="62">
        <f t="shared" si="6"/>
        <v>5.3459999999999992</v>
      </c>
      <c r="N46" s="62">
        <f t="shared" si="17"/>
        <v>4.5539999999999994</v>
      </c>
      <c r="O46" s="173">
        <f t="shared" si="7"/>
        <v>4.5539999999999994</v>
      </c>
      <c r="P46" s="172">
        <f t="shared" si="15"/>
        <v>9.9989999999999992E-3</v>
      </c>
      <c r="Q46" s="62">
        <f t="shared" si="8"/>
        <v>2.6997299999999997</v>
      </c>
      <c r="R46" s="189">
        <f t="shared" si="18"/>
        <v>2.2997699999999996</v>
      </c>
      <c r="S46" s="173">
        <f t="shared" si="9"/>
        <v>2.2997699999999996</v>
      </c>
    </row>
    <row r="47" spans="1:19">
      <c r="A47" s="36">
        <f t="shared" si="10"/>
        <v>46</v>
      </c>
      <c r="B47" s="37">
        <v>21600</v>
      </c>
      <c r="C47" s="37">
        <f t="shared" si="2"/>
        <v>6</v>
      </c>
      <c r="D47" s="37">
        <f t="shared" si="3"/>
        <v>276</v>
      </c>
      <c r="E47" s="37">
        <f t="shared" si="4"/>
        <v>235</v>
      </c>
      <c r="F47" s="37">
        <f t="shared" si="16"/>
        <v>235</v>
      </c>
      <c r="G47" s="37">
        <f t="shared" si="19"/>
        <v>5</v>
      </c>
      <c r="H47" s="37">
        <f t="shared" si="19"/>
        <v>5</v>
      </c>
      <c r="I47" s="194">
        <f t="shared" si="11"/>
        <v>2.2222222222222143E-2</v>
      </c>
      <c r="J47" s="194">
        <f t="shared" si="12"/>
        <v>2.1739130434782705E-2</v>
      </c>
      <c r="K47" s="160">
        <f t="shared" si="13"/>
        <v>2.1739130434782705E-2</v>
      </c>
      <c r="L47" s="172">
        <f t="shared" si="14"/>
        <v>1.9799999999999998E-2</v>
      </c>
      <c r="M47" s="62">
        <f t="shared" si="6"/>
        <v>5.4647999999999994</v>
      </c>
      <c r="N47" s="62">
        <f t="shared" si="17"/>
        <v>4.6529999999999996</v>
      </c>
      <c r="O47" s="173">
        <f t="shared" si="7"/>
        <v>4.6529999999999996</v>
      </c>
      <c r="P47" s="172">
        <f t="shared" si="15"/>
        <v>9.9989999999999992E-3</v>
      </c>
      <c r="Q47" s="62">
        <f t="shared" si="8"/>
        <v>2.7597239999999998</v>
      </c>
      <c r="R47" s="189">
        <f t="shared" si="18"/>
        <v>2.3497649999999997</v>
      </c>
      <c r="S47" s="173">
        <f t="shared" si="9"/>
        <v>2.3497649999999997</v>
      </c>
    </row>
    <row r="48" spans="1:19">
      <c r="A48" s="36">
        <f t="shared" si="10"/>
        <v>47</v>
      </c>
      <c r="B48" s="37">
        <v>21600</v>
      </c>
      <c r="C48" s="37">
        <f t="shared" si="2"/>
        <v>6</v>
      </c>
      <c r="D48" s="37">
        <f t="shared" si="3"/>
        <v>282</v>
      </c>
      <c r="E48" s="37">
        <f t="shared" si="4"/>
        <v>240</v>
      </c>
      <c r="F48" s="37">
        <f t="shared" si="16"/>
        <v>240</v>
      </c>
      <c r="G48" s="37">
        <f t="shared" si="19"/>
        <v>5</v>
      </c>
      <c r="H48" s="37">
        <f t="shared" si="19"/>
        <v>5</v>
      </c>
      <c r="I48" s="194">
        <f t="shared" si="11"/>
        <v>2.1739130434782705E-2</v>
      </c>
      <c r="J48" s="194">
        <f t="shared" si="12"/>
        <v>2.1276595744680771E-2</v>
      </c>
      <c r="K48" s="160">
        <f t="shared" si="13"/>
        <v>2.1276595744680771E-2</v>
      </c>
      <c r="L48" s="172">
        <f t="shared" si="14"/>
        <v>1.9799999999999998E-2</v>
      </c>
      <c r="M48" s="62">
        <f t="shared" si="6"/>
        <v>5.5835999999999997</v>
      </c>
      <c r="N48" s="62">
        <f t="shared" si="17"/>
        <v>4.7519999999999998</v>
      </c>
      <c r="O48" s="173">
        <f t="shared" si="7"/>
        <v>4.7519999999999998</v>
      </c>
      <c r="P48" s="172">
        <f t="shared" si="15"/>
        <v>9.9989999999999992E-3</v>
      </c>
      <c r="Q48" s="62">
        <f t="shared" si="8"/>
        <v>2.8197179999999999</v>
      </c>
      <c r="R48" s="189">
        <f t="shared" si="18"/>
        <v>2.3997599999999997</v>
      </c>
      <c r="S48" s="173">
        <f t="shared" si="9"/>
        <v>2.3997599999999997</v>
      </c>
    </row>
    <row r="49" spans="1:19">
      <c r="A49" s="36">
        <f t="shared" si="10"/>
        <v>48</v>
      </c>
      <c r="B49" s="37">
        <v>21600</v>
      </c>
      <c r="C49" s="37">
        <f t="shared" si="2"/>
        <v>6</v>
      </c>
      <c r="D49" s="37">
        <f t="shared" si="3"/>
        <v>288</v>
      </c>
      <c r="E49" s="37">
        <f t="shared" si="4"/>
        <v>245</v>
      </c>
      <c r="F49" s="37">
        <f t="shared" si="16"/>
        <v>245</v>
      </c>
      <c r="G49" s="37">
        <f t="shared" si="19"/>
        <v>5</v>
      </c>
      <c r="H49" s="37">
        <f t="shared" si="19"/>
        <v>5</v>
      </c>
      <c r="I49" s="194">
        <f t="shared" si="11"/>
        <v>2.1276595744680771E-2</v>
      </c>
      <c r="J49" s="194">
        <f t="shared" si="12"/>
        <v>2.0833333333333259E-2</v>
      </c>
      <c r="K49" s="160">
        <f t="shared" si="13"/>
        <v>2.0833333333333259E-2</v>
      </c>
      <c r="L49" s="172">
        <f t="shared" si="14"/>
        <v>1.9799999999999998E-2</v>
      </c>
      <c r="M49" s="62">
        <f t="shared" si="6"/>
        <v>5.702399999999999</v>
      </c>
      <c r="N49" s="62">
        <f t="shared" si="17"/>
        <v>4.851</v>
      </c>
      <c r="O49" s="173">
        <f t="shared" si="7"/>
        <v>4.851</v>
      </c>
      <c r="P49" s="172">
        <f t="shared" si="15"/>
        <v>9.9989999999999992E-3</v>
      </c>
      <c r="Q49" s="62">
        <f t="shared" si="8"/>
        <v>2.8797119999999996</v>
      </c>
      <c r="R49" s="189">
        <f t="shared" si="18"/>
        <v>2.4497549999999997</v>
      </c>
      <c r="S49" s="173">
        <f t="shared" si="9"/>
        <v>2.4497549999999997</v>
      </c>
    </row>
    <row r="50" spans="1:19">
      <c r="A50" s="36">
        <f t="shared" si="10"/>
        <v>49</v>
      </c>
      <c r="B50" s="37">
        <v>21600</v>
      </c>
      <c r="C50" s="37">
        <f t="shared" si="2"/>
        <v>6</v>
      </c>
      <c r="D50" s="37">
        <f t="shared" si="3"/>
        <v>294</v>
      </c>
      <c r="E50" s="37">
        <f t="shared" si="4"/>
        <v>250</v>
      </c>
      <c r="F50" s="37">
        <f t="shared" si="16"/>
        <v>250</v>
      </c>
      <c r="G50" s="37">
        <f t="shared" si="19"/>
        <v>5</v>
      </c>
      <c r="H50" s="37">
        <f t="shared" si="19"/>
        <v>5</v>
      </c>
      <c r="I50" s="194">
        <f t="shared" si="11"/>
        <v>2.0833333333333259E-2</v>
      </c>
      <c r="J50" s="194">
        <f t="shared" si="12"/>
        <v>2.0408163265306145E-2</v>
      </c>
      <c r="K50" s="160">
        <f t="shared" si="13"/>
        <v>2.0408163265306145E-2</v>
      </c>
      <c r="L50" s="172">
        <f t="shared" si="14"/>
        <v>1.9799999999999998E-2</v>
      </c>
      <c r="M50" s="62">
        <f t="shared" si="6"/>
        <v>5.8211999999999993</v>
      </c>
      <c r="N50" s="62">
        <f t="shared" si="17"/>
        <v>4.9499999999999993</v>
      </c>
      <c r="O50" s="173">
        <f t="shared" si="7"/>
        <v>4.9499999999999993</v>
      </c>
      <c r="P50" s="172">
        <f t="shared" si="15"/>
        <v>9.9989999999999992E-3</v>
      </c>
      <c r="Q50" s="62">
        <f t="shared" si="8"/>
        <v>2.9397059999999997</v>
      </c>
      <c r="R50" s="189">
        <f t="shared" si="18"/>
        <v>2.4997499999999997</v>
      </c>
      <c r="S50" s="173">
        <f t="shared" si="9"/>
        <v>2.4997499999999997</v>
      </c>
    </row>
    <row r="51" spans="1:19">
      <c r="A51" s="36">
        <f t="shared" si="10"/>
        <v>50</v>
      </c>
      <c r="B51" s="37">
        <v>21600</v>
      </c>
      <c r="C51" s="37">
        <f t="shared" si="2"/>
        <v>6</v>
      </c>
      <c r="D51" s="37">
        <f t="shared" si="3"/>
        <v>300</v>
      </c>
      <c r="E51" s="37">
        <f t="shared" si="4"/>
        <v>255</v>
      </c>
      <c r="F51" s="37">
        <f t="shared" si="16"/>
        <v>255</v>
      </c>
      <c r="G51" s="37">
        <f t="shared" si="19"/>
        <v>5</v>
      </c>
      <c r="H51" s="37">
        <f t="shared" si="19"/>
        <v>5</v>
      </c>
      <c r="I51" s="194">
        <f t="shared" si="11"/>
        <v>2.0408163265306145E-2</v>
      </c>
      <c r="J51" s="194">
        <f t="shared" si="12"/>
        <v>2.0000000000000018E-2</v>
      </c>
      <c r="K51" s="160">
        <f t="shared" si="13"/>
        <v>2.0000000000000018E-2</v>
      </c>
      <c r="L51" s="172">
        <f t="shared" si="14"/>
        <v>1.9799999999999998E-2</v>
      </c>
      <c r="M51" s="62">
        <f t="shared" si="6"/>
        <v>5.9399999999999995</v>
      </c>
      <c r="N51" s="62">
        <f t="shared" si="17"/>
        <v>5.0489999999999995</v>
      </c>
      <c r="O51" s="173">
        <f t="shared" si="7"/>
        <v>5.0489999999999995</v>
      </c>
      <c r="P51" s="172">
        <f t="shared" si="15"/>
        <v>9.9989999999999992E-3</v>
      </c>
      <c r="Q51" s="62">
        <f t="shared" si="8"/>
        <v>2.9996999999999998</v>
      </c>
      <c r="R51" s="189">
        <f t="shared" si="18"/>
        <v>2.5497449999999997</v>
      </c>
      <c r="S51" s="173">
        <f t="shared" si="9"/>
        <v>2.5497449999999997</v>
      </c>
    </row>
    <row r="52" spans="1:19">
      <c r="A52" s="36">
        <f t="shared" si="10"/>
        <v>51</v>
      </c>
      <c r="B52" s="37">
        <v>21600</v>
      </c>
      <c r="C52" s="37">
        <f t="shared" si="2"/>
        <v>6</v>
      </c>
      <c r="D52" s="37">
        <f t="shared" si="3"/>
        <v>306</v>
      </c>
      <c r="E52" s="37">
        <f t="shared" si="4"/>
        <v>261</v>
      </c>
      <c r="F52" s="37">
        <f t="shared" si="16"/>
        <v>261</v>
      </c>
      <c r="G52" s="37">
        <f t="shared" si="19"/>
        <v>6</v>
      </c>
      <c r="H52" s="37">
        <f t="shared" si="19"/>
        <v>6</v>
      </c>
      <c r="I52" s="194">
        <f t="shared" si="11"/>
        <v>2.0000000000000018E-2</v>
      </c>
      <c r="J52" s="194">
        <f t="shared" si="12"/>
        <v>2.3529411764705799E-2</v>
      </c>
      <c r="K52" s="160">
        <f t="shared" si="13"/>
        <v>2.3529411764705799E-2</v>
      </c>
      <c r="L52" s="172">
        <f t="shared" si="14"/>
        <v>1.9799999999999998E-2</v>
      </c>
      <c r="M52" s="62">
        <f t="shared" si="6"/>
        <v>6.0587999999999997</v>
      </c>
      <c r="N52" s="62">
        <f t="shared" si="17"/>
        <v>5.1677999999999997</v>
      </c>
      <c r="O52" s="173">
        <f t="shared" si="7"/>
        <v>5.1677999999999997</v>
      </c>
      <c r="P52" s="172">
        <f t="shared" si="15"/>
        <v>9.9989999999999992E-3</v>
      </c>
      <c r="Q52" s="62">
        <f t="shared" si="8"/>
        <v>3.0596939999999999</v>
      </c>
      <c r="R52" s="189">
        <f t="shared" si="18"/>
        <v>2.6097389999999998</v>
      </c>
      <c r="S52" s="173">
        <f t="shared" si="9"/>
        <v>2.6097389999999998</v>
      </c>
    </row>
    <row r="53" spans="1:19" ht="15" customHeight="1">
      <c r="A53" s="36">
        <f t="shared" si="10"/>
        <v>52</v>
      </c>
      <c r="B53" s="37">
        <v>21600</v>
      </c>
      <c r="C53" s="37">
        <f t="shared" si="2"/>
        <v>6</v>
      </c>
      <c r="D53" s="37">
        <f t="shared" si="3"/>
        <v>312</v>
      </c>
      <c r="E53" s="37">
        <f t="shared" si="4"/>
        <v>266</v>
      </c>
      <c r="F53" s="37">
        <f t="shared" si="16"/>
        <v>266</v>
      </c>
      <c r="G53" s="37">
        <f t="shared" si="19"/>
        <v>5</v>
      </c>
      <c r="H53" s="37">
        <f t="shared" si="19"/>
        <v>5</v>
      </c>
      <c r="I53" s="194">
        <f t="shared" si="11"/>
        <v>1.9607843137254832E-2</v>
      </c>
      <c r="J53" s="194">
        <f t="shared" si="12"/>
        <v>1.9157088122605304E-2</v>
      </c>
      <c r="K53" s="160">
        <f t="shared" si="13"/>
        <v>1.9157088122605304E-2</v>
      </c>
      <c r="L53" s="172">
        <f t="shared" si="14"/>
        <v>1.9799999999999998E-2</v>
      </c>
      <c r="M53" s="62">
        <f t="shared" si="6"/>
        <v>6.1775999999999991</v>
      </c>
      <c r="N53" s="62">
        <f t="shared" si="17"/>
        <v>5.2667999999999999</v>
      </c>
      <c r="O53" s="173">
        <f t="shared" si="7"/>
        <v>5.2667999999999999</v>
      </c>
      <c r="P53" s="172">
        <f t="shared" si="15"/>
        <v>9.9989999999999992E-3</v>
      </c>
      <c r="Q53" s="62">
        <f t="shared" si="8"/>
        <v>3.1196879999999996</v>
      </c>
      <c r="R53" s="189">
        <f t="shared" si="18"/>
        <v>2.6597339999999998</v>
      </c>
      <c r="S53" s="173">
        <f t="shared" si="9"/>
        <v>2.6597339999999998</v>
      </c>
    </row>
    <row r="54" spans="1:19">
      <c r="A54" s="36">
        <f t="shared" si="10"/>
        <v>53</v>
      </c>
      <c r="B54" s="37">
        <v>21600</v>
      </c>
      <c r="C54" s="37">
        <f t="shared" si="2"/>
        <v>6</v>
      </c>
      <c r="D54" s="37">
        <f t="shared" si="3"/>
        <v>318</v>
      </c>
      <c r="E54" s="37">
        <f t="shared" si="4"/>
        <v>271</v>
      </c>
      <c r="F54" s="37">
        <f t="shared" si="16"/>
        <v>271</v>
      </c>
      <c r="G54" s="37">
        <f t="shared" si="19"/>
        <v>5</v>
      </c>
      <c r="H54" s="37">
        <f t="shared" si="19"/>
        <v>5</v>
      </c>
      <c r="I54" s="194">
        <f t="shared" si="11"/>
        <v>1.9230769230769162E-2</v>
      </c>
      <c r="J54" s="194">
        <f t="shared" si="12"/>
        <v>1.8796992481203034E-2</v>
      </c>
      <c r="K54" s="160">
        <f t="shared" si="13"/>
        <v>1.8796992481203034E-2</v>
      </c>
      <c r="L54" s="172">
        <f t="shared" si="14"/>
        <v>1.9799999999999998E-2</v>
      </c>
      <c r="M54" s="62">
        <f t="shared" si="6"/>
        <v>6.2963999999999993</v>
      </c>
      <c r="N54" s="62">
        <f t="shared" si="17"/>
        <v>5.3657999999999992</v>
      </c>
      <c r="O54" s="173">
        <f t="shared" si="7"/>
        <v>5.3657999999999992</v>
      </c>
      <c r="P54" s="172">
        <f t="shared" si="15"/>
        <v>9.9989999999999992E-3</v>
      </c>
      <c r="Q54" s="62">
        <f t="shared" si="8"/>
        <v>3.1796819999999997</v>
      </c>
      <c r="R54" s="189">
        <f t="shared" si="18"/>
        <v>2.7097289999999998</v>
      </c>
      <c r="S54" s="173">
        <f t="shared" si="9"/>
        <v>2.7097289999999998</v>
      </c>
    </row>
    <row r="55" spans="1:19">
      <c r="A55" s="36">
        <f t="shared" si="10"/>
        <v>54</v>
      </c>
      <c r="B55" s="37">
        <v>21600</v>
      </c>
      <c r="C55" s="37">
        <f t="shared" si="2"/>
        <v>6</v>
      </c>
      <c r="D55" s="37">
        <f t="shared" si="3"/>
        <v>324</v>
      </c>
      <c r="E55" s="37">
        <f t="shared" si="4"/>
        <v>276</v>
      </c>
      <c r="F55" s="37">
        <f t="shared" si="16"/>
        <v>276</v>
      </c>
      <c r="G55" s="37">
        <f t="shared" si="19"/>
        <v>5</v>
      </c>
      <c r="H55" s="37">
        <f t="shared" si="19"/>
        <v>5</v>
      </c>
      <c r="I55" s="194">
        <f t="shared" si="11"/>
        <v>1.8867924528301883E-2</v>
      </c>
      <c r="J55" s="194">
        <f t="shared" si="12"/>
        <v>1.8450184501844991E-2</v>
      </c>
      <c r="K55" s="160">
        <f t="shared" si="13"/>
        <v>1.8450184501844991E-2</v>
      </c>
      <c r="L55" s="172">
        <f t="shared" si="14"/>
        <v>1.9799999999999998E-2</v>
      </c>
      <c r="M55" s="62">
        <f t="shared" si="6"/>
        <v>6.4151999999999996</v>
      </c>
      <c r="N55" s="62">
        <f t="shared" si="17"/>
        <v>5.4647999999999994</v>
      </c>
      <c r="O55" s="173">
        <f t="shared" si="7"/>
        <v>5.4647999999999994</v>
      </c>
      <c r="P55" s="172">
        <f t="shared" si="15"/>
        <v>9.9989999999999992E-3</v>
      </c>
      <c r="Q55" s="62">
        <f t="shared" si="8"/>
        <v>3.2396759999999998</v>
      </c>
      <c r="R55" s="189">
        <f t="shared" si="18"/>
        <v>2.7597239999999998</v>
      </c>
      <c r="S55" s="173">
        <f t="shared" si="9"/>
        <v>2.7597239999999998</v>
      </c>
    </row>
    <row r="56" spans="1:19">
      <c r="A56" s="36">
        <f t="shared" si="10"/>
        <v>55</v>
      </c>
      <c r="B56" s="37">
        <v>21600</v>
      </c>
      <c r="C56" s="37">
        <f t="shared" si="2"/>
        <v>6</v>
      </c>
      <c r="D56" s="37">
        <f t="shared" si="3"/>
        <v>330</v>
      </c>
      <c r="E56" s="37">
        <f t="shared" si="4"/>
        <v>281</v>
      </c>
      <c r="F56" s="37">
        <f t="shared" si="16"/>
        <v>281</v>
      </c>
      <c r="G56" s="37">
        <f t="shared" si="19"/>
        <v>5</v>
      </c>
      <c r="H56" s="37">
        <f t="shared" si="19"/>
        <v>5</v>
      </c>
      <c r="I56" s="194">
        <f t="shared" si="11"/>
        <v>1.8518518518518601E-2</v>
      </c>
      <c r="J56" s="194">
        <f t="shared" si="12"/>
        <v>1.8115942028985588E-2</v>
      </c>
      <c r="K56" s="160">
        <f t="shared" si="13"/>
        <v>1.8115942028985588E-2</v>
      </c>
      <c r="L56" s="172">
        <f t="shared" si="14"/>
        <v>1.9799999999999998E-2</v>
      </c>
      <c r="M56" s="62">
        <f t="shared" si="6"/>
        <v>6.5339999999999998</v>
      </c>
      <c r="N56" s="62">
        <f t="shared" si="17"/>
        <v>5.5637999999999996</v>
      </c>
      <c r="O56" s="173">
        <f t="shared" si="7"/>
        <v>5.5637999999999996</v>
      </c>
      <c r="P56" s="172">
        <f t="shared" si="15"/>
        <v>9.9989999999999992E-3</v>
      </c>
      <c r="Q56" s="62">
        <f t="shared" si="8"/>
        <v>3.2996699999999999</v>
      </c>
      <c r="R56" s="189">
        <f t="shared" si="18"/>
        <v>2.8097189999999999</v>
      </c>
      <c r="S56" s="173">
        <f t="shared" si="9"/>
        <v>2.8097189999999999</v>
      </c>
    </row>
    <row r="57" spans="1:19">
      <c r="A57" s="36">
        <f t="shared" si="10"/>
        <v>56</v>
      </c>
      <c r="B57" s="37">
        <v>21600</v>
      </c>
      <c r="C57" s="37">
        <f t="shared" si="2"/>
        <v>6</v>
      </c>
      <c r="D57" s="37">
        <f t="shared" si="3"/>
        <v>336</v>
      </c>
      <c r="E57" s="37">
        <f t="shared" si="4"/>
        <v>286</v>
      </c>
      <c r="F57" s="37">
        <f t="shared" si="16"/>
        <v>286</v>
      </c>
      <c r="G57" s="37">
        <f t="shared" si="19"/>
        <v>5</v>
      </c>
      <c r="H57" s="37">
        <f t="shared" si="19"/>
        <v>5</v>
      </c>
      <c r="I57" s="194">
        <f t="shared" si="11"/>
        <v>1.8181818181818077E-2</v>
      </c>
      <c r="J57" s="194">
        <f t="shared" si="12"/>
        <v>1.7793594306049876E-2</v>
      </c>
      <c r="K57" s="160">
        <f t="shared" si="13"/>
        <v>1.7793594306049876E-2</v>
      </c>
      <c r="L57" s="172">
        <f t="shared" si="14"/>
        <v>1.9799999999999998E-2</v>
      </c>
      <c r="M57" s="62">
        <f t="shared" si="6"/>
        <v>6.6527999999999992</v>
      </c>
      <c r="N57" s="62">
        <f t="shared" si="17"/>
        <v>5.6627999999999998</v>
      </c>
      <c r="O57" s="173">
        <f t="shared" si="7"/>
        <v>5.6627999999999998</v>
      </c>
      <c r="P57" s="172">
        <f t="shared" si="15"/>
        <v>9.9989999999999992E-3</v>
      </c>
      <c r="Q57" s="62">
        <f t="shared" si="8"/>
        <v>3.3596639999999995</v>
      </c>
      <c r="R57" s="189">
        <f t="shared" si="18"/>
        <v>2.8597139999999999</v>
      </c>
      <c r="S57" s="173">
        <f t="shared" si="9"/>
        <v>2.8597139999999999</v>
      </c>
    </row>
    <row r="58" spans="1:19">
      <c r="A58" s="36">
        <f t="shared" si="10"/>
        <v>57</v>
      </c>
      <c r="B58" s="37">
        <v>21600</v>
      </c>
      <c r="C58" s="37">
        <f t="shared" si="2"/>
        <v>6</v>
      </c>
      <c r="D58" s="37">
        <f t="shared" si="3"/>
        <v>342</v>
      </c>
      <c r="E58" s="37">
        <f t="shared" si="4"/>
        <v>291</v>
      </c>
      <c r="F58" s="37">
        <f t="shared" si="16"/>
        <v>291</v>
      </c>
      <c r="G58" s="37">
        <f t="shared" si="19"/>
        <v>5</v>
      </c>
      <c r="H58" s="37">
        <f t="shared" si="19"/>
        <v>5</v>
      </c>
      <c r="I58" s="194">
        <f t="shared" si="11"/>
        <v>1.7857142857142794E-2</v>
      </c>
      <c r="J58" s="194">
        <f t="shared" si="12"/>
        <v>1.7482517482517501E-2</v>
      </c>
      <c r="K58" s="160">
        <f t="shared" si="13"/>
        <v>1.7482517482517501E-2</v>
      </c>
      <c r="L58" s="172">
        <f t="shared" si="14"/>
        <v>1.9799999999999998E-2</v>
      </c>
      <c r="M58" s="62">
        <f t="shared" si="6"/>
        <v>6.7715999999999994</v>
      </c>
      <c r="N58" s="62">
        <f t="shared" si="17"/>
        <v>5.7617999999999991</v>
      </c>
      <c r="O58" s="173">
        <f t="shared" si="7"/>
        <v>5.7617999999999991</v>
      </c>
      <c r="P58" s="172">
        <f t="shared" si="15"/>
        <v>9.9989999999999992E-3</v>
      </c>
      <c r="Q58" s="62">
        <f t="shared" si="8"/>
        <v>3.4196579999999996</v>
      </c>
      <c r="R58" s="189">
        <f t="shared" si="18"/>
        <v>2.9097089999999999</v>
      </c>
      <c r="S58" s="173">
        <f t="shared" si="9"/>
        <v>2.9097089999999999</v>
      </c>
    </row>
    <row r="59" spans="1:19">
      <c r="A59" s="36">
        <f t="shared" si="10"/>
        <v>58</v>
      </c>
      <c r="B59" s="37">
        <v>21600</v>
      </c>
      <c r="C59" s="37">
        <f t="shared" si="2"/>
        <v>6</v>
      </c>
      <c r="D59" s="37">
        <f t="shared" si="3"/>
        <v>348</v>
      </c>
      <c r="E59" s="37">
        <f t="shared" si="4"/>
        <v>296</v>
      </c>
      <c r="F59" s="37">
        <f t="shared" si="16"/>
        <v>296</v>
      </c>
      <c r="G59" s="37">
        <f t="shared" si="19"/>
        <v>5</v>
      </c>
      <c r="H59" s="37">
        <f t="shared" si="19"/>
        <v>5</v>
      </c>
      <c r="I59" s="194">
        <f t="shared" si="11"/>
        <v>1.7543859649122862E-2</v>
      </c>
      <c r="J59" s="194">
        <f t="shared" si="12"/>
        <v>1.7182130584192379E-2</v>
      </c>
      <c r="K59" s="160">
        <f t="shared" si="13"/>
        <v>1.7182130584192379E-2</v>
      </c>
      <c r="L59" s="172">
        <f t="shared" si="14"/>
        <v>1.9799999999999998E-2</v>
      </c>
      <c r="M59" s="62">
        <f t="shared" si="6"/>
        <v>6.8903999999999996</v>
      </c>
      <c r="N59" s="62">
        <f t="shared" si="17"/>
        <v>5.8607999999999993</v>
      </c>
      <c r="O59" s="173">
        <f t="shared" si="7"/>
        <v>5.8607999999999993</v>
      </c>
      <c r="P59" s="172">
        <f t="shared" si="15"/>
        <v>9.9989999999999992E-3</v>
      </c>
      <c r="Q59" s="62">
        <f t="shared" si="8"/>
        <v>3.4796519999999997</v>
      </c>
      <c r="R59" s="189">
        <f t="shared" si="18"/>
        <v>2.9597039999999999</v>
      </c>
      <c r="S59" s="173">
        <f t="shared" si="9"/>
        <v>2.9597039999999999</v>
      </c>
    </row>
    <row r="60" spans="1:19">
      <c r="A60" s="36">
        <f t="shared" si="10"/>
        <v>59</v>
      </c>
      <c r="B60" s="37">
        <v>21600</v>
      </c>
      <c r="C60" s="37">
        <f t="shared" si="2"/>
        <v>6</v>
      </c>
      <c r="D60" s="37">
        <f t="shared" si="3"/>
        <v>354</v>
      </c>
      <c r="E60" s="37">
        <f t="shared" si="4"/>
        <v>301</v>
      </c>
      <c r="F60" s="37">
        <f t="shared" si="16"/>
        <v>301</v>
      </c>
      <c r="G60" s="37">
        <f t="shared" si="19"/>
        <v>5</v>
      </c>
      <c r="H60" s="37">
        <f t="shared" si="19"/>
        <v>5</v>
      </c>
      <c r="I60" s="194">
        <f t="shared" si="11"/>
        <v>1.7241379310344751E-2</v>
      </c>
      <c r="J60" s="194">
        <f t="shared" si="12"/>
        <v>1.6891891891891886E-2</v>
      </c>
      <c r="K60" s="160">
        <f t="shared" si="13"/>
        <v>1.6891891891891886E-2</v>
      </c>
      <c r="L60" s="172">
        <f t="shared" si="14"/>
        <v>1.9799999999999998E-2</v>
      </c>
      <c r="M60" s="62">
        <f t="shared" si="6"/>
        <v>7.009199999999999</v>
      </c>
      <c r="N60" s="62">
        <f t="shared" si="17"/>
        <v>5.9597999999999995</v>
      </c>
      <c r="O60" s="173">
        <f t="shared" si="7"/>
        <v>5.9597999999999995</v>
      </c>
      <c r="P60" s="172">
        <f t="shared" si="15"/>
        <v>9.9989999999999992E-3</v>
      </c>
      <c r="Q60" s="62">
        <f t="shared" si="8"/>
        <v>3.5396459999999998</v>
      </c>
      <c r="R60" s="189">
        <f t="shared" si="18"/>
        <v>3.0096989999999999</v>
      </c>
      <c r="S60" s="173">
        <f t="shared" si="9"/>
        <v>3.0096989999999999</v>
      </c>
    </row>
    <row r="61" spans="1:19" ht="15" customHeight="1">
      <c r="A61" s="36">
        <f t="shared" si="10"/>
        <v>60</v>
      </c>
      <c r="B61" s="37">
        <v>21600</v>
      </c>
      <c r="C61" s="37">
        <f t="shared" si="2"/>
        <v>6</v>
      </c>
      <c r="D61" s="37">
        <f t="shared" si="3"/>
        <v>360</v>
      </c>
      <c r="E61" s="37">
        <f t="shared" si="4"/>
        <v>306</v>
      </c>
      <c r="F61" s="37">
        <f t="shared" si="16"/>
        <v>306</v>
      </c>
      <c r="G61" s="37">
        <f t="shared" si="19"/>
        <v>5</v>
      </c>
      <c r="H61" s="37">
        <f t="shared" si="19"/>
        <v>5</v>
      </c>
      <c r="I61" s="194">
        <f t="shared" si="11"/>
        <v>1.6949152542372836E-2</v>
      </c>
      <c r="J61" s="194">
        <f t="shared" si="12"/>
        <v>1.6611295681063121E-2</v>
      </c>
      <c r="K61" s="160">
        <f t="shared" si="13"/>
        <v>1.6611295681063121E-2</v>
      </c>
      <c r="L61" s="172">
        <f t="shared" si="14"/>
        <v>1.9799999999999998E-2</v>
      </c>
      <c r="M61" s="62">
        <f t="shared" si="6"/>
        <v>7.1279999999999992</v>
      </c>
      <c r="N61" s="62">
        <f t="shared" si="17"/>
        <v>6.0587999999999997</v>
      </c>
      <c r="O61" s="173">
        <f t="shared" si="7"/>
        <v>6.0587999999999997</v>
      </c>
      <c r="P61" s="172">
        <f t="shared" si="15"/>
        <v>9.9989999999999992E-3</v>
      </c>
      <c r="Q61" s="62">
        <f t="shared" si="8"/>
        <v>3.5996399999999995</v>
      </c>
      <c r="R61" s="189">
        <f t="shared" si="18"/>
        <v>3.0596939999999999</v>
      </c>
      <c r="S61" s="173">
        <f t="shared" si="9"/>
        <v>3.0596939999999999</v>
      </c>
    </row>
    <row r="62" spans="1:19">
      <c r="A62" s="36">
        <f t="shared" si="10"/>
        <v>61</v>
      </c>
      <c r="B62" s="37">
        <v>21600</v>
      </c>
      <c r="C62" s="37">
        <f t="shared" si="2"/>
        <v>6</v>
      </c>
      <c r="D62" s="37">
        <f t="shared" si="3"/>
        <v>366</v>
      </c>
      <c r="E62" s="37">
        <f t="shared" si="4"/>
        <v>312</v>
      </c>
      <c r="F62" s="37">
        <f t="shared" si="16"/>
        <v>312</v>
      </c>
      <c r="G62" s="37">
        <f t="shared" si="19"/>
        <v>6</v>
      </c>
      <c r="H62" s="37">
        <f t="shared" si="19"/>
        <v>6</v>
      </c>
      <c r="I62" s="194">
        <f t="shared" si="11"/>
        <v>1.6666666666666607E-2</v>
      </c>
      <c r="J62" s="194">
        <f t="shared" si="12"/>
        <v>1.9607843137254832E-2</v>
      </c>
      <c r="K62" s="160">
        <f t="shared" si="13"/>
        <v>1.9607843137254832E-2</v>
      </c>
      <c r="L62" s="172">
        <f t="shared" si="14"/>
        <v>1.9799999999999998E-2</v>
      </c>
      <c r="M62" s="62">
        <f t="shared" si="6"/>
        <v>7.2467999999999995</v>
      </c>
      <c r="N62" s="62">
        <f t="shared" si="17"/>
        <v>6.1775999999999991</v>
      </c>
      <c r="O62" s="173">
        <f t="shared" si="7"/>
        <v>6.1775999999999991</v>
      </c>
      <c r="P62" s="172">
        <f t="shared" si="15"/>
        <v>9.9989999999999992E-3</v>
      </c>
      <c r="Q62" s="62">
        <f t="shared" si="8"/>
        <v>3.6596339999999996</v>
      </c>
      <c r="R62" s="189">
        <f t="shared" si="18"/>
        <v>3.1196879999999996</v>
      </c>
      <c r="S62" s="173">
        <f t="shared" si="9"/>
        <v>3.1196879999999996</v>
      </c>
    </row>
    <row r="63" spans="1:19">
      <c r="A63" s="36">
        <f t="shared" si="10"/>
        <v>62</v>
      </c>
      <c r="B63" s="37">
        <v>21600</v>
      </c>
      <c r="C63" s="37">
        <f t="shared" si="2"/>
        <v>6</v>
      </c>
      <c r="D63" s="37">
        <f t="shared" si="3"/>
        <v>372</v>
      </c>
      <c r="E63" s="37">
        <f t="shared" si="4"/>
        <v>317</v>
      </c>
      <c r="F63" s="37">
        <f t="shared" si="16"/>
        <v>317</v>
      </c>
      <c r="G63" s="37">
        <f t="shared" si="19"/>
        <v>5</v>
      </c>
      <c r="H63" s="37">
        <f t="shared" si="19"/>
        <v>5</v>
      </c>
      <c r="I63" s="194">
        <f t="shared" si="11"/>
        <v>1.6393442622950838E-2</v>
      </c>
      <c r="J63" s="194">
        <f t="shared" si="12"/>
        <v>1.6025641025640969E-2</v>
      </c>
      <c r="K63" s="160">
        <f t="shared" si="13"/>
        <v>1.6025641025640969E-2</v>
      </c>
      <c r="L63" s="172">
        <f t="shared" si="14"/>
        <v>1.9799999999999998E-2</v>
      </c>
      <c r="M63" s="62">
        <f t="shared" si="6"/>
        <v>7.3655999999999997</v>
      </c>
      <c r="N63" s="62">
        <f t="shared" si="17"/>
        <v>6.2765999999999993</v>
      </c>
      <c r="O63" s="173">
        <f t="shared" si="7"/>
        <v>6.2765999999999993</v>
      </c>
      <c r="P63" s="172">
        <f t="shared" si="15"/>
        <v>9.9989999999999992E-3</v>
      </c>
      <c r="Q63" s="62">
        <f t="shared" si="8"/>
        <v>3.7196279999999997</v>
      </c>
      <c r="R63" s="189">
        <f t="shared" si="18"/>
        <v>3.1696829999999996</v>
      </c>
      <c r="S63" s="173">
        <f t="shared" si="9"/>
        <v>3.1696829999999996</v>
      </c>
    </row>
    <row r="64" spans="1:19">
      <c r="A64" s="36">
        <f t="shared" si="10"/>
        <v>63</v>
      </c>
      <c r="B64" s="37">
        <v>21600</v>
      </c>
      <c r="C64" s="37">
        <f t="shared" si="2"/>
        <v>6</v>
      </c>
      <c r="D64" s="37">
        <f t="shared" si="3"/>
        <v>378</v>
      </c>
      <c r="E64" s="37">
        <f t="shared" si="4"/>
        <v>322</v>
      </c>
      <c r="F64" s="37">
        <f t="shared" si="16"/>
        <v>322</v>
      </c>
      <c r="G64" s="37">
        <f t="shared" si="19"/>
        <v>5</v>
      </c>
      <c r="H64" s="37">
        <f t="shared" si="19"/>
        <v>5</v>
      </c>
      <c r="I64" s="194">
        <f t="shared" si="11"/>
        <v>1.6129032258064502E-2</v>
      </c>
      <c r="J64" s="194">
        <f t="shared" si="12"/>
        <v>1.577287066246047E-2</v>
      </c>
      <c r="K64" s="160">
        <f t="shared" si="13"/>
        <v>1.577287066246047E-2</v>
      </c>
      <c r="L64" s="172">
        <f t="shared" si="14"/>
        <v>1.9799999999999998E-2</v>
      </c>
      <c r="M64" s="62">
        <f t="shared" si="6"/>
        <v>7.4843999999999991</v>
      </c>
      <c r="N64" s="62">
        <f t="shared" si="17"/>
        <v>6.3755999999999995</v>
      </c>
      <c r="O64" s="173">
        <f t="shared" si="7"/>
        <v>6.3755999999999995</v>
      </c>
      <c r="P64" s="172">
        <f t="shared" si="15"/>
        <v>9.9989999999999992E-3</v>
      </c>
      <c r="Q64" s="62">
        <f t="shared" si="8"/>
        <v>3.7796219999999998</v>
      </c>
      <c r="R64" s="189">
        <f t="shared" si="18"/>
        <v>3.2196779999999996</v>
      </c>
      <c r="S64" s="173">
        <f t="shared" si="9"/>
        <v>3.2196779999999996</v>
      </c>
    </row>
    <row r="65" spans="1:19">
      <c r="A65" s="36">
        <f t="shared" si="10"/>
        <v>64</v>
      </c>
      <c r="B65" s="37">
        <v>21600</v>
      </c>
      <c r="C65" s="37">
        <f t="shared" si="2"/>
        <v>6</v>
      </c>
      <c r="D65" s="37">
        <f t="shared" si="3"/>
        <v>384</v>
      </c>
      <c r="E65" s="37">
        <f t="shared" si="4"/>
        <v>327</v>
      </c>
      <c r="F65" s="37">
        <f t="shared" si="16"/>
        <v>327</v>
      </c>
      <c r="G65" s="37">
        <f t="shared" si="19"/>
        <v>5</v>
      </c>
      <c r="H65" s="37">
        <f t="shared" si="19"/>
        <v>5</v>
      </c>
      <c r="I65" s="194">
        <f t="shared" si="11"/>
        <v>1.5873015873015817E-2</v>
      </c>
      <c r="J65" s="194">
        <f t="shared" si="12"/>
        <v>1.552795031055898E-2</v>
      </c>
      <c r="K65" s="160">
        <f t="shared" si="13"/>
        <v>1.552795031055898E-2</v>
      </c>
      <c r="L65" s="172">
        <f t="shared" si="14"/>
        <v>1.9799999999999998E-2</v>
      </c>
      <c r="M65" s="62">
        <f t="shared" si="6"/>
        <v>7.6031999999999993</v>
      </c>
      <c r="N65" s="62">
        <f t="shared" si="17"/>
        <v>6.4745999999999997</v>
      </c>
      <c r="O65" s="173">
        <f t="shared" si="7"/>
        <v>6.4745999999999997</v>
      </c>
      <c r="P65" s="172">
        <f t="shared" si="15"/>
        <v>9.9989999999999992E-3</v>
      </c>
      <c r="Q65" s="62">
        <f t="shared" si="8"/>
        <v>3.8396159999999995</v>
      </c>
      <c r="R65" s="189">
        <f t="shared" si="18"/>
        <v>3.2696729999999996</v>
      </c>
      <c r="S65" s="173">
        <f t="shared" si="9"/>
        <v>3.2696729999999996</v>
      </c>
    </row>
    <row r="66" spans="1:19">
      <c r="A66" s="36">
        <f t="shared" si="10"/>
        <v>65</v>
      </c>
      <c r="B66" s="37">
        <v>21600</v>
      </c>
      <c r="C66" s="37">
        <f t="shared" si="2"/>
        <v>6</v>
      </c>
      <c r="D66" s="37">
        <f t="shared" si="3"/>
        <v>390</v>
      </c>
      <c r="E66" s="37">
        <f t="shared" si="4"/>
        <v>332</v>
      </c>
      <c r="F66" s="37">
        <f t="shared" si="16"/>
        <v>332</v>
      </c>
      <c r="G66" s="37">
        <f t="shared" si="19"/>
        <v>5</v>
      </c>
      <c r="H66" s="37">
        <f t="shared" si="19"/>
        <v>5</v>
      </c>
      <c r="I66" s="194">
        <f t="shared" si="11"/>
        <v>1.5625E-2</v>
      </c>
      <c r="J66" s="194">
        <f t="shared" si="12"/>
        <v>1.5290519877675823E-2</v>
      </c>
      <c r="K66" s="160">
        <f t="shared" si="13"/>
        <v>1.5290519877675823E-2</v>
      </c>
      <c r="L66" s="172">
        <f t="shared" si="14"/>
        <v>1.9799999999999998E-2</v>
      </c>
      <c r="M66" s="62">
        <f t="shared" si="6"/>
        <v>7.7219999999999995</v>
      </c>
      <c r="N66" s="62">
        <f t="shared" ref="N66:N97" si="20">L66*E66</f>
        <v>6.573599999999999</v>
      </c>
      <c r="O66" s="173">
        <f t="shared" si="7"/>
        <v>6.573599999999999</v>
      </c>
      <c r="P66" s="172">
        <f t="shared" si="15"/>
        <v>9.9989999999999992E-3</v>
      </c>
      <c r="Q66" s="62">
        <f t="shared" si="8"/>
        <v>3.8996099999999996</v>
      </c>
      <c r="R66" s="189">
        <f t="shared" ref="R66:R97" si="21">P66*E66</f>
        <v>3.3196679999999996</v>
      </c>
      <c r="S66" s="173">
        <f t="shared" si="9"/>
        <v>3.3196679999999996</v>
      </c>
    </row>
    <row r="67" spans="1:19">
      <c r="A67" s="36">
        <f t="shared" si="10"/>
        <v>66</v>
      </c>
      <c r="B67" s="37">
        <v>21600</v>
      </c>
      <c r="C67" s="37">
        <f t="shared" ref="C67:C124" si="22">ROUNDUP(B67/3600,0)</f>
        <v>6</v>
      </c>
      <c r="D67" s="37">
        <f t="shared" ref="D67:D124" si="23">A67*C67</f>
        <v>396</v>
      </c>
      <c r="E67" s="37">
        <f t="shared" ref="E67:E124" si="24">IF(A67&gt;65,ROUNDUP(A67*C67*0.8,0),IF(A67&gt;37,ROUNDUP(A67*C67*0.85,0),IF(A67&gt;9,ROUNDUP(A67*C67*0.9,0),A67*C67)))</f>
        <v>317</v>
      </c>
      <c r="F67" s="37">
        <f t="shared" si="16"/>
        <v>337</v>
      </c>
      <c r="G67" s="37">
        <f t="shared" ref="G67:H124" si="25">E67-E66</f>
        <v>-15</v>
      </c>
      <c r="H67" s="37">
        <f t="shared" si="25"/>
        <v>5</v>
      </c>
      <c r="I67" s="194">
        <f t="shared" si="11"/>
        <v>1.538461538461533E-2</v>
      </c>
      <c r="J67" s="194">
        <f t="shared" si="12"/>
        <v>-4.5180722891566272E-2</v>
      </c>
      <c r="K67" s="160">
        <f t="shared" si="13"/>
        <v>1.5060240963855387E-2</v>
      </c>
      <c r="L67" s="172">
        <f t="shared" si="14"/>
        <v>1.9799999999999998E-2</v>
      </c>
      <c r="M67" s="62">
        <f t="shared" ref="M67:M124" si="26">L67*D67</f>
        <v>7.8407999999999989</v>
      </c>
      <c r="N67" s="62">
        <f t="shared" si="20"/>
        <v>6.2765999999999993</v>
      </c>
      <c r="O67" s="173">
        <f t="shared" ref="O67:O124" si="27">L67*F67</f>
        <v>6.6725999999999992</v>
      </c>
      <c r="P67" s="172">
        <f t="shared" si="15"/>
        <v>9.9989999999999992E-3</v>
      </c>
      <c r="Q67" s="62">
        <f t="shared" ref="Q67:Q124" si="28">P67*D67</f>
        <v>3.9596039999999997</v>
      </c>
      <c r="R67" s="189">
        <f t="shared" si="21"/>
        <v>3.1696829999999996</v>
      </c>
      <c r="S67" s="173">
        <f t="shared" ref="S67:S124" si="29">P67*F67</f>
        <v>3.3696629999999996</v>
      </c>
    </row>
    <row r="68" spans="1:19">
      <c r="A68" s="36">
        <f t="shared" ref="A68:A124" si="30">A67+1</f>
        <v>67</v>
      </c>
      <c r="B68" s="37">
        <v>21600</v>
      </c>
      <c r="C68" s="37">
        <f t="shared" si="22"/>
        <v>6</v>
      </c>
      <c r="D68" s="37">
        <f t="shared" si="23"/>
        <v>402</v>
      </c>
      <c r="E68" s="37">
        <f t="shared" si="24"/>
        <v>322</v>
      </c>
      <c r="F68" s="37">
        <f t="shared" si="16"/>
        <v>342</v>
      </c>
      <c r="G68" s="37">
        <f t="shared" si="25"/>
        <v>5</v>
      </c>
      <c r="H68" s="37">
        <f t="shared" si="25"/>
        <v>5</v>
      </c>
      <c r="I68" s="194">
        <f t="shared" ref="I68:I124" si="31">D68/D67-1</f>
        <v>1.5151515151515138E-2</v>
      </c>
      <c r="J68" s="194">
        <f t="shared" ref="J68:J124" si="32">E68/E67-1</f>
        <v>1.577287066246047E-2</v>
      </c>
      <c r="K68" s="160">
        <f t="shared" ref="K68:K124" si="33">F68/F67-1</f>
        <v>1.4836795252225476E-2</v>
      </c>
      <c r="L68" s="172">
        <f t="shared" ref="L68:L124" si="34">L67</f>
        <v>1.9799999999999998E-2</v>
      </c>
      <c r="M68" s="62">
        <f t="shared" si="26"/>
        <v>7.9595999999999991</v>
      </c>
      <c r="N68" s="62">
        <f t="shared" si="20"/>
        <v>6.3755999999999995</v>
      </c>
      <c r="O68" s="173">
        <f t="shared" si="27"/>
        <v>6.7715999999999994</v>
      </c>
      <c r="P68" s="172">
        <f t="shared" ref="P68:P124" si="35">P67</f>
        <v>9.9989999999999992E-3</v>
      </c>
      <c r="Q68" s="62">
        <f t="shared" si="28"/>
        <v>4.0195979999999993</v>
      </c>
      <c r="R68" s="189">
        <f t="shared" si="21"/>
        <v>3.2196779999999996</v>
      </c>
      <c r="S68" s="173">
        <f t="shared" si="29"/>
        <v>3.4196579999999996</v>
      </c>
    </row>
    <row r="69" spans="1:19" ht="15" customHeight="1">
      <c r="A69" s="36">
        <f t="shared" si="30"/>
        <v>68</v>
      </c>
      <c r="B69" s="37">
        <v>21600</v>
      </c>
      <c r="C69" s="37">
        <f t="shared" si="22"/>
        <v>6</v>
      </c>
      <c r="D69" s="37">
        <f t="shared" si="23"/>
        <v>408</v>
      </c>
      <c r="E69" s="37">
        <f t="shared" si="24"/>
        <v>327</v>
      </c>
      <c r="F69" s="37">
        <f t="shared" si="16"/>
        <v>347</v>
      </c>
      <c r="G69" s="37">
        <f t="shared" si="25"/>
        <v>5</v>
      </c>
      <c r="H69" s="37">
        <f t="shared" si="25"/>
        <v>5</v>
      </c>
      <c r="I69" s="194">
        <f t="shared" si="31"/>
        <v>1.4925373134328401E-2</v>
      </c>
      <c r="J69" s="194">
        <f t="shared" si="32"/>
        <v>1.552795031055898E-2</v>
      </c>
      <c r="K69" s="160">
        <f t="shared" si="33"/>
        <v>1.4619883040935644E-2</v>
      </c>
      <c r="L69" s="172">
        <f t="shared" si="34"/>
        <v>1.9799999999999998E-2</v>
      </c>
      <c r="M69" s="62">
        <f t="shared" si="26"/>
        <v>8.0783999999999985</v>
      </c>
      <c r="N69" s="62">
        <f t="shared" si="20"/>
        <v>6.4745999999999997</v>
      </c>
      <c r="O69" s="173">
        <f t="shared" si="27"/>
        <v>6.8705999999999996</v>
      </c>
      <c r="P69" s="172">
        <f t="shared" si="35"/>
        <v>9.9989999999999992E-3</v>
      </c>
      <c r="Q69" s="62">
        <f t="shared" si="28"/>
        <v>4.0795919999999999</v>
      </c>
      <c r="R69" s="189">
        <f t="shared" si="21"/>
        <v>3.2696729999999996</v>
      </c>
      <c r="S69" s="173">
        <f t="shared" si="29"/>
        <v>3.4696529999999997</v>
      </c>
    </row>
    <row r="70" spans="1:19">
      <c r="A70" s="36">
        <f t="shared" si="30"/>
        <v>69</v>
      </c>
      <c r="B70" s="37">
        <v>21600</v>
      </c>
      <c r="C70" s="37">
        <f t="shared" si="22"/>
        <v>6</v>
      </c>
      <c r="D70" s="37">
        <f t="shared" si="23"/>
        <v>414</v>
      </c>
      <c r="E70" s="37">
        <f t="shared" si="24"/>
        <v>332</v>
      </c>
      <c r="F70" s="37">
        <f t="shared" si="16"/>
        <v>352</v>
      </c>
      <c r="G70" s="37">
        <f t="shared" si="25"/>
        <v>5</v>
      </c>
      <c r="H70" s="37">
        <f t="shared" si="25"/>
        <v>5</v>
      </c>
      <c r="I70" s="194">
        <f t="shared" si="31"/>
        <v>1.4705882352941124E-2</v>
      </c>
      <c r="J70" s="194">
        <f t="shared" si="32"/>
        <v>1.5290519877675823E-2</v>
      </c>
      <c r="K70" s="160">
        <f t="shared" si="33"/>
        <v>1.4409221902017322E-2</v>
      </c>
      <c r="L70" s="172">
        <f t="shared" si="34"/>
        <v>1.9799999999999998E-2</v>
      </c>
      <c r="M70" s="62">
        <f t="shared" si="26"/>
        <v>8.1971999999999987</v>
      </c>
      <c r="N70" s="62">
        <f t="shared" si="20"/>
        <v>6.573599999999999</v>
      </c>
      <c r="O70" s="173">
        <f t="shared" si="27"/>
        <v>6.9695999999999998</v>
      </c>
      <c r="P70" s="172">
        <f t="shared" si="35"/>
        <v>9.9989999999999992E-3</v>
      </c>
      <c r="Q70" s="62">
        <f t="shared" si="28"/>
        <v>4.1395859999999995</v>
      </c>
      <c r="R70" s="189">
        <f t="shared" si="21"/>
        <v>3.3196679999999996</v>
      </c>
      <c r="S70" s="173">
        <f t="shared" si="29"/>
        <v>3.5196479999999997</v>
      </c>
    </row>
    <row r="71" spans="1:19">
      <c r="A71" s="36">
        <f t="shared" si="30"/>
        <v>70</v>
      </c>
      <c r="B71" s="37">
        <v>21600</v>
      </c>
      <c r="C71" s="37">
        <f t="shared" si="22"/>
        <v>6</v>
      </c>
      <c r="D71" s="37">
        <f t="shared" si="23"/>
        <v>420</v>
      </c>
      <c r="E71" s="37">
        <f t="shared" si="24"/>
        <v>336</v>
      </c>
      <c r="F71" s="37">
        <f t="shared" ref="F71:F124" si="36">ROUNDUP(IF(D71&gt;9999,D71*0.9,IF(D71&gt;550,MAX(D71*0.8,499),IF(D71&gt;220,MAX(D71*0.85,199),IF(D71&gt;99,D71*0.9,D71)))),0)</f>
        <v>357</v>
      </c>
      <c r="G71" s="37">
        <f t="shared" si="25"/>
        <v>4</v>
      </c>
      <c r="H71" s="37">
        <f t="shared" si="25"/>
        <v>5</v>
      </c>
      <c r="I71" s="194">
        <f t="shared" si="31"/>
        <v>1.449275362318847E-2</v>
      </c>
      <c r="J71" s="194">
        <f t="shared" si="32"/>
        <v>1.2048192771084265E-2</v>
      </c>
      <c r="K71" s="160">
        <f t="shared" si="33"/>
        <v>1.4204545454545414E-2</v>
      </c>
      <c r="L71" s="172">
        <f t="shared" si="34"/>
        <v>1.9799999999999998E-2</v>
      </c>
      <c r="M71" s="62">
        <f t="shared" si="26"/>
        <v>8.3159999999999989</v>
      </c>
      <c r="N71" s="62">
        <f t="shared" si="20"/>
        <v>6.6527999999999992</v>
      </c>
      <c r="O71" s="173">
        <f t="shared" si="27"/>
        <v>7.0685999999999991</v>
      </c>
      <c r="P71" s="172">
        <f t="shared" si="35"/>
        <v>9.9989999999999992E-3</v>
      </c>
      <c r="Q71" s="62">
        <f t="shared" si="28"/>
        <v>4.1995800000000001</v>
      </c>
      <c r="R71" s="189">
        <f t="shared" si="21"/>
        <v>3.3596639999999995</v>
      </c>
      <c r="S71" s="173">
        <f t="shared" si="29"/>
        <v>3.5696429999999997</v>
      </c>
    </row>
    <row r="72" spans="1:19">
      <c r="A72" s="36">
        <f t="shared" si="30"/>
        <v>71</v>
      </c>
      <c r="B72" s="37">
        <v>21600</v>
      </c>
      <c r="C72" s="37">
        <f t="shared" si="22"/>
        <v>6</v>
      </c>
      <c r="D72" s="37">
        <f t="shared" si="23"/>
        <v>426</v>
      </c>
      <c r="E72" s="37">
        <f t="shared" si="24"/>
        <v>341</v>
      </c>
      <c r="F72" s="37">
        <f t="shared" si="36"/>
        <v>363</v>
      </c>
      <c r="G72" s="37">
        <f t="shared" si="25"/>
        <v>5</v>
      </c>
      <c r="H72" s="37">
        <f t="shared" si="25"/>
        <v>6</v>
      </c>
      <c r="I72" s="194">
        <f t="shared" si="31"/>
        <v>1.4285714285714235E-2</v>
      </c>
      <c r="J72" s="194">
        <f t="shared" si="32"/>
        <v>1.4880952380952328E-2</v>
      </c>
      <c r="K72" s="160">
        <f t="shared" si="33"/>
        <v>1.6806722689075571E-2</v>
      </c>
      <c r="L72" s="172">
        <f t="shared" si="34"/>
        <v>1.9799999999999998E-2</v>
      </c>
      <c r="M72" s="62">
        <f t="shared" si="26"/>
        <v>8.4347999999999992</v>
      </c>
      <c r="N72" s="62">
        <f t="shared" si="20"/>
        <v>6.7517999999999994</v>
      </c>
      <c r="O72" s="173">
        <f t="shared" si="27"/>
        <v>7.1873999999999993</v>
      </c>
      <c r="P72" s="172">
        <f t="shared" si="35"/>
        <v>9.9989999999999992E-3</v>
      </c>
      <c r="Q72" s="62">
        <f t="shared" si="28"/>
        <v>4.2595739999999997</v>
      </c>
      <c r="R72" s="189">
        <f t="shared" si="21"/>
        <v>3.4096589999999996</v>
      </c>
      <c r="S72" s="173">
        <f t="shared" si="29"/>
        <v>3.6296369999999998</v>
      </c>
    </row>
    <row r="73" spans="1:19">
      <c r="A73" s="36">
        <f t="shared" si="30"/>
        <v>72</v>
      </c>
      <c r="B73" s="37">
        <v>21600</v>
      </c>
      <c r="C73" s="37">
        <f t="shared" si="22"/>
        <v>6</v>
      </c>
      <c r="D73" s="37">
        <f t="shared" si="23"/>
        <v>432</v>
      </c>
      <c r="E73" s="37">
        <f t="shared" si="24"/>
        <v>346</v>
      </c>
      <c r="F73" s="37">
        <f t="shared" si="36"/>
        <v>368</v>
      </c>
      <c r="G73" s="37">
        <f t="shared" si="25"/>
        <v>5</v>
      </c>
      <c r="H73" s="37">
        <f t="shared" si="25"/>
        <v>5</v>
      </c>
      <c r="I73" s="194">
        <f t="shared" si="31"/>
        <v>1.4084507042253502E-2</v>
      </c>
      <c r="J73" s="194">
        <f t="shared" si="32"/>
        <v>1.4662756598240456E-2</v>
      </c>
      <c r="K73" s="160">
        <f t="shared" si="33"/>
        <v>1.377410468319562E-2</v>
      </c>
      <c r="L73" s="172">
        <f t="shared" si="34"/>
        <v>1.9799999999999998E-2</v>
      </c>
      <c r="M73" s="62">
        <f t="shared" si="26"/>
        <v>8.5535999999999994</v>
      </c>
      <c r="N73" s="62">
        <f t="shared" si="20"/>
        <v>6.8507999999999996</v>
      </c>
      <c r="O73" s="173">
        <f t="shared" si="27"/>
        <v>7.2863999999999995</v>
      </c>
      <c r="P73" s="172">
        <f t="shared" si="35"/>
        <v>9.9989999999999992E-3</v>
      </c>
      <c r="Q73" s="62">
        <f t="shared" si="28"/>
        <v>4.3195679999999994</v>
      </c>
      <c r="R73" s="189">
        <f t="shared" si="21"/>
        <v>3.4596539999999996</v>
      </c>
      <c r="S73" s="173">
        <f t="shared" si="29"/>
        <v>3.6796319999999998</v>
      </c>
    </row>
    <row r="74" spans="1:19">
      <c r="A74" s="36">
        <f t="shared" si="30"/>
        <v>73</v>
      </c>
      <c r="B74" s="37">
        <v>21600</v>
      </c>
      <c r="C74" s="37">
        <f t="shared" si="22"/>
        <v>6</v>
      </c>
      <c r="D74" s="37">
        <f t="shared" si="23"/>
        <v>438</v>
      </c>
      <c r="E74" s="37">
        <f t="shared" si="24"/>
        <v>351</v>
      </c>
      <c r="F74" s="37">
        <f t="shared" si="36"/>
        <v>373</v>
      </c>
      <c r="G74" s="37">
        <f t="shared" si="25"/>
        <v>5</v>
      </c>
      <c r="H74" s="37">
        <f t="shared" si="25"/>
        <v>5</v>
      </c>
      <c r="I74" s="194">
        <f t="shared" si="31"/>
        <v>1.388888888888884E-2</v>
      </c>
      <c r="J74" s="194">
        <f t="shared" si="32"/>
        <v>1.4450867052023142E-2</v>
      </c>
      <c r="K74" s="160">
        <f t="shared" si="33"/>
        <v>1.3586956521739024E-2</v>
      </c>
      <c r="L74" s="172">
        <f t="shared" si="34"/>
        <v>1.9799999999999998E-2</v>
      </c>
      <c r="M74" s="62">
        <f t="shared" si="26"/>
        <v>8.6723999999999997</v>
      </c>
      <c r="N74" s="62">
        <f t="shared" si="20"/>
        <v>6.9497999999999998</v>
      </c>
      <c r="O74" s="173">
        <f t="shared" si="27"/>
        <v>7.3853999999999997</v>
      </c>
      <c r="P74" s="172">
        <f t="shared" si="35"/>
        <v>9.9989999999999992E-3</v>
      </c>
      <c r="Q74" s="62">
        <f t="shared" si="28"/>
        <v>4.379562</v>
      </c>
      <c r="R74" s="189">
        <f t="shared" si="21"/>
        <v>3.5096489999999996</v>
      </c>
      <c r="S74" s="173">
        <f t="shared" si="29"/>
        <v>3.7296269999999998</v>
      </c>
    </row>
    <row r="75" spans="1:19">
      <c r="A75" s="36">
        <f t="shared" si="30"/>
        <v>74</v>
      </c>
      <c r="B75" s="37">
        <v>21600</v>
      </c>
      <c r="C75" s="37">
        <f t="shared" si="22"/>
        <v>6</v>
      </c>
      <c r="D75" s="37">
        <f t="shared" si="23"/>
        <v>444</v>
      </c>
      <c r="E75" s="37">
        <f t="shared" si="24"/>
        <v>356</v>
      </c>
      <c r="F75" s="37">
        <f t="shared" si="36"/>
        <v>378</v>
      </c>
      <c r="G75" s="37">
        <f t="shared" si="25"/>
        <v>5</v>
      </c>
      <c r="H75" s="37">
        <f t="shared" si="25"/>
        <v>5</v>
      </c>
      <c r="I75" s="194">
        <f t="shared" si="31"/>
        <v>1.3698630136986356E-2</v>
      </c>
      <c r="J75" s="194">
        <f t="shared" si="32"/>
        <v>1.4245014245014342E-2</v>
      </c>
      <c r="K75" s="160">
        <f t="shared" si="33"/>
        <v>1.3404825737265424E-2</v>
      </c>
      <c r="L75" s="172">
        <f t="shared" si="34"/>
        <v>1.9799999999999998E-2</v>
      </c>
      <c r="M75" s="62">
        <f t="shared" si="26"/>
        <v>8.7911999999999999</v>
      </c>
      <c r="N75" s="62">
        <f t="shared" si="20"/>
        <v>7.0487999999999991</v>
      </c>
      <c r="O75" s="173">
        <f t="shared" si="27"/>
        <v>7.4843999999999991</v>
      </c>
      <c r="P75" s="172">
        <f t="shared" si="35"/>
        <v>9.9989999999999992E-3</v>
      </c>
      <c r="Q75" s="62">
        <f t="shared" si="28"/>
        <v>4.4395559999999996</v>
      </c>
      <c r="R75" s="189">
        <f t="shared" si="21"/>
        <v>3.5596439999999996</v>
      </c>
      <c r="S75" s="173">
        <f t="shared" si="29"/>
        <v>3.7796219999999998</v>
      </c>
    </row>
    <row r="76" spans="1:19">
      <c r="A76" s="36">
        <f t="shared" si="30"/>
        <v>75</v>
      </c>
      <c r="B76" s="37">
        <v>21600</v>
      </c>
      <c r="C76" s="37">
        <f t="shared" si="22"/>
        <v>6</v>
      </c>
      <c r="D76" s="37">
        <f t="shared" si="23"/>
        <v>450</v>
      </c>
      <c r="E76" s="37">
        <f t="shared" si="24"/>
        <v>360</v>
      </c>
      <c r="F76" s="37">
        <f t="shared" si="36"/>
        <v>383</v>
      </c>
      <c r="G76" s="37">
        <f t="shared" si="25"/>
        <v>4</v>
      </c>
      <c r="H76" s="37">
        <f t="shared" si="25"/>
        <v>5</v>
      </c>
      <c r="I76" s="194">
        <f t="shared" si="31"/>
        <v>1.3513513513513598E-2</v>
      </c>
      <c r="J76" s="194">
        <f t="shared" si="32"/>
        <v>1.1235955056179803E-2</v>
      </c>
      <c r="K76" s="160">
        <f t="shared" si="33"/>
        <v>1.3227513227513255E-2</v>
      </c>
      <c r="L76" s="172">
        <f t="shared" si="34"/>
        <v>1.9799999999999998E-2</v>
      </c>
      <c r="M76" s="62">
        <f t="shared" si="26"/>
        <v>8.9099999999999984</v>
      </c>
      <c r="N76" s="62">
        <f t="shared" si="20"/>
        <v>7.1279999999999992</v>
      </c>
      <c r="O76" s="173">
        <f t="shared" si="27"/>
        <v>7.5833999999999993</v>
      </c>
      <c r="P76" s="172">
        <f t="shared" si="35"/>
        <v>9.9989999999999992E-3</v>
      </c>
      <c r="Q76" s="62">
        <f t="shared" si="28"/>
        <v>4.4995499999999993</v>
      </c>
      <c r="R76" s="189">
        <f t="shared" si="21"/>
        <v>3.5996399999999995</v>
      </c>
      <c r="S76" s="173">
        <f t="shared" si="29"/>
        <v>3.8296169999999998</v>
      </c>
    </row>
    <row r="77" spans="1:19" ht="15" customHeight="1">
      <c r="A77" s="36">
        <f t="shared" si="30"/>
        <v>76</v>
      </c>
      <c r="B77" s="37">
        <v>21600</v>
      </c>
      <c r="C77" s="37">
        <f t="shared" si="22"/>
        <v>6</v>
      </c>
      <c r="D77" s="37">
        <f t="shared" si="23"/>
        <v>456</v>
      </c>
      <c r="E77" s="37">
        <f t="shared" si="24"/>
        <v>365</v>
      </c>
      <c r="F77" s="37">
        <f t="shared" si="36"/>
        <v>388</v>
      </c>
      <c r="G77" s="37">
        <f t="shared" si="25"/>
        <v>5</v>
      </c>
      <c r="H77" s="37">
        <f t="shared" si="25"/>
        <v>5</v>
      </c>
      <c r="I77" s="194">
        <f t="shared" si="31"/>
        <v>1.3333333333333419E-2</v>
      </c>
      <c r="J77" s="194">
        <f t="shared" si="32"/>
        <v>1.388888888888884E-2</v>
      </c>
      <c r="K77" s="160">
        <f t="shared" si="33"/>
        <v>1.3054830287206221E-2</v>
      </c>
      <c r="L77" s="172">
        <f t="shared" si="34"/>
        <v>1.9799999999999998E-2</v>
      </c>
      <c r="M77" s="62">
        <f t="shared" si="26"/>
        <v>9.0287999999999986</v>
      </c>
      <c r="N77" s="62">
        <f t="shared" si="20"/>
        <v>7.2269999999999994</v>
      </c>
      <c r="O77" s="173">
        <f t="shared" si="27"/>
        <v>7.6823999999999995</v>
      </c>
      <c r="P77" s="172">
        <f t="shared" si="35"/>
        <v>9.9989999999999992E-3</v>
      </c>
      <c r="Q77" s="62">
        <f t="shared" si="28"/>
        <v>4.5595439999999998</v>
      </c>
      <c r="R77" s="189">
        <f t="shared" si="21"/>
        <v>3.6496349999999995</v>
      </c>
      <c r="S77" s="173">
        <f t="shared" si="29"/>
        <v>3.8796119999999998</v>
      </c>
    </row>
    <row r="78" spans="1:19">
      <c r="A78" s="36">
        <f t="shared" si="30"/>
        <v>77</v>
      </c>
      <c r="B78" s="37">
        <v>21600</v>
      </c>
      <c r="C78" s="37">
        <f t="shared" si="22"/>
        <v>6</v>
      </c>
      <c r="D78" s="37">
        <f t="shared" si="23"/>
        <v>462</v>
      </c>
      <c r="E78" s="37">
        <f t="shared" si="24"/>
        <v>370</v>
      </c>
      <c r="F78" s="37">
        <f t="shared" si="36"/>
        <v>393</v>
      </c>
      <c r="G78" s="37">
        <f t="shared" si="25"/>
        <v>5</v>
      </c>
      <c r="H78" s="37">
        <f t="shared" si="25"/>
        <v>5</v>
      </c>
      <c r="I78" s="194">
        <f t="shared" si="31"/>
        <v>1.3157894736842035E-2</v>
      </c>
      <c r="J78" s="194">
        <f t="shared" si="32"/>
        <v>1.3698630136986356E-2</v>
      </c>
      <c r="K78" s="160">
        <f t="shared" si="33"/>
        <v>1.2886597938144284E-2</v>
      </c>
      <c r="L78" s="172">
        <f t="shared" si="34"/>
        <v>1.9799999999999998E-2</v>
      </c>
      <c r="M78" s="62">
        <f t="shared" si="26"/>
        <v>9.1475999999999988</v>
      </c>
      <c r="N78" s="62">
        <f t="shared" si="20"/>
        <v>7.3259999999999996</v>
      </c>
      <c r="O78" s="173">
        <f t="shared" si="27"/>
        <v>7.7813999999999997</v>
      </c>
      <c r="P78" s="172">
        <f t="shared" si="35"/>
        <v>9.9989999999999992E-3</v>
      </c>
      <c r="Q78" s="62">
        <f t="shared" si="28"/>
        <v>4.6195379999999995</v>
      </c>
      <c r="R78" s="189">
        <f t="shared" si="21"/>
        <v>3.6996299999999995</v>
      </c>
      <c r="S78" s="173">
        <f t="shared" si="29"/>
        <v>3.9296069999999999</v>
      </c>
    </row>
    <row r="79" spans="1:19">
      <c r="A79" s="36">
        <f t="shared" si="30"/>
        <v>78</v>
      </c>
      <c r="B79" s="37">
        <v>21600</v>
      </c>
      <c r="C79" s="37">
        <f t="shared" si="22"/>
        <v>6</v>
      </c>
      <c r="D79" s="37">
        <f t="shared" si="23"/>
        <v>468</v>
      </c>
      <c r="E79" s="37">
        <f t="shared" si="24"/>
        <v>375</v>
      </c>
      <c r="F79" s="37">
        <f t="shared" si="36"/>
        <v>398</v>
      </c>
      <c r="G79" s="37">
        <f t="shared" si="25"/>
        <v>5</v>
      </c>
      <c r="H79" s="37">
        <f t="shared" si="25"/>
        <v>5</v>
      </c>
      <c r="I79" s="194">
        <f t="shared" si="31"/>
        <v>1.298701298701288E-2</v>
      </c>
      <c r="J79" s="194">
        <f t="shared" si="32"/>
        <v>1.3513513513513598E-2</v>
      </c>
      <c r="K79" s="160">
        <f t="shared" si="33"/>
        <v>1.2722646310432628E-2</v>
      </c>
      <c r="L79" s="172">
        <f t="shared" si="34"/>
        <v>1.9799999999999998E-2</v>
      </c>
      <c r="M79" s="62">
        <f t="shared" si="26"/>
        <v>9.2663999999999991</v>
      </c>
      <c r="N79" s="62">
        <f t="shared" si="20"/>
        <v>7.4249999999999989</v>
      </c>
      <c r="O79" s="173">
        <f t="shared" si="27"/>
        <v>7.880399999999999</v>
      </c>
      <c r="P79" s="172">
        <f t="shared" si="35"/>
        <v>9.9989999999999992E-3</v>
      </c>
      <c r="Q79" s="62">
        <f t="shared" si="28"/>
        <v>4.679532</v>
      </c>
      <c r="R79" s="189">
        <f t="shared" si="21"/>
        <v>3.7496249999999995</v>
      </c>
      <c r="S79" s="173">
        <f t="shared" si="29"/>
        <v>3.9796019999999999</v>
      </c>
    </row>
    <row r="80" spans="1:19">
      <c r="A80" s="36">
        <f t="shared" si="30"/>
        <v>79</v>
      </c>
      <c r="B80" s="37">
        <v>21600</v>
      </c>
      <c r="C80" s="37">
        <f t="shared" si="22"/>
        <v>6</v>
      </c>
      <c r="D80" s="37">
        <f t="shared" si="23"/>
        <v>474</v>
      </c>
      <c r="E80" s="37">
        <f t="shared" si="24"/>
        <v>380</v>
      </c>
      <c r="F80" s="37">
        <f t="shared" si="36"/>
        <v>403</v>
      </c>
      <c r="G80" s="37">
        <f t="shared" si="25"/>
        <v>5</v>
      </c>
      <c r="H80" s="37">
        <f t="shared" si="25"/>
        <v>5</v>
      </c>
      <c r="I80" s="194">
        <f t="shared" si="31"/>
        <v>1.2820512820512775E-2</v>
      </c>
      <c r="J80" s="194">
        <f t="shared" si="32"/>
        <v>1.3333333333333419E-2</v>
      </c>
      <c r="K80" s="160">
        <f t="shared" si="33"/>
        <v>1.2562814070351758E-2</v>
      </c>
      <c r="L80" s="172">
        <f t="shared" si="34"/>
        <v>1.9799999999999998E-2</v>
      </c>
      <c r="M80" s="62">
        <f t="shared" si="26"/>
        <v>9.3851999999999993</v>
      </c>
      <c r="N80" s="62">
        <f t="shared" si="20"/>
        <v>7.5239999999999991</v>
      </c>
      <c r="O80" s="173">
        <f t="shared" si="27"/>
        <v>7.9793999999999992</v>
      </c>
      <c r="P80" s="172">
        <f t="shared" si="35"/>
        <v>9.9989999999999992E-3</v>
      </c>
      <c r="Q80" s="62">
        <f t="shared" si="28"/>
        <v>4.7395259999999997</v>
      </c>
      <c r="R80" s="189">
        <f t="shared" si="21"/>
        <v>3.7996199999999996</v>
      </c>
      <c r="S80" s="173">
        <f t="shared" si="29"/>
        <v>4.0295969999999999</v>
      </c>
    </row>
    <row r="81" spans="1:19">
      <c r="A81" s="36">
        <f t="shared" si="30"/>
        <v>80</v>
      </c>
      <c r="B81" s="37">
        <v>21600</v>
      </c>
      <c r="C81" s="37">
        <f t="shared" si="22"/>
        <v>6</v>
      </c>
      <c r="D81" s="37">
        <f t="shared" si="23"/>
        <v>480</v>
      </c>
      <c r="E81" s="37">
        <f t="shared" si="24"/>
        <v>384</v>
      </c>
      <c r="F81" s="37">
        <f t="shared" si="36"/>
        <v>408</v>
      </c>
      <c r="G81" s="37">
        <f t="shared" si="25"/>
        <v>4</v>
      </c>
      <c r="H81" s="37">
        <f t="shared" si="25"/>
        <v>5</v>
      </c>
      <c r="I81" s="194">
        <f t="shared" si="31"/>
        <v>1.2658227848101333E-2</v>
      </c>
      <c r="J81" s="194">
        <f t="shared" si="32"/>
        <v>1.0526315789473717E-2</v>
      </c>
      <c r="K81" s="160">
        <f t="shared" si="33"/>
        <v>1.2406947890818865E-2</v>
      </c>
      <c r="L81" s="172">
        <f t="shared" si="34"/>
        <v>1.9799999999999998E-2</v>
      </c>
      <c r="M81" s="62">
        <f t="shared" si="26"/>
        <v>9.5039999999999996</v>
      </c>
      <c r="N81" s="62">
        <f t="shared" si="20"/>
        <v>7.6031999999999993</v>
      </c>
      <c r="O81" s="173">
        <f t="shared" si="27"/>
        <v>8.0783999999999985</v>
      </c>
      <c r="P81" s="172">
        <f t="shared" si="35"/>
        <v>9.9989999999999992E-3</v>
      </c>
      <c r="Q81" s="62">
        <f t="shared" si="28"/>
        <v>4.7995199999999993</v>
      </c>
      <c r="R81" s="189">
        <f t="shared" si="21"/>
        <v>3.8396159999999995</v>
      </c>
      <c r="S81" s="173">
        <f t="shared" si="29"/>
        <v>4.0795919999999999</v>
      </c>
    </row>
    <row r="82" spans="1:19">
      <c r="A82" s="36">
        <f t="shared" si="30"/>
        <v>81</v>
      </c>
      <c r="B82" s="37">
        <v>21600</v>
      </c>
      <c r="C82" s="37">
        <f t="shared" si="22"/>
        <v>6</v>
      </c>
      <c r="D82" s="37">
        <f t="shared" si="23"/>
        <v>486</v>
      </c>
      <c r="E82" s="37">
        <f t="shared" si="24"/>
        <v>389</v>
      </c>
      <c r="F82" s="37">
        <f t="shared" si="36"/>
        <v>414</v>
      </c>
      <c r="G82" s="37">
        <f t="shared" si="25"/>
        <v>5</v>
      </c>
      <c r="H82" s="37">
        <f t="shared" si="25"/>
        <v>6</v>
      </c>
      <c r="I82" s="194">
        <f t="shared" si="31"/>
        <v>1.2499999999999956E-2</v>
      </c>
      <c r="J82" s="194">
        <f t="shared" si="32"/>
        <v>1.3020833333333259E-2</v>
      </c>
      <c r="K82" s="160">
        <f t="shared" si="33"/>
        <v>1.4705882352941124E-2</v>
      </c>
      <c r="L82" s="172">
        <f t="shared" si="34"/>
        <v>1.9799999999999998E-2</v>
      </c>
      <c r="M82" s="62">
        <f t="shared" si="26"/>
        <v>9.6227999999999998</v>
      </c>
      <c r="N82" s="62">
        <f t="shared" si="20"/>
        <v>7.7021999999999995</v>
      </c>
      <c r="O82" s="173">
        <f t="shared" si="27"/>
        <v>8.1971999999999987</v>
      </c>
      <c r="P82" s="172">
        <f t="shared" si="35"/>
        <v>9.9989999999999992E-3</v>
      </c>
      <c r="Q82" s="62">
        <f t="shared" si="28"/>
        <v>4.8595139999999999</v>
      </c>
      <c r="R82" s="189">
        <f t="shared" si="21"/>
        <v>3.8896109999999995</v>
      </c>
      <c r="S82" s="173">
        <f t="shared" si="29"/>
        <v>4.1395859999999995</v>
      </c>
    </row>
    <row r="83" spans="1:19">
      <c r="A83" s="36">
        <f t="shared" si="30"/>
        <v>82</v>
      </c>
      <c r="B83" s="37">
        <v>21600</v>
      </c>
      <c r="C83" s="37">
        <f t="shared" si="22"/>
        <v>6</v>
      </c>
      <c r="D83" s="37">
        <f t="shared" si="23"/>
        <v>492</v>
      </c>
      <c r="E83" s="37">
        <f t="shared" si="24"/>
        <v>394</v>
      </c>
      <c r="F83" s="37">
        <f t="shared" si="36"/>
        <v>419</v>
      </c>
      <c r="G83" s="37">
        <f t="shared" si="25"/>
        <v>5</v>
      </c>
      <c r="H83" s="37">
        <f t="shared" si="25"/>
        <v>5</v>
      </c>
      <c r="I83" s="194">
        <f t="shared" si="31"/>
        <v>1.2345679012345734E-2</v>
      </c>
      <c r="J83" s="194">
        <f t="shared" si="32"/>
        <v>1.2853470437018011E-2</v>
      </c>
      <c r="K83" s="160">
        <f t="shared" si="33"/>
        <v>1.2077294685990392E-2</v>
      </c>
      <c r="L83" s="172">
        <f t="shared" si="34"/>
        <v>1.9799999999999998E-2</v>
      </c>
      <c r="M83" s="62">
        <f t="shared" si="26"/>
        <v>9.7415999999999983</v>
      </c>
      <c r="N83" s="62">
        <f t="shared" si="20"/>
        <v>7.8011999999999997</v>
      </c>
      <c r="O83" s="173">
        <f t="shared" si="27"/>
        <v>8.2961999999999989</v>
      </c>
      <c r="P83" s="172">
        <f t="shared" si="35"/>
        <v>9.9989999999999992E-3</v>
      </c>
      <c r="Q83" s="62">
        <f t="shared" si="28"/>
        <v>4.9195079999999995</v>
      </c>
      <c r="R83" s="189">
        <f t="shared" si="21"/>
        <v>3.9396059999999995</v>
      </c>
      <c r="S83" s="173">
        <f t="shared" si="29"/>
        <v>4.1895809999999996</v>
      </c>
    </row>
    <row r="84" spans="1:19">
      <c r="A84" s="36">
        <f t="shared" si="30"/>
        <v>83</v>
      </c>
      <c r="B84" s="37">
        <v>21600</v>
      </c>
      <c r="C84" s="37">
        <f t="shared" si="22"/>
        <v>6</v>
      </c>
      <c r="D84" s="37">
        <f t="shared" si="23"/>
        <v>498</v>
      </c>
      <c r="E84" s="37">
        <f t="shared" si="24"/>
        <v>399</v>
      </c>
      <c r="F84" s="37">
        <f t="shared" si="36"/>
        <v>424</v>
      </c>
      <c r="G84" s="37">
        <f t="shared" si="25"/>
        <v>5</v>
      </c>
      <c r="H84" s="37">
        <f t="shared" si="25"/>
        <v>5</v>
      </c>
      <c r="I84" s="194">
        <f t="shared" si="31"/>
        <v>1.2195121951219523E-2</v>
      </c>
      <c r="J84" s="194">
        <f t="shared" si="32"/>
        <v>1.2690355329949332E-2</v>
      </c>
      <c r="K84" s="160">
        <f t="shared" si="33"/>
        <v>1.193317422434359E-2</v>
      </c>
      <c r="L84" s="172">
        <f t="shared" si="34"/>
        <v>1.9799999999999998E-2</v>
      </c>
      <c r="M84" s="62">
        <f t="shared" si="26"/>
        <v>9.8603999999999985</v>
      </c>
      <c r="N84" s="62">
        <f t="shared" si="20"/>
        <v>7.900199999999999</v>
      </c>
      <c r="O84" s="173">
        <f t="shared" si="27"/>
        <v>8.3951999999999991</v>
      </c>
      <c r="P84" s="172">
        <f t="shared" si="35"/>
        <v>9.9989999999999992E-3</v>
      </c>
      <c r="Q84" s="62">
        <f t="shared" si="28"/>
        <v>4.9795019999999992</v>
      </c>
      <c r="R84" s="189">
        <f t="shared" si="21"/>
        <v>3.9896009999999995</v>
      </c>
      <c r="S84" s="173">
        <f t="shared" si="29"/>
        <v>4.2395759999999996</v>
      </c>
    </row>
    <row r="85" spans="1:19" ht="15" customHeight="1">
      <c r="A85" s="36">
        <f t="shared" si="30"/>
        <v>84</v>
      </c>
      <c r="B85" s="37">
        <v>21600</v>
      </c>
      <c r="C85" s="37">
        <f t="shared" si="22"/>
        <v>6</v>
      </c>
      <c r="D85" s="37">
        <f t="shared" si="23"/>
        <v>504</v>
      </c>
      <c r="E85" s="37">
        <f t="shared" si="24"/>
        <v>404</v>
      </c>
      <c r="F85" s="37">
        <f t="shared" si="36"/>
        <v>429</v>
      </c>
      <c r="G85" s="37">
        <f t="shared" si="25"/>
        <v>5</v>
      </c>
      <c r="H85" s="37">
        <f t="shared" si="25"/>
        <v>5</v>
      </c>
      <c r="I85" s="194">
        <f t="shared" si="31"/>
        <v>1.2048192771084265E-2</v>
      </c>
      <c r="J85" s="194">
        <f t="shared" si="32"/>
        <v>1.2531328320801949E-2</v>
      </c>
      <c r="K85" s="160">
        <f t="shared" si="33"/>
        <v>1.1792452830188704E-2</v>
      </c>
      <c r="L85" s="172">
        <f t="shared" si="34"/>
        <v>1.9799999999999998E-2</v>
      </c>
      <c r="M85" s="62">
        <f t="shared" si="26"/>
        <v>9.9791999999999987</v>
      </c>
      <c r="N85" s="62">
        <f t="shared" si="20"/>
        <v>7.9991999999999992</v>
      </c>
      <c r="O85" s="173">
        <f t="shared" si="27"/>
        <v>8.4941999999999993</v>
      </c>
      <c r="P85" s="172">
        <f t="shared" si="35"/>
        <v>9.9989999999999992E-3</v>
      </c>
      <c r="Q85" s="62">
        <f t="shared" si="28"/>
        <v>5.0394959999999998</v>
      </c>
      <c r="R85" s="189">
        <f t="shared" si="21"/>
        <v>4.0395959999999995</v>
      </c>
      <c r="S85" s="173">
        <f t="shared" si="29"/>
        <v>4.2895709999999996</v>
      </c>
    </row>
    <row r="86" spans="1:19">
      <c r="A86" s="36">
        <f t="shared" si="30"/>
        <v>85</v>
      </c>
      <c r="B86" s="37">
        <v>21600</v>
      </c>
      <c r="C86" s="37">
        <f t="shared" si="22"/>
        <v>6</v>
      </c>
      <c r="D86" s="37">
        <f t="shared" si="23"/>
        <v>510</v>
      </c>
      <c r="E86" s="37">
        <f t="shared" si="24"/>
        <v>408</v>
      </c>
      <c r="F86" s="37">
        <f t="shared" si="36"/>
        <v>434</v>
      </c>
      <c r="G86" s="37">
        <f t="shared" si="25"/>
        <v>4</v>
      </c>
      <c r="H86" s="37">
        <f t="shared" si="25"/>
        <v>5</v>
      </c>
      <c r="I86" s="194">
        <f t="shared" si="31"/>
        <v>1.1904761904761862E-2</v>
      </c>
      <c r="J86" s="194">
        <f t="shared" si="32"/>
        <v>9.9009900990099098E-3</v>
      </c>
      <c r="K86" s="160">
        <f t="shared" si="33"/>
        <v>1.1655011655011593E-2</v>
      </c>
      <c r="L86" s="172">
        <f t="shared" si="34"/>
        <v>1.9799999999999998E-2</v>
      </c>
      <c r="M86" s="62">
        <f t="shared" si="26"/>
        <v>10.097999999999999</v>
      </c>
      <c r="N86" s="62">
        <f t="shared" si="20"/>
        <v>8.0783999999999985</v>
      </c>
      <c r="O86" s="173">
        <f t="shared" si="27"/>
        <v>8.5931999999999995</v>
      </c>
      <c r="P86" s="172">
        <f t="shared" si="35"/>
        <v>9.9989999999999992E-3</v>
      </c>
      <c r="Q86" s="62">
        <f t="shared" si="28"/>
        <v>5.0994899999999994</v>
      </c>
      <c r="R86" s="189">
        <f t="shared" si="21"/>
        <v>4.0795919999999999</v>
      </c>
      <c r="S86" s="173">
        <f t="shared" si="29"/>
        <v>4.3395659999999996</v>
      </c>
    </row>
    <row r="87" spans="1:19">
      <c r="A87" s="36">
        <f t="shared" si="30"/>
        <v>86</v>
      </c>
      <c r="B87" s="37">
        <v>21600</v>
      </c>
      <c r="C87" s="37">
        <f t="shared" si="22"/>
        <v>6</v>
      </c>
      <c r="D87" s="37">
        <f t="shared" si="23"/>
        <v>516</v>
      </c>
      <c r="E87" s="37">
        <f t="shared" si="24"/>
        <v>413</v>
      </c>
      <c r="F87" s="37">
        <f t="shared" si="36"/>
        <v>439</v>
      </c>
      <c r="G87" s="37">
        <f t="shared" si="25"/>
        <v>5</v>
      </c>
      <c r="H87" s="37">
        <f t="shared" si="25"/>
        <v>5</v>
      </c>
      <c r="I87" s="194">
        <f t="shared" si="31"/>
        <v>1.1764705882352899E-2</v>
      </c>
      <c r="J87" s="194">
        <f t="shared" si="32"/>
        <v>1.225490196078427E-2</v>
      </c>
      <c r="K87" s="160">
        <f t="shared" si="33"/>
        <v>1.1520737327188835E-2</v>
      </c>
      <c r="L87" s="172">
        <f t="shared" si="34"/>
        <v>1.9799999999999998E-2</v>
      </c>
      <c r="M87" s="62">
        <f t="shared" si="26"/>
        <v>10.216799999999999</v>
      </c>
      <c r="N87" s="62">
        <f t="shared" si="20"/>
        <v>8.1773999999999987</v>
      </c>
      <c r="O87" s="173">
        <f t="shared" si="27"/>
        <v>8.6921999999999997</v>
      </c>
      <c r="P87" s="172">
        <f t="shared" si="35"/>
        <v>9.9989999999999992E-3</v>
      </c>
      <c r="Q87" s="62">
        <f t="shared" si="28"/>
        <v>5.159484</v>
      </c>
      <c r="R87" s="189">
        <f t="shared" si="21"/>
        <v>4.1295869999999999</v>
      </c>
      <c r="S87" s="173">
        <f t="shared" si="29"/>
        <v>4.3895609999999996</v>
      </c>
    </row>
    <row r="88" spans="1:19">
      <c r="A88" s="36">
        <f t="shared" si="30"/>
        <v>87</v>
      </c>
      <c r="B88" s="37">
        <v>21600</v>
      </c>
      <c r="C88" s="37">
        <f t="shared" si="22"/>
        <v>6</v>
      </c>
      <c r="D88" s="37">
        <f t="shared" si="23"/>
        <v>522</v>
      </c>
      <c r="E88" s="37">
        <f t="shared" si="24"/>
        <v>418</v>
      </c>
      <c r="F88" s="37">
        <f t="shared" si="36"/>
        <v>444</v>
      </c>
      <c r="G88" s="37">
        <f t="shared" si="25"/>
        <v>5</v>
      </c>
      <c r="H88" s="37">
        <f t="shared" si="25"/>
        <v>5</v>
      </c>
      <c r="I88" s="194">
        <f t="shared" si="31"/>
        <v>1.1627906976744207E-2</v>
      </c>
      <c r="J88" s="194">
        <f t="shared" si="32"/>
        <v>1.2106537530266248E-2</v>
      </c>
      <c r="K88" s="160">
        <f t="shared" si="33"/>
        <v>1.1389521640091216E-2</v>
      </c>
      <c r="L88" s="172">
        <f t="shared" si="34"/>
        <v>1.9799999999999998E-2</v>
      </c>
      <c r="M88" s="62">
        <f t="shared" si="26"/>
        <v>10.335599999999999</v>
      </c>
      <c r="N88" s="62">
        <f t="shared" si="20"/>
        <v>8.2763999999999989</v>
      </c>
      <c r="O88" s="173">
        <f t="shared" si="27"/>
        <v>8.7911999999999999</v>
      </c>
      <c r="P88" s="172">
        <f t="shared" si="35"/>
        <v>9.9989999999999992E-3</v>
      </c>
      <c r="Q88" s="62">
        <f t="shared" si="28"/>
        <v>5.2194779999999996</v>
      </c>
      <c r="R88" s="189">
        <f t="shared" si="21"/>
        <v>4.1795819999999999</v>
      </c>
      <c r="S88" s="173">
        <f t="shared" si="29"/>
        <v>4.4395559999999996</v>
      </c>
    </row>
    <row r="89" spans="1:19">
      <c r="A89" s="36">
        <f t="shared" si="30"/>
        <v>88</v>
      </c>
      <c r="B89" s="37">
        <v>21600</v>
      </c>
      <c r="C89" s="37">
        <f t="shared" si="22"/>
        <v>6</v>
      </c>
      <c r="D89" s="37">
        <f t="shared" si="23"/>
        <v>528</v>
      </c>
      <c r="E89" s="37">
        <f t="shared" si="24"/>
        <v>423</v>
      </c>
      <c r="F89" s="37">
        <f t="shared" si="36"/>
        <v>449</v>
      </c>
      <c r="G89" s="37">
        <f t="shared" si="25"/>
        <v>5</v>
      </c>
      <c r="H89" s="37">
        <f t="shared" si="25"/>
        <v>5</v>
      </c>
      <c r="I89" s="194">
        <f t="shared" si="31"/>
        <v>1.1494252873563315E-2</v>
      </c>
      <c r="J89" s="194">
        <f t="shared" si="32"/>
        <v>1.1961722488038173E-2</v>
      </c>
      <c r="K89" s="160">
        <f t="shared" si="33"/>
        <v>1.1261261261261257E-2</v>
      </c>
      <c r="L89" s="172">
        <f t="shared" si="34"/>
        <v>1.9799999999999998E-2</v>
      </c>
      <c r="M89" s="62">
        <f t="shared" si="26"/>
        <v>10.4544</v>
      </c>
      <c r="N89" s="62">
        <f t="shared" si="20"/>
        <v>8.3753999999999991</v>
      </c>
      <c r="O89" s="173">
        <f t="shared" si="27"/>
        <v>8.8901999999999983</v>
      </c>
      <c r="P89" s="172">
        <f t="shared" si="35"/>
        <v>9.9989999999999992E-3</v>
      </c>
      <c r="Q89" s="62">
        <f t="shared" si="28"/>
        <v>5.2794719999999993</v>
      </c>
      <c r="R89" s="189">
        <f t="shared" si="21"/>
        <v>4.2295769999999999</v>
      </c>
      <c r="S89" s="173">
        <f t="shared" si="29"/>
        <v>4.4895509999999996</v>
      </c>
    </row>
    <row r="90" spans="1:19">
      <c r="A90" s="36">
        <f t="shared" si="30"/>
        <v>89</v>
      </c>
      <c r="B90" s="37">
        <v>21600</v>
      </c>
      <c r="C90" s="37">
        <f t="shared" si="22"/>
        <v>6</v>
      </c>
      <c r="D90" s="37">
        <f t="shared" si="23"/>
        <v>534</v>
      </c>
      <c r="E90" s="37">
        <f t="shared" si="24"/>
        <v>428</v>
      </c>
      <c r="F90" s="37">
        <f t="shared" si="36"/>
        <v>454</v>
      </c>
      <c r="G90" s="37">
        <f t="shared" si="25"/>
        <v>5</v>
      </c>
      <c r="H90" s="37">
        <f t="shared" si="25"/>
        <v>5</v>
      </c>
      <c r="I90" s="194">
        <f t="shared" si="31"/>
        <v>1.1363636363636465E-2</v>
      </c>
      <c r="J90" s="194">
        <f t="shared" si="32"/>
        <v>1.1820330969267046E-2</v>
      </c>
      <c r="K90" s="160">
        <f t="shared" si="33"/>
        <v>1.1135857461024523E-2</v>
      </c>
      <c r="L90" s="172">
        <f t="shared" si="34"/>
        <v>1.9799999999999998E-2</v>
      </c>
      <c r="M90" s="62">
        <f t="shared" si="26"/>
        <v>10.573199999999998</v>
      </c>
      <c r="N90" s="62">
        <f t="shared" si="20"/>
        <v>8.4743999999999993</v>
      </c>
      <c r="O90" s="173">
        <f t="shared" si="27"/>
        <v>8.9891999999999985</v>
      </c>
      <c r="P90" s="172">
        <f t="shared" si="35"/>
        <v>9.9989999999999992E-3</v>
      </c>
      <c r="Q90" s="62">
        <f t="shared" si="28"/>
        <v>5.3394659999999998</v>
      </c>
      <c r="R90" s="189">
        <f t="shared" si="21"/>
        <v>4.2795719999999999</v>
      </c>
      <c r="S90" s="173">
        <f t="shared" si="29"/>
        <v>4.5395459999999996</v>
      </c>
    </row>
    <row r="91" spans="1:19">
      <c r="A91" s="36">
        <f t="shared" si="30"/>
        <v>90</v>
      </c>
      <c r="B91" s="37">
        <v>21600</v>
      </c>
      <c r="C91" s="37">
        <f t="shared" si="22"/>
        <v>6</v>
      </c>
      <c r="D91" s="37">
        <f t="shared" si="23"/>
        <v>540</v>
      </c>
      <c r="E91" s="37">
        <f t="shared" si="24"/>
        <v>432</v>
      </c>
      <c r="F91" s="37">
        <f t="shared" si="36"/>
        <v>459</v>
      </c>
      <c r="G91" s="37">
        <f t="shared" si="25"/>
        <v>4</v>
      </c>
      <c r="H91" s="37">
        <f t="shared" si="25"/>
        <v>5</v>
      </c>
      <c r="I91" s="194">
        <f t="shared" si="31"/>
        <v>1.1235955056179803E-2</v>
      </c>
      <c r="J91" s="194">
        <f t="shared" si="32"/>
        <v>9.3457943925232545E-3</v>
      </c>
      <c r="K91" s="160">
        <f t="shared" si="33"/>
        <v>1.1013215859030812E-2</v>
      </c>
      <c r="L91" s="172">
        <f t="shared" si="34"/>
        <v>1.9799999999999998E-2</v>
      </c>
      <c r="M91" s="62">
        <f t="shared" si="26"/>
        <v>10.691999999999998</v>
      </c>
      <c r="N91" s="62">
        <f t="shared" si="20"/>
        <v>8.5535999999999994</v>
      </c>
      <c r="O91" s="173">
        <f t="shared" si="27"/>
        <v>9.0881999999999987</v>
      </c>
      <c r="P91" s="172">
        <f t="shared" si="35"/>
        <v>9.9989999999999992E-3</v>
      </c>
      <c r="Q91" s="62">
        <f t="shared" si="28"/>
        <v>5.3994599999999995</v>
      </c>
      <c r="R91" s="189">
        <f t="shared" si="21"/>
        <v>4.3195679999999994</v>
      </c>
      <c r="S91" s="173">
        <f t="shared" si="29"/>
        <v>4.5895409999999996</v>
      </c>
    </row>
    <row r="92" spans="1:19">
      <c r="A92" s="36">
        <f t="shared" si="30"/>
        <v>91</v>
      </c>
      <c r="B92" s="37">
        <v>21600</v>
      </c>
      <c r="C92" s="37">
        <f t="shared" si="22"/>
        <v>6</v>
      </c>
      <c r="D92" s="37">
        <f t="shared" si="23"/>
        <v>546</v>
      </c>
      <c r="E92" s="37">
        <f t="shared" si="24"/>
        <v>437</v>
      </c>
      <c r="F92" s="37">
        <f t="shared" si="36"/>
        <v>465</v>
      </c>
      <c r="G92" s="37">
        <f t="shared" si="25"/>
        <v>5</v>
      </c>
      <c r="H92" s="37">
        <f t="shared" si="25"/>
        <v>6</v>
      </c>
      <c r="I92" s="194">
        <f t="shared" si="31"/>
        <v>1.1111111111111072E-2</v>
      </c>
      <c r="J92" s="194">
        <f t="shared" si="32"/>
        <v>1.1574074074074181E-2</v>
      </c>
      <c r="K92" s="160">
        <f t="shared" si="33"/>
        <v>1.3071895424836555E-2</v>
      </c>
      <c r="L92" s="172">
        <f t="shared" si="34"/>
        <v>1.9799999999999998E-2</v>
      </c>
      <c r="M92" s="62">
        <f t="shared" si="26"/>
        <v>10.810799999999999</v>
      </c>
      <c r="N92" s="62">
        <f t="shared" si="20"/>
        <v>8.6525999999999996</v>
      </c>
      <c r="O92" s="173">
        <f t="shared" si="27"/>
        <v>9.206999999999999</v>
      </c>
      <c r="P92" s="172">
        <f t="shared" si="35"/>
        <v>9.9989999999999992E-3</v>
      </c>
      <c r="Q92" s="62">
        <f t="shared" si="28"/>
        <v>5.4594539999999991</v>
      </c>
      <c r="R92" s="189">
        <f t="shared" si="21"/>
        <v>4.3695629999999994</v>
      </c>
      <c r="S92" s="173">
        <f t="shared" si="29"/>
        <v>4.6495349999999993</v>
      </c>
    </row>
    <row r="93" spans="1:19" ht="15" customHeight="1">
      <c r="A93" s="36">
        <f t="shared" si="30"/>
        <v>92</v>
      </c>
      <c r="B93" s="37">
        <v>21600</v>
      </c>
      <c r="C93" s="37">
        <f t="shared" si="22"/>
        <v>6</v>
      </c>
      <c r="D93" s="37">
        <f t="shared" si="23"/>
        <v>552</v>
      </c>
      <c r="E93" s="37">
        <f t="shared" si="24"/>
        <v>442</v>
      </c>
      <c r="F93" s="37">
        <f t="shared" si="36"/>
        <v>499</v>
      </c>
      <c r="G93" s="37">
        <f t="shared" si="25"/>
        <v>5</v>
      </c>
      <c r="H93" s="37">
        <f t="shared" si="25"/>
        <v>34</v>
      </c>
      <c r="I93" s="194">
        <f t="shared" si="31"/>
        <v>1.098901098901095E-2</v>
      </c>
      <c r="J93" s="194">
        <f t="shared" si="32"/>
        <v>1.1441647597254079E-2</v>
      </c>
      <c r="K93" s="160">
        <f t="shared" si="33"/>
        <v>7.3118279569892364E-2</v>
      </c>
      <c r="L93" s="172">
        <f t="shared" si="34"/>
        <v>1.9799999999999998E-2</v>
      </c>
      <c r="M93" s="62">
        <f t="shared" si="26"/>
        <v>10.929599999999999</v>
      </c>
      <c r="N93" s="62">
        <f t="shared" si="20"/>
        <v>8.7515999999999998</v>
      </c>
      <c r="O93" s="173">
        <f t="shared" si="27"/>
        <v>9.8801999999999985</v>
      </c>
      <c r="P93" s="172">
        <f t="shared" si="35"/>
        <v>9.9989999999999992E-3</v>
      </c>
      <c r="Q93" s="62">
        <f t="shared" si="28"/>
        <v>5.5194479999999997</v>
      </c>
      <c r="R93" s="189">
        <f t="shared" si="21"/>
        <v>4.4195579999999994</v>
      </c>
      <c r="S93" s="173">
        <f t="shared" si="29"/>
        <v>4.9895009999999997</v>
      </c>
    </row>
    <row r="94" spans="1:19">
      <c r="A94" s="36">
        <f t="shared" si="30"/>
        <v>93</v>
      </c>
      <c r="B94" s="37">
        <v>21600</v>
      </c>
      <c r="C94" s="37">
        <f t="shared" si="22"/>
        <v>6</v>
      </c>
      <c r="D94" s="37">
        <f t="shared" si="23"/>
        <v>558</v>
      </c>
      <c r="E94" s="37">
        <f t="shared" si="24"/>
        <v>447</v>
      </c>
      <c r="F94" s="37">
        <f t="shared" si="36"/>
        <v>499</v>
      </c>
      <c r="G94" s="37">
        <f t="shared" si="25"/>
        <v>5</v>
      </c>
      <c r="H94" s="37">
        <f t="shared" si="25"/>
        <v>0</v>
      </c>
      <c r="I94" s="194">
        <f t="shared" si="31"/>
        <v>1.0869565217391353E-2</v>
      </c>
      <c r="J94" s="194">
        <f t="shared" si="32"/>
        <v>1.1312217194570096E-2</v>
      </c>
      <c r="K94" s="160">
        <f t="shared" si="33"/>
        <v>0</v>
      </c>
      <c r="L94" s="172">
        <f t="shared" si="34"/>
        <v>1.9799999999999998E-2</v>
      </c>
      <c r="M94" s="62">
        <f t="shared" si="26"/>
        <v>11.048399999999999</v>
      </c>
      <c r="N94" s="62">
        <f t="shared" si="20"/>
        <v>8.8506</v>
      </c>
      <c r="O94" s="173">
        <f t="shared" si="27"/>
        <v>9.8801999999999985</v>
      </c>
      <c r="P94" s="172">
        <f t="shared" si="35"/>
        <v>9.9989999999999992E-3</v>
      </c>
      <c r="Q94" s="62">
        <f t="shared" si="28"/>
        <v>5.5794419999999993</v>
      </c>
      <c r="R94" s="189">
        <f t="shared" si="21"/>
        <v>4.4695529999999994</v>
      </c>
      <c r="S94" s="173">
        <f t="shared" si="29"/>
        <v>4.9895009999999997</v>
      </c>
    </row>
    <row r="95" spans="1:19">
      <c r="A95" s="36">
        <f t="shared" si="30"/>
        <v>94</v>
      </c>
      <c r="B95" s="37">
        <v>21600</v>
      </c>
      <c r="C95" s="37">
        <f t="shared" si="22"/>
        <v>6</v>
      </c>
      <c r="D95" s="37">
        <f t="shared" si="23"/>
        <v>564</v>
      </c>
      <c r="E95" s="37">
        <f t="shared" si="24"/>
        <v>452</v>
      </c>
      <c r="F95" s="37">
        <f t="shared" si="36"/>
        <v>499</v>
      </c>
      <c r="G95" s="37">
        <f t="shared" si="25"/>
        <v>5</v>
      </c>
      <c r="H95" s="37">
        <f t="shared" si="25"/>
        <v>0</v>
      </c>
      <c r="I95" s="194">
        <f t="shared" si="31"/>
        <v>1.0752688172043001E-2</v>
      </c>
      <c r="J95" s="194">
        <f t="shared" si="32"/>
        <v>1.1185682326621871E-2</v>
      </c>
      <c r="K95" s="160">
        <f t="shared" si="33"/>
        <v>0</v>
      </c>
      <c r="L95" s="172">
        <f t="shared" si="34"/>
        <v>1.9799999999999998E-2</v>
      </c>
      <c r="M95" s="62">
        <f t="shared" si="26"/>
        <v>11.167199999999999</v>
      </c>
      <c r="N95" s="62">
        <f t="shared" si="20"/>
        <v>8.9495999999999984</v>
      </c>
      <c r="O95" s="173">
        <f t="shared" si="27"/>
        <v>9.8801999999999985</v>
      </c>
      <c r="P95" s="172">
        <f t="shared" si="35"/>
        <v>9.9989999999999992E-3</v>
      </c>
      <c r="Q95" s="62">
        <f t="shared" si="28"/>
        <v>5.6394359999999999</v>
      </c>
      <c r="R95" s="189">
        <f t="shared" si="21"/>
        <v>4.5195479999999995</v>
      </c>
      <c r="S95" s="173">
        <f t="shared" si="29"/>
        <v>4.9895009999999997</v>
      </c>
    </row>
    <row r="96" spans="1:19">
      <c r="A96" s="36">
        <f t="shared" si="30"/>
        <v>95</v>
      </c>
      <c r="B96" s="37">
        <v>21600</v>
      </c>
      <c r="C96" s="37">
        <f t="shared" si="22"/>
        <v>6</v>
      </c>
      <c r="D96" s="37">
        <f t="shared" si="23"/>
        <v>570</v>
      </c>
      <c r="E96" s="37">
        <f t="shared" si="24"/>
        <v>456</v>
      </c>
      <c r="F96" s="37">
        <f t="shared" si="36"/>
        <v>499</v>
      </c>
      <c r="G96" s="37">
        <f t="shared" si="25"/>
        <v>4</v>
      </c>
      <c r="H96" s="37">
        <f t="shared" si="25"/>
        <v>0</v>
      </c>
      <c r="I96" s="194">
        <f t="shared" si="31"/>
        <v>1.0638297872340496E-2</v>
      </c>
      <c r="J96" s="194">
        <f t="shared" si="32"/>
        <v>8.8495575221239076E-3</v>
      </c>
      <c r="K96" s="160">
        <f t="shared" si="33"/>
        <v>0</v>
      </c>
      <c r="L96" s="172">
        <f t="shared" si="34"/>
        <v>1.9799999999999998E-2</v>
      </c>
      <c r="M96" s="62">
        <f t="shared" si="26"/>
        <v>11.286</v>
      </c>
      <c r="N96" s="62">
        <f t="shared" si="20"/>
        <v>9.0287999999999986</v>
      </c>
      <c r="O96" s="173">
        <f t="shared" si="27"/>
        <v>9.8801999999999985</v>
      </c>
      <c r="P96" s="172">
        <f t="shared" si="35"/>
        <v>9.9989999999999992E-3</v>
      </c>
      <c r="Q96" s="62">
        <f t="shared" si="28"/>
        <v>5.6994299999999996</v>
      </c>
      <c r="R96" s="189">
        <f t="shared" si="21"/>
        <v>4.5595439999999998</v>
      </c>
      <c r="S96" s="173">
        <f t="shared" si="29"/>
        <v>4.9895009999999997</v>
      </c>
    </row>
    <row r="97" spans="1:19">
      <c r="A97" s="36">
        <f t="shared" si="30"/>
        <v>96</v>
      </c>
      <c r="B97" s="37">
        <v>21600</v>
      </c>
      <c r="C97" s="37">
        <f t="shared" si="22"/>
        <v>6</v>
      </c>
      <c r="D97" s="37">
        <f t="shared" si="23"/>
        <v>576</v>
      </c>
      <c r="E97" s="37">
        <f t="shared" si="24"/>
        <v>461</v>
      </c>
      <c r="F97" s="37">
        <f t="shared" si="36"/>
        <v>499</v>
      </c>
      <c r="G97" s="37">
        <f t="shared" si="25"/>
        <v>5</v>
      </c>
      <c r="H97" s="37">
        <f t="shared" si="25"/>
        <v>0</v>
      </c>
      <c r="I97" s="194">
        <f t="shared" si="31"/>
        <v>1.0526315789473717E-2</v>
      </c>
      <c r="J97" s="194">
        <f t="shared" si="32"/>
        <v>1.0964912280701844E-2</v>
      </c>
      <c r="K97" s="160">
        <f t="shared" si="33"/>
        <v>0</v>
      </c>
      <c r="L97" s="172">
        <f t="shared" si="34"/>
        <v>1.9799999999999998E-2</v>
      </c>
      <c r="M97" s="62">
        <f t="shared" si="26"/>
        <v>11.404799999999998</v>
      </c>
      <c r="N97" s="62">
        <f t="shared" si="20"/>
        <v>9.1277999999999988</v>
      </c>
      <c r="O97" s="173">
        <f t="shared" si="27"/>
        <v>9.8801999999999985</v>
      </c>
      <c r="P97" s="172">
        <f t="shared" si="35"/>
        <v>9.9989999999999992E-3</v>
      </c>
      <c r="Q97" s="62">
        <f t="shared" si="28"/>
        <v>5.7594239999999992</v>
      </c>
      <c r="R97" s="189">
        <f t="shared" si="21"/>
        <v>4.6095389999999998</v>
      </c>
      <c r="S97" s="173">
        <f t="shared" si="29"/>
        <v>4.9895009999999997</v>
      </c>
    </row>
    <row r="98" spans="1:19">
      <c r="A98" s="36">
        <f t="shared" si="30"/>
        <v>97</v>
      </c>
      <c r="B98" s="37">
        <v>21600</v>
      </c>
      <c r="C98" s="37">
        <f t="shared" si="22"/>
        <v>6</v>
      </c>
      <c r="D98" s="37">
        <f t="shared" si="23"/>
        <v>582</v>
      </c>
      <c r="E98" s="37">
        <f t="shared" si="24"/>
        <v>466</v>
      </c>
      <c r="F98" s="37">
        <f t="shared" si="36"/>
        <v>499</v>
      </c>
      <c r="G98" s="37">
        <f t="shared" si="25"/>
        <v>5</v>
      </c>
      <c r="H98" s="37">
        <f t="shared" si="25"/>
        <v>0</v>
      </c>
      <c r="I98" s="194">
        <f t="shared" si="31"/>
        <v>1.0416666666666741E-2</v>
      </c>
      <c r="J98" s="194">
        <f t="shared" si="32"/>
        <v>1.0845986984815648E-2</v>
      </c>
      <c r="K98" s="160">
        <f t="shared" si="33"/>
        <v>0</v>
      </c>
      <c r="L98" s="172">
        <f t="shared" si="34"/>
        <v>1.9799999999999998E-2</v>
      </c>
      <c r="M98" s="62">
        <f t="shared" si="26"/>
        <v>11.523599999999998</v>
      </c>
      <c r="N98" s="62">
        <f t="shared" ref="N98:N124" si="37">L98*E98</f>
        <v>9.226799999999999</v>
      </c>
      <c r="O98" s="173">
        <f t="shared" si="27"/>
        <v>9.8801999999999985</v>
      </c>
      <c r="P98" s="172">
        <f t="shared" si="35"/>
        <v>9.9989999999999992E-3</v>
      </c>
      <c r="Q98" s="62">
        <f t="shared" si="28"/>
        <v>5.8194179999999998</v>
      </c>
      <c r="R98" s="189">
        <f t="shared" ref="R98:R124" si="38">P98*E98</f>
        <v>4.6595339999999998</v>
      </c>
      <c r="S98" s="173">
        <f t="shared" si="29"/>
        <v>4.9895009999999997</v>
      </c>
    </row>
    <row r="99" spans="1:19">
      <c r="A99" s="36">
        <f t="shared" si="30"/>
        <v>98</v>
      </c>
      <c r="B99" s="37">
        <v>21600</v>
      </c>
      <c r="C99" s="37">
        <f t="shared" si="22"/>
        <v>6</v>
      </c>
      <c r="D99" s="37">
        <f t="shared" si="23"/>
        <v>588</v>
      </c>
      <c r="E99" s="37">
        <f t="shared" si="24"/>
        <v>471</v>
      </c>
      <c r="F99" s="37">
        <f t="shared" si="36"/>
        <v>499</v>
      </c>
      <c r="G99" s="37">
        <f t="shared" si="25"/>
        <v>5</v>
      </c>
      <c r="H99" s="37">
        <f t="shared" si="25"/>
        <v>0</v>
      </c>
      <c r="I99" s="194">
        <f t="shared" si="31"/>
        <v>1.0309278350515427E-2</v>
      </c>
      <c r="J99" s="194">
        <f t="shared" si="32"/>
        <v>1.0729613733905685E-2</v>
      </c>
      <c r="K99" s="160">
        <f t="shared" si="33"/>
        <v>0</v>
      </c>
      <c r="L99" s="172">
        <f t="shared" si="34"/>
        <v>1.9799999999999998E-2</v>
      </c>
      <c r="M99" s="62">
        <f t="shared" si="26"/>
        <v>11.642399999999999</v>
      </c>
      <c r="N99" s="62">
        <f t="shared" si="37"/>
        <v>9.3257999999999992</v>
      </c>
      <c r="O99" s="173">
        <f t="shared" si="27"/>
        <v>9.8801999999999985</v>
      </c>
      <c r="P99" s="172">
        <f t="shared" si="35"/>
        <v>9.9989999999999992E-3</v>
      </c>
      <c r="Q99" s="62">
        <f t="shared" si="28"/>
        <v>5.8794119999999994</v>
      </c>
      <c r="R99" s="189">
        <f t="shared" si="38"/>
        <v>4.7095289999999999</v>
      </c>
      <c r="S99" s="173">
        <f t="shared" si="29"/>
        <v>4.9895009999999997</v>
      </c>
    </row>
    <row r="100" spans="1:19">
      <c r="A100" s="36">
        <f t="shared" si="30"/>
        <v>99</v>
      </c>
      <c r="B100" s="37">
        <v>21600</v>
      </c>
      <c r="C100" s="37">
        <f t="shared" si="22"/>
        <v>6</v>
      </c>
      <c r="D100" s="37">
        <f t="shared" si="23"/>
        <v>594</v>
      </c>
      <c r="E100" s="37">
        <f t="shared" si="24"/>
        <v>476</v>
      </c>
      <c r="F100" s="37">
        <f t="shared" si="36"/>
        <v>499</v>
      </c>
      <c r="G100" s="37">
        <f t="shared" si="25"/>
        <v>5</v>
      </c>
      <c r="H100" s="37">
        <f t="shared" si="25"/>
        <v>0</v>
      </c>
      <c r="I100" s="194">
        <f t="shared" si="31"/>
        <v>1.0204081632652962E-2</v>
      </c>
      <c r="J100" s="194">
        <f t="shared" si="32"/>
        <v>1.0615711252653925E-2</v>
      </c>
      <c r="K100" s="160">
        <f t="shared" si="33"/>
        <v>0</v>
      </c>
      <c r="L100" s="172">
        <f t="shared" si="34"/>
        <v>1.9799999999999998E-2</v>
      </c>
      <c r="M100" s="62">
        <f t="shared" si="26"/>
        <v>11.761199999999999</v>
      </c>
      <c r="N100" s="62">
        <f t="shared" si="37"/>
        <v>9.4247999999999994</v>
      </c>
      <c r="O100" s="173">
        <f t="shared" si="27"/>
        <v>9.8801999999999985</v>
      </c>
      <c r="P100" s="172">
        <f t="shared" si="35"/>
        <v>9.9989999999999992E-3</v>
      </c>
      <c r="Q100" s="62">
        <f t="shared" si="28"/>
        <v>5.939406</v>
      </c>
      <c r="R100" s="189">
        <f t="shared" si="38"/>
        <v>4.7595239999999999</v>
      </c>
      <c r="S100" s="173">
        <f t="shared" si="29"/>
        <v>4.9895009999999997</v>
      </c>
    </row>
    <row r="101" spans="1:19" ht="15" customHeight="1">
      <c r="A101" s="36">
        <f t="shared" si="30"/>
        <v>100</v>
      </c>
      <c r="B101" s="37">
        <v>21600</v>
      </c>
      <c r="C101" s="37">
        <f t="shared" si="22"/>
        <v>6</v>
      </c>
      <c r="D101" s="37">
        <f t="shared" si="23"/>
        <v>600</v>
      </c>
      <c r="E101" s="37">
        <f t="shared" si="24"/>
        <v>480</v>
      </c>
      <c r="F101" s="37">
        <f t="shared" si="36"/>
        <v>499</v>
      </c>
      <c r="G101" s="37">
        <f t="shared" si="25"/>
        <v>4</v>
      </c>
      <c r="H101" s="37">
        <f t="shared" si="25"/>
        <v>0</v>
      </c>
      <c r="I101" s="194">
        <f t="shared" si="31"/>
        <v>1.0101010101010166E-2</v>
      </c>
      <c r="J101" s="194">
        <f t="shared" si="32"/>
        <v>8.4033613445377853E-3</v>
      </c>
      <c r="K101" s="160">
        <f t="shared" si="33"/>
        <v>0</v>
      </c>
      <c r="L101" s="172">
        <f t="shared" si="34"/>
        <v>1.9799999999999998E-2</v>
      </c>
      <c r="M101" s="62">
        <f t="shared" si="26"/>
        <v>11.879999999999999</v>
      </c>
      <c r="N101" s="62">
        <f t="shared" si="37"/>
        <v>9.5039999999999996</v>
      </c>
      <c r="O101" s="173">
        <f t="shared" si="27"/>
        <v>9.8801999999999985</v>
      </c>
      <c r="P101" s="172">
        <f t="shared" si="35"/>
        <v>9.9989999999999992E-3</v>
      </c>
      <c r="Q101" s="62">
        <f t="shared" si="28"/>
        <v>5.9993999999999996</v>
      </c>
      <c r="R101" s="189">
        <f t="shared" si="38"/>
        <v>4.7995199999999993</v>
      </c>
      <c r="S101" s="173">
        <f t="shared" si="29"/>
        <v>4.9895009999999997</v>
      </c>
    </row>
    <row r="102" spans="1:19">
      <c r="A102" s="36">
        <f t="shared" si="30"/>
        <v>101</v>
      </c>
      <c r="B102" s="37">
        <v>21600</v>
      </c>
      <c r="C102" s="37">
        <f t="shared" si="22"/>
        <v>6</v>
      </c>
      <c r="D102" s="37">
        <f t="shared" si="23"/>
        <v>606</v>
      </c>
      <c r="E102" s="37">
        <f t="shared" si="24"/>
        <v>485</v>
      </c>
      <c r="F102" s="37">
        <f t="shared" si="36"/>
        <v>499</v>
      </c>
      <c r="G102" s="37">
        <f t="shared" si="25"/>
        <v>5</v>
      </c>
      <c r="H102" s="37">
        <f t="shared" si="25"/>
        <v>0</v>
      </c>
      <c r="I102" s="194">
        <f t="shared" si="31"/>
        <v>1.0000000000000009E-2</v>
      </c>
      <c r="J102" s="194">
        <f t="shared" si="32"/>
        <v>1.0416666666666741E-2</v>
      </c>
      <c r="K102" s="160">
        <f t="shared" si="33"/>
        <v>0</v>
      </c>
      <c r="L102" s="172">
        <f t="shared" si="34"/>
        <v>1.9799999999999998E-2</v>
      </c>
      <c r="M102" s="62">
        <f t="shared" si="26"/>
        <v>11.998799999999999</v>
      </c>
      <c r="N102" s="62">
        <f t="shared" si="37"/>
        <v>9.6029999999999998</v>
      </c>
      <c r="O102" s="173">
        <f t="shared" si="27"/>
        <v>9.8801999999999985</v>
      </c>
      <c r="P102" s="172">
        <f t="shared" si="35"/>
        <v>9.9989999999999992E-3</v>
      </c>
      <c r="Q102" s="62">
        <f t="shared" si="28"/>
        <v>6.0593939999999993</v>
      </c>
      <c r="R102" s="189">
        <f t="shared" si="38"/>
        <v>4.8495149999999994</v>
      </c>
      <c r="S102" s="173">
        <f t="shared" si="29"/>
        <v>4.9895009999999997</v>
      </c>
    </row>
    <row r="103" spans="1:19">
      <c r="A103" s="36">
        <f t="shared" si="30"/>
        <v>102</v>
      </c>
      <c r="B103" s="37">
        <v>21600</v>
      </c>
      <c r="C103" s="37">
        <f t="shared" si="22"/>
        <v>6</v>
      </c>
      <c r="D103" s="37">
        <f t="shared" si="23"/>
        <v>612</v>
      </c>
      <c r="E103" s="37">
        <f t="shared" si="24"/>
        <v>490</v>
      </c>
      <c r="F103" s="37">
        <f t="shared" si="36"/>
        <v>499</v>
      </c>
      <c r="G103" s="37">
        <f t="shared" si="25"/>
        <v>5</v>
      </c>
      <c r="H103" s="37">
        <f t="shared" si="25"/>
        <v>0</v>
      </c>
      <c r="I103" s="194">
        <f t="shared" si="31"/>
        <v>9.9009900990099098E-3</v>
      </c>
      <c r="J103" s="194">
        <f t="shared" si="32"/>
        <v>1.0309278350515427E-2</v>
      </c>
      <c r="K103" s="160">
        <f t="shared" si="33"/>
        <v>0</v>
      </c>
      <c r="L103" s="172">
        <f t="shared" si="34"/>
        <v>1.9799999999999998E-2</v>
      </c>
      <c r="M103" s="62">
        <f t="shared" si="26"/>
        <v>12.117599999999999</v>
      </c>
      <c r="N103" s="62">
        <f t="shared" si="37"/>
        <v>9.702</v>
      </c>
      <c r="O103" s="173">
        <f t="shared" si="27"/>
        <v>9.8801999999999985</v>
      </c>
      <c r="P103" s="172">
        <f t="shared" si="35"/>
        <v>9.9989999999999992E-3</v>
      </c>
      <c r="Q103" s="62">
        <f t="shared" si="28"/>
        <v>6.1193879999999998</v>
      </c>
      <c r="R103" s="189">
        <f t="shared" si="38"/>
        <v>4.8995099999999994</v>
      </c>
      <c r="S103" s="173">
        <f t="shared" si="29"/>
        <v>4.9895009999999997</v>
      </c>
    </row>
    <row r="104" spans="1:19">
      <c r="A104" s="36">
        <f t="shared" si="30"/>
        <v>103</v>
      </c>
      <c r="B104" s="37">
        <v>21600</v>
      </c>
      <c r="C104" s="37">
        <f t="shared" si="22"/>
        <v>6</v>
      </c>
      <c r="D104" s="37">
        <f t="shared" si="23"/>
        <v>618</v>
      </c>
      <c r="E104" s="37">
        <f t="shared" si="24"/>
        <v>495</v>
      </c>
      <c r="F104" s="37">
        <f t="shared" si="36"/>
        <v>499</v>
      </c>
      <c r="G104" s="37">
        <f t="shared" si="25"/>
        <v>5</v>
      </c>
      <c r="H104" s="37">
        <f t="shared" si="25"/>
        <v>0</v>
      </c>
      <c r="I104" s="194">
        <f t="shared" si="31"/>
        <v>9.8039215686274161E-3</v>
      </c>
      <c r="J104" s="194">
        <f t="shared" si="32"/>
        <v>1.0204081632652962E-2</v>
      </c>
      <c r="K104" s="160">
        <f t="shared" si="33"/>
        <v>0</v>
      </c>
      <c r="L104" s="172">
        <f t="shared" si="34"/>
        <v>1.9799999999999998E-2</v>
      </c>
      <c r="M104" s="62">
        <f t="shared" si="26"/>
        <v>12.2364</v>
      </c>
      <c r="N104" s="62">
        <f t="shared" si="37"/>
        <v>9.8009999999999984</v>
      </c>
      <c r="O104" s="173">
        <f t="shared" si="27"/>
        <v>9.8801999999999985</v>
      </c>
      <c r="P104" s="172">
        <f t="shared" si="35"/>
        <v>9.9989999999999992E-3</v>
      </c>
      <c r="Q104" s="62">
        <f t="shared" si="28"/>
        <v>6.1793819999999995</v>
      </c>
      <c r="R104" s="189">
        <f t="shared" si="38"/>
        <v>4.9495049999999994</v>
      </c>
      <c r="S104" s="173">
        <f t="shared" si="29"/>
        <v>4.9895009999999997</v>
      </c>
    </row>
    <row r="105" spans="1:19">
      <c r="A105" s="36">
        <f t="shared" si="30"/>
        <v>104</v>
      </c>
      <c r="B105" s="37">
        <v>21600</v>
      </c>
      <c r="C105" s="37">
        <f t="shared" si="22"/>
        <v>6</v>
      </c>
      <c r="D105" s="37">
        <f t="shared" si="23"/>
        <v>624</v>
      </c>
      <c r="E105" s="37">
        <f t="shared" si="24"/>
        <v>500</v>
      </c>
      <c r="F105" s="37">
        <f t="shared" si="36"/>
        <v>500</v>
      </c>
      <c r="G105" s="37">
        <f t="shared" si="25"/>
        <v>5</v>
      </c>
      <c r="H105" s="37">
        <f t="shared" si="25"/>
        <v>1</v>
      </c>
      <c r="I105" s="194">
        <f t="shared" si="31"/>
        <v>9.7087378640776656E-3</v>
      </c>
      <c r="J105" s="194">
        <f t="shared" si="32"/>
        <v>1.0101010101010166E-2</v>
      </c>
      <c r="K105" s="160">
        <f t="shared" si="33"/>
        <v>2.0040080160319551E-3</v>
      </c>
      <c r="L105" s="172">
        <f t="shared" si="34"/>
        <v>1.9799999999999998E-2</v>
      </c>
      <c r="M105" s="62">
        <f t="shared" si="26"/>
        <v>12.355199999999998</v>
      </c>
      <c r="N105" s="62">
        <f t="shared" si="37"/>
        <v>9.8999999999999986</v>
      </c>
      <c r="O105" s="173">
        <f t="shared" si="27"/>
        <v>9.8999999999999986</v>
      </c>
      <c r="P105" s="172">
        <f t="shared" si="35"/>
        <v>9.9989999999999992E-3</v>
      </c>
      <c r="Q105" s="62">
        <f t="shared" si="28"/>
        <v>6.2393759999999991</v>
      </c>
      <c r="R105" s="189">
        <f t="shared" si="38"/>
        <v>4.9994999999999994</v>
      </c>
      <c r="S105" s="173">
        <f t="shared" si="29"/>
        <v>4.9994999999999994</v>
      </c>
    </row>
    <row r="106" spans="1:19">
      <c r="A106" s="36">
        <f t="shared" si="30"/>
        <v>105</v>
      </c>
      <c r="B106" s="37">
        <v>21600</v>
      </c>
      <c r="C106" s="37">
        <f t="shared" si="22"/>
        <v>6</v>
      </c>
      <c r="D106" s="37">
        <f t="shared" si="23"/>
        <v>630</v>
      </c>
      <c r="E106" s="37">
        <f t="shared" si="24"/>
        <v>504</v>
      </c>
      <c r="F106" s="37">
        <f t="shared" si="36"/>
        <v>504</v>
      </c>
      <c r="G106" s="37">
        <f t="shared" si="25"/>
        <v>4</v>
      </c>
      <c r="H106" s="37">
        <f t="shared" si="25"/>
        <v>4</v>
      </c>
      <c r="I106" s="194">
        <f t="shared" si="31"/>
        <v>9.6153846153845812E-3</v>
      </c>
      <c r="J106" s="194">
        <f t="shared" si="32"/>
        <v>8.0000000000000071E-3</v>
      </c>
      <c r="K106" s="160">
        <f t="shared" si="33"/>
        <v>8.0000000000000071E-3</v>
      </c>
      <c r="L106" s="172">
        <f t="shared" si="34"/>
        <v>1.9799999999999998E-2</v>
      </c>
      <c r="M106" s="62">
        <f t="shared" si="26"/>
        <v>12.473999999999998</v>
      </c>
      <c r="N106" s="62">
        <f t="shared" si="37"/>
        <v>9.9791999999999987</v>
      </c>
      <c r="O106" s="173">
        <f t="shared" si="27"/>
        <v>9.9791999999999987</v>
      </c>
      <c r="P106" s="172">
        <f t="shared" si="35"/>
        <v>9.9989999999999992E-3</v>
      </c>
      <c r="Q106" s="62">
        <f t="shared" si="28"/>
        <v>6.2993699999999997</v>
      </c>
      <c r="R106" s="189">
        <f t="shared" si="38"/>
        <v>5.0394959999999998</v>
      </c>
      <c r="S106" s="173">
        <f t="shared" si="29"/>
        <v>5.0394959999999998</v>
      </c>
    </row>
    <row r="107" spans="1:19">
      <c r="A107" s="36">
        <f t="shared" si="30"/>
        <v>106</v>
      </c>
      <c r="B107" s="37">
        <v>21600</v>
      </c>
      <c r="C107" s="37">
        <f t="shared" si="22"/>
        <v>6</v>
      </c>
      <c r="D107" s="37">
        <f t="shared" si="23"/>
        <v>636</v>
      </c>
      <c r="E107" s="37">
        <f t="shared" si="24"/>
        <v>509</v>
      </c>
      <c r="F107" s="37">
        <f t="shared" si="36"/>
        <v>509</v>
      </c>
      <c r="G107" s="37">
        <f t="shared" si="25"/>
        <v>5</v>
      </c>
      <c r="H107" s="37">
        <f t="shared" si="25"/>
        <v>5</v>
      </c>
      <c r="I107" s="194">
        <f t="shared" si="31"/>
        <v>9.52380952380949E-3</v>
      </c>
      <c r="J107" s="194">
        <f t="shared" si="32"/>
        <v>9.9206349206348854E-3</v>
      </c>
      <c r="K107" s="160">
        <f t="shared" si="33"/>
        <v>9.9206349206348854E-3</v>
      </c>
      <c r="L107" s="172">
        <f t="shared" si="34"/>
        <v>1.9799999999999998E-2</v>
      </c>
      <c r="M107" s="62">
        <f t="shared" si="26"/>
        <v>12.592799999999999</v>
      </c>
      <c r="N107" s="62">
        <f t="shared" si="37"/>
        <v>10.078199999999999</v>
      </c>
      <c r="O107" s="173">
        <f t="shared" si="27"/>
        <v>10.078199999999999</v>
      </c>
      <c r="P107" s="172">
        <f t="shared" si="35"/>
        <v>9.9989999999999992E-3</v>
      </c>
      <c r="Q107" s="62">
        <f t="shared" si="28"/>
        <v>6.3593639999999994</v>
      </c>
      <c r="R107" s="189">
        <f t="shared" si="38"/>
        <v>5.0894909999999998</v>
      </c>
      <c r="S107" s="173">
        <f t="shared" si="29"/>
        <v>5.0894909999999998</v>
      </c>
    </row>
    <row r="108" spans="1:19">
      <c r="A108" s="36">
        <f t="shared" si="30"/>
        <v>107</v>
      </c>
      <c r="B108" s="37">
        <v>21600</v>
      </c>
      <c r="C108" s="37">
        <f t="shared" si="22"/>
        <v>6</v>
      </c>
      <c r="D108" s="37">
        <f t="shared" si="23"/>
        <v>642</v>
      </c>
      <c r="E108" s="37">
        <f t="shared" si="24"/>
        <v>514</v>
      </c>
      <c r="F108" s="37">
        <f t="shared" si="36"/>
        <v>514</v>
      </c>
      <c r="G108" s="37">
        <f t="shared" si="25"/>
        <v>5</v>
      </c>
      <c r="H108" s="37">
        <f t="shared" si="25"/>
        <v>5</v>
      </c>
      <c r="I108" s="194">
        <f t="shared" si="31"/>
        <v>9.4339622641510523E-3</v>
      </c>
      <c r="J108" s="194">
        <f t="shared" si="32"/>
        <v>9.8231827111985304E-3</v>
      </c>
      <c r="K108" s="160">
        <f t="shared" si="33"/>
        <v>9.8231827111985304E-3</v>
      </c>
      <c r="L108" s="172">
        <f t="shared" si="34"/>
        <v>1.9799999999999998E-2</v>
      </c>
      <c r="M108" s="62">
        <f t="shared" si="26"/>
        <v>12.711599999999999</v>
      </c>
      <c r="N108" s="62">
        <f t="shared" si="37"/>
        <v>10.177199999999999</v>
      </c>
      <c r="O108" s="173">
        <f t="shared" si="27"/>
        <v>10.177199999999999</v>
      </c>
      <c r="P108" s="172">
        <f t="shared" si="35"/>
        <v>9.9989999999999992E-3</v>
      </c>
      <c r="Q108" s="62">
        <f t="shared" si="28"/>
        <v>6.4193579999999999</v>
      </c>
      <c r="R108" s="189">
        <f t="shared" si="38"/>
        <v>5.1394859999999998</v>
      </c>
      <c r="S108" s="173">
        <f t="shared" si="29"/>
        <v>5.1394859999999998</v>
      </c>
    </row>
    <row r="109" spans="1:19" ht="15" customHeight="1">
      <c r="A109" s="36">
        <f t="shared" si="30"/>
        <v>108</v>
      </c>
      <c r="B109" s="37">
        <v>21600</v>
      </c>
      <c r="C109" s="37">
        <f t="shared" si="22"/>
        <v>6</v>
      </c>
      <c r="D109" s="37">
        <f t="shared" si="23"/>
        <v>648</v>
      </c>
      <c r="E109" s="37">
        <f t="shared" si="24"/>
        <v>519</v>
      </c>
      <c r="F109" s="37">
        <f t="shared" si="36"/>
        <v>519</v>
      </c>
      <c r="G109" s="37">
        <f t="shared" si="25"/>
        <v>5</v>
      </c>
      <c r="H109" s="37">
        <f t="shared" si="25"/>
        <v>5</v>
      </c>
      <c r="I109" s="194">
        <f t="shared" si="31"/>
        <v>9.3457943925232545E-3</v>
      </c>
      <c r="J109" s="194">
        <f t="shared" si="32"/>
        <v>9.7276264591439343E-3</v>
      </c>
      <c r="K109" s="160">
        <f t="shared" si="33"/>
        <v>9.7276264591439343E-3</v>
      </c>
      <c r="L109" s="172">
        <f t="shared" si="34"/>
        <v>1.9799999999999998E-2</v>
      </c>
      <c r="M109" s="62">
        <f t="shared" si="26"/>
        <v>12.830399999999999</v>
      </c>
      <c r="N109" s="62">
        <f t="shared" si="37"/>
        <v>10.276199999999999</v>
      </c>
      <c r="O109" s="173">
        <f t="shared" si="27"/>
        <v>10.276199999999999</v>
      </c>
      <c r="P109" s="172">
        <f t="shared" si="35"/>
        <v>9.9989999999999992E-3</v>
      </c>
      <c r="Q109" s="62">
        <f t="shared" si="28"/>
        <v>6.4793519999999996</v>
      </c>
      <c r="R109" s="189">
        <f t="shared" si="38"/>
        <v>5.1894809999999998</v>
      </c>
      <c r="S109" s="173">
        <f t="shared" si="29"/>
        <v>5.1894809999999998</v>
      </c>
    </row>
    <row r="110" spans="1:19">
      <c r="A110" s="36">
        <f t="shared" si="30"/>
        <v>109</v>
      </c>
      <c r="B110" s="37">
        <v>21600</v>
      </c>
      <c r="C110" s="37">
        <f t="shared" si="22"/>
        <v>6</v>
      </c>
      <c r="D110" s="37">
        <f t="shared" si="23"/>
        <v>654</v>
      </c>
      <c r="E110" s="37">
        <f t="shared" si="24"/>
        <v>524</v>
      </c>
      <c r="F110" s="37">
        <f t="shared" si="36"/>
        <v>524</v>
      </c>
      <c r="G110" s="37">
        <f t="shared" si="25"/>
        <v>5</v>
      </c>
      <c r="H110" s="37">
        <f t="shared" si="25"/>
        <v>5</v>
      </c>
      <c r="I110" s="194">
        <f t="shared" si="31"/>
        <v>9.2592592592593004E-3</v>
      </c>
      <c r="J110" s="194">
        <f t="shared" si="32"/>
        <v>9.633911368015502E-3</v>
      </c>
      <c r="K110" s="160">
        <f t="shared" si="33"/>
        <v>9.633911368015502E-3</v>
      </c>
      <c r="L110" s="172">
        <f t="shared" si="34"/>
        <v>1.9799999999999998E-2</v>
      </c>
      <c r="M110" s="62">
        <f t="shared" si="26"/>
        <v>12.949199999999999</v>
      </c>
      <c r="N110" s="62">
        <f t="shared" si="37"/>
        <v>10.3752</v>
      </c>
      <c r="O110" s="173">
        <f t="shared" si="27"/>
        <v>10.3752</v>
      </c>
      <c r="P110" s="172">
        <f t="shared" si="35"/>
        <v>9.9989999999999992E-3</v>
      </c>
      <c r="Q110" s="62">
        <f t="shared" si="28"/>
        <v>6.5393459999999992</v>
      </c>
      <c r="R110" s="189">
        <f t="shared" si="38"/>
        <v>5.2394759999999998</v>
      </c>
      <c r="S110" s="173">
        <f t="shared" si="29"/>
        <v>5.2394759999999998</v>
      </c>
    </row>
    <row r="111" spans="1:19">
      <c r="A111" s="36">
        <f t="shared" si="30"/>
        <v>110</v>
      </c>
      <c r="B111" s="37">
        <v>21600</v>
      </c>
      <c r="C111" s="37">
        <f t="shared" si="22"/>
        <v>6</v>
      </c>
      <c r="D111" s="37">
        <f t="shared" si="23"/>
        <v>660</v>
      </c>
      <c r="E111" s="37">
        <f t="shared" si="24"/>
        <v>528</v>
      </c>
      <c r="F111" s="37">
        <f t="shared" si="36"/>
        <v>528</v>
      </c>
      <c r="G111" s="37">
        <f t="shared" si="25"/>
        <v>4</v>
      </c>
      <c r="H111" s="37">
        <f t="shared" si="25"/>
        <v>4</v>
      </c>
      <c r="I111" s="194">
        <f t="shared" si="31"/>
        <v>9.1743119266054496E-3</v>
      </c>
      <c r="J111" s="194">
        <f t="shared" si="32"/>
        <v>7.6335877862594437E-3</v>
      </c>
      <c r="K111" s="160">
        <f t="shared" si="33"/>
        <v>7.6335877862594437E-3</v>
      </c>
      <c r="L111" s="172">
        <f t="shared" si="34"/>
        <v>1.9799999999999998E-2</v>
      </c>
      <c r="M111" s="62">
        <f t="shared" si="26"/>
        <v>13.068</v>
      </c>
      <c r="N111" s="62">
        <f t="shared" si="37"/>
        <v>10.4544</v>
      </c>
      <c r="O111" s="173">
        <f t="shared" si="27"/>
        <v>10.4544</v>
      </c>
      <c r="P111" s="172">
        <f t="shared" si="35"/>
        <v>9.9989999999999992E-3</v>
      </c>
      <c r="Q111" s="62">
        <f t="shared" si="28"/>
        <v>6.5993399999999998</v>
      </c>
      <c r="R111" s="189">
        <f t="shared" si="38"/>
        <v>5.2794719999999993</v>
      </c>
      <c r="S111" s="173">
        <f t="shared" si="29"/>
        <v>5.2794719999999993</v>
      </c>
    </row>
    <row r="112" spans="1:19">
      <c r="A112" s="36">
        <f t="shared" si="30"/>
        <v>111</v>
      </c>
      <c r="B112" s="37">
        <v>21600</v>
      </c>
      <c r="C112" s="37">
        <f t="shared" si="22"/>
        <v>6</v>
      </c>
      <c r="D112" s="37">
        <f t="shared" si="23"/>
        <v>666</v>
      </c>
      <c r="E112" s="37">
        <f t="shared" si="24"/>
        <v>533</v>
      </c>
      <c r="F112" s="37">
        <f t="shared" si="36"/>
        <v>533</v>
      </c>
      <c r="G112" s="37">
        <f t="shared" si="25"/>
        <v>5</v>
      </c>
      <c r="H112" s="37">
        <f t="shared" si="25"/>
        <v>5</v>
      </c>
      <c r="I112" s="194">
        <f t="shared" si="31"/>
        <v>9.0909090909090384E-3</v>
      </c>
      <c r="J112" s="194">
        <f t="shared" si="32"/>
        <v>9.4696969696970168E-3</v>
      </c>
      <c r="K112" s="160">
        <f t="shared" si="33"/>
        <v>9.4696969696970168E-3</v>
      </c>
      <c r="L112" s="172">
        <f t="shared" si="34"/>
        <v>1.9799999999999998E-2</v>
      </c>
      <c r="M112" s="62">
        <f t="shared" si="26"/>
        <v>13.186799999999998</v>
      </c>
      <c r="N112" s="62">
        <f t="shared" si="37"/>
        <v>10.5534</v>
      </c>
      <c r="O112" s="173">
        <f t="shared" si="27"/>
        <v>10.5534</v>
      </c>
      <c r="P112" s="172">
        <f t="shared" si="35"/>
        <v>9.9989999999999992E-3</v>
      </c>
      <c r="Q112" s="62">
        <f t="shared" si="28"/>
        <v>6.6593339999999994</v>
      </c>
      <c r="R112" s="189">
        <f t="shared" si="38"/>
        <v>5.3294669999999993</v>
      </c>
      <c r="S112" s="173">
        <f t="shared" si="29"/>
        <v>5.3294669999999993</v>
      </c>
    </row>
    <row r="113" spans="1:19">
      <c r="A113" s="36">
        <f t="shared" si="30"/>
        <v>112</v>
      </c>
      <c r="B113" s="37">
        <v>21600</v>
      </c>
      <c r="C113" s="37">
        <f t="shared" si="22"/>
        <v>6</v>
      </c>
      <c r="D113" s="37">
        <f t="shared" si="23"/>
        <v>672</v>
      </c>
      <c r="E113" s="37">
        <f t="shared" si="24"/>
        <v>538</v>
      </c>
      <c r="F113" s="37">
        <f t="shared" si="36"/>
        <v>538</v>
      </c>
      <c r="G113" s="37">
        <f t="shared" si="25"/>
        <v>5</v>
      </c>
      <c r="H113" s="37">
        <f t="shared" si="25"/>
        <v>5</v>
      </c>
      <c r="I113" s="194">
        <f t="shared" si="31"/>
        <v>9.009009009008917E-3</v>
      </c>
      <c r="J113" s="194">
        <f t="shared" si="32"/>
        <v>9.3808630393996673E-3</v>
      </c>
      <c r="K113" s="160">
        <f t="shared" si="33"/>
        <v>9.3808630393996673E-3</v>
      </c>
      <c r="L113" s="172">
        <f t="shared" si="34"/>
        <v>1.9799999999999998E-2</v>
      </c>
      <c r="M113" s="62">
        <f t="shared" si="26"/>
        <v>13.305599999999998</v>
      </c>
      <c r="N113" s="62">
        <f t="shared" si="37"/>
        <v>10.652399999999998</v>
      </c>
      <c r="O113" s="173">
        <f t="shared" si="27"/>
        <v>10.652399999999998</v>
      </c>
      <c r="P113" s="172">
        <f t="shared" si="35"/>
        <v>9.9989999999999992E-3</v>
      </c>
      <c r="Q113" s="62">
        <f t="shared" si="28"/>
        <v>6.7193279999999991</v>
      </c>
      <c r="R113" s="189">
        <f t="shared" si="38"/>
        <v>5.3794619999999993</v>
      </c>
      <c r="S113" s="173">
        <f t="shared" si="29"/>
        <v>5.3794619999999993</v>
      </c>
    </row>
    <row r="114" spans="1:19">
      <c r="A114" s="36">
        <f t="shared" si="30"/>
        <v>113</v>
      </c>
      <c r="B114" s="37">
        <v>21600</v>
      </c>
      <c r="C114" s="37">
        <f t="shared" si="22"/>
        <v>6</v>
      </c>
      <c r="D114" s="37">
        <f t="shared" si="23"/>
        <v>678</v>
      </c>
      <c r="E114" s="37">
        <f t="shared" si="24"/>
        <v>543</v>
      </c>
      <c r="F114" s="37">
        <f t="shared" si="36"/>
        <v>543</v>
      </c>
      <c r="G114" s="37">
        <f t="shared" si="25"/>
        <v>5</v>
      </c>
      <c r="H114" s="37">
        <f t="shared" si="25"/>
        <v>5</v>
      </c>
      <c r="I114" s="194">
        <f t="shared" si="31"/>
        <v>8.9285714285713969E-3</v>
      </c>
      <c r="J114" s="194">
        <f t="shared" si="32"/>
        <v>9.2936802973977439E-3</v>
      </c>
      <c r="K114" s="160">
        <f t="shared" si="33"/>
        <v>9.2936802973977439E-3</v>
      </c>
      <c r="L114" s="172">
        <f t="shared" si="34"/>
        <v>1.9799999999999998E-2</v>
      </c>
      <c r="M114" s="62">
        <f t="shared" si="26"/>
        <v>13.424399999999999</v>
      </c>
      <c r="N114" s="62">
        <f t="shared" si="37"/>
        <v>10.751399999999999</v>
      </c>
      <c r="O114" s="173">
        <f t="shared" si="27"/>
        <v>10.751399999999999</v>
      </c>
      <c r="P114" s="172">
        <f t="shared" si="35"/>
        <v>9.9989999999999992E-3</v>
      </c>
      <c r="Q114" s="62">
        <f t="shared" si="28"/>
        <v>6.7793219999999996</v>
      </c>
      <c r="R114" s="189">
        <f t="shared" si="38"/>
        <v>5.4294569999999993</v>
      </c>
      <c r="S114" s="173">
        <f t="shared" si="29"/>
        <v>5.4294569999999993</v>
      </c>
    </row>
    <row r="115" spans="1:19">
      <c r="A115" s="36">
        <f t="shared" si="30"/>
        <v>114</v>
      </c>
      <c r="B115" s="37">
        <v>21600</v>
      </c>
      <c r="C115" s="37">
        <f t="shared" si="22"/>
        <v>6</v>
      </c>
      <c r="D115" s="37">
        <f t="shared" si="23"/>
        <v>684</v>
      </c>
      <c r="E115" s="37">
        <f t="shared" si="24"/>
        <v>548</v>
      </c>
      <c r="F115" s="37">
        <f t="shared" si="36"/>
        <v>548</v>
      </c>
      <c r="G115" s="37">
        <f t="shared" si="25"/>
        <v>5</v>
      </c>
      <c r="H115" s="37">
        <f t="shared" si="25"/>
        <v>5</v>
      </c>
      <c r="I115" s="194">
        <f t="shared" si="31"/>
        <v>8.8495575221239076E-3</v>
      </c>
      <c r="J115" s="194">
        <f t="shared" si="32"/>
        <v>9.208103130755152E-3</v>
      </c>
      <c r="K115" s="160">
        <f t="shared" si="33"/>
        <v>9.208103130755152E-3</v>
      </c>
      <c r="L115" s="172">
        <f t="shared" si="34"/>
        <v>1.9799999999999998E-2</v>
      </c>
      <c r="M115" s="62">
        <f t="shared" si="26"/>
        <v>13.543199999999999</v>
      </c>
      <c r="N115" s="62">
        <f t="shared" si="37"/>
        <v>10.850399999999999</v>
      </c>
      <c r="O115" s="173">
        <f t="shared" si="27"/>
        <v>10.850399999999999</v>
      </c>
      <c r="P115" s="172">
        <f t="shared" si="35"/>
        <v>9.9989999999999992E-3</v>
      </c>
      <c r="Q115" s="62">
        <f t="shared" si="28"/>
        <v>6.8393159999999993</v>
      </c>
      <c r="R115" s="189">
        <f t="shared" si="38"/>
        <v>5.4794519999999993</v>
      </c>
      <c r="S115" s="173">
        <f t="shared" si="29"/>
        <v>5.4794519999999993</v>
      </c>
    </row>
    <row r="116" spans="1:19">
      <c r="A116" s="36">
        <f t="shared" si="30"/>
        <v>115</v>
      </c>
      <c r="B116" s="37">
        <v>21600</v>
      </c>
      <c r="C116" s="37">
        <f t="shared" si="22"/>
        <v>6</v>
      </c>
      <c r="D116" s="37">
        <f t="shared" si="23"/>
        <v>690</v>
      </c>
      <c r="E116" s="37">
        <f t="shared" si="24"/>
        <v>552</v>
      </c>
      <c r="F116" s="37">
        <f t="shared" si="36"/>
        <v>552</v>
      </c>
      <c r="G116" s="37">
        <f t="shared" si="25"/>
        <v>4</v>
      </c>
      <c r="H116" s="37">
        <f t="shared" si="25"/>
        <v>4</v>
      </c>
      <c r="I116" s="194">
        <f t="shared" si="31"/>
        <v>8.7719298245614308E-3</v>
      </c>
      <c r="J116" s="194">
        <f t="shared" si="32"/>
        <v>7.2992700729928028E-3</v>
      </c>
      <c r="K116" s="160">
        <f t="shared" si="33"/>
        <v>7.2992700729928028E-3</v>
      </c>
      <c r="L116" s="172">
        <f t="shared" si="34"/>
        <v>1.9799999999999998E-2</v>
      </c>
      <c r="M116" s="62">
        <f t="shared" si="26"/>
        <v>13.661999999999999</v>
      </c>
      <c r="N116" s="62">
        <f t="shared" si="37"/>
        <v>10.929599999999999</v>
      </c>
      <c r="O116" s="173">
        <f t="shared" si="27"/>
        <v>10.929599999999999</v>
      </c>
      <c r="P116" s="172">
        <f t="shared" si="35"/>
        <v>9.9989999999999992E-3</v>
      </c>
      <c r="Q116" s="62">
        <f t="shared" si="28"/>
        <v>6.8993099999999998</v>
      </c>
      <c r="R116" s="189">
        <f t="shared" si="38"/>
        <v>5.5194479999999997</v>
      </c>
      <c r="S116" s="173">
        <f t="shared" si="29"/>
        <v>5.5194479999999997</v>
      </c>
    </row>
    <row r="117" spans="1:19" ht="15" customHeight="1">
      <c r="A117" s="36">
        <f t="shared" si="30"/>
        <v>116</v>
      </c>
      <c r="B117" s="37">
        <v>21600</v>
      </c>
      <c r="C117" s="37">
        <f t="shared" si="22"/>
        <v>6</v>
      </c>
      <c r="D117" s="37">
        <f t="shared" si="23"/>
        <v>696</v>
      </c>
      <c r="E117" s="37">
        <f t="shared" si="24"/>
        <v>557</v>
      </c>
      <c r="F117" s="37">
        <f t="shared" si="36"/>
        <v>557</v>
      </c>
      <c r="G117" s="37">
        <f t="shared" si="25"/>
        <v>5</v>
      </c>
      <c r="H117" s="37">
        <f t="shared" si="25"/>
        <v>5</v>
      </c>
      <c r="I117" s="194">
        <f t="shared" si="31"/>
        <v>8.6956521739129933E-3</v>
      </c>
      <c r="J117" s="194">
        <f t="shared" si="32"/>
        <v>9.0579710144926828E-3</v>
      </c>
      <c r="K117" s="160">
        <f t="shared" si="33"/>
        <v>9.0579710144926828E-3</v>
      </c>
      <c r="L117" s="172">
        <f t="shared" si="34"/>
        <v>1.9799999999999998E-2</v>
      </c>
      <c r="M117" s="62">
        <f t="shared" si="26"/>
        <v>13.780799999999999</v>
      </c>
      <c r="N117" s="62">
        <f t="shared" si="37"/>
        <v>11.028599999999999</v>
      </c>
      <c r="O117" s="173">
        <f t="shared" si="27"/>
        <v>11.028599999999999</v>
      </c>
      <c r="P117" s="172">
        <f t="shared" si="35"/>
        <v>9.9989999999999992E-3</v>
      </c>
      <c r="Q117" s="62">
        <f t="shared" si="28"/>
        <v>6.9593039999999995</v>
      </c>
      <c r="R117" s="189">
        <f t="shared" si="38"/>
        <v>5.5694429999999997</v>
      </c>
      <c r="S117" s="173">
        <f t="shared" si="29"/>
        <v>5.5694429999999997</v>
      </c>
    </row>
    <row r="118" spans="1:19">
      <c r="A118" s="36">
        <f t="shared" si="30"/>
        <v>117</v>
      </c>
      <c r="B118" s="37">
        <v>21600</v>
      </c>
      <c r="C118" s="37">
        <f t="shared" si="22"/>
        <v>6</v>
      </c>
      <c r="D118" s="37">
        <f t="shared" si="23"/>
        <v>702</v>
      </c>
      <c r="E118" s="37">
        <f t="shared" si="24"/>
        <v>562</v>
      </c>
      <c r="F118" s="37">
        <f t="shared" si="36"/>
        <v>562</v>
      </c>
      <c r="G118" s="37">
        <f t="shared" si="25"/>
        <v>5</v>
      </c>
      <c r="H118" s="37">
        <f t="shared" si="25"/>
        <v>5</v>
      </c>
      <c r="I118" s="194">
        <f t="shared" si="31"/>
        <v>8.6206896551723755E-3</v>
      </c>
      <c r="J118" s="194">
        <f t="shared" si="32"/>
        <v>8.9766606822261341E-3</v>
      </c>
      <c r="K118" s="160">
        <f t="shared" si="33"/>
        <v>8.9766606822261341E-3</v>
      </c>
      <c r="L118" s="172">
        <f t="shared" si="34"/>
        <v>1.9799999999999998E-2</v>
      </c>
      <c r="M118" s="62">
        <f t="shared" si="26"/>
        <v>13.8996</v>
      </c>
      <c r="N118" s="62">
        <f t="shared" si="37"/>
        <v>11.127599999999999</v>
      </c>
      <c r="O118" s="173">
        <f t="shared" si="27"/>
        <v>11.127599999999999</v>
      </c>
      <c r="P118" s="172">
        <f t="shared" si="35"/>
        <v>9.9989999999999992E-3</v>
      </c>
      <c r="Q118" s="62">
        <f t="shared" si="28"/>
        <v>7.0192979999999991</v>
      </c>
      <c r="R118" s="189">
        <f t="shared" si="38"/>
        <v>5.6194379999999997</v>
      </c>
      <c r="S118" s="173">
        <f t="shared" si="29"/>
        <v>5.6194379999999997</v>
      </c>
    </row>
    <row r="119" spans="1:19">
      <c r="A119" s="36">
        <f t="shared" si="30"/>
        <v>118</v>
      </c>
      <c r="B119" s="37">
        <v>21600</v>
      </c>
      <c r="C119" s="37">
        <f t="shared" si="22"/>
        <v>6</v>
      </c>
      <c r="D119" s="37">
        <f t="shared" si="23"/>
        <v>708</v>
      </c>
      <c r="E119" s="37">
        <f t="shared" si="24"/>
        <v>567</v>
      </c>
      <c r="F119" s="37">
        <f t="shared" si="36"/>
        <v>567</v>
      </c>
      <c r="G119" s="37">
        <f t="shared" si="25"/>
        <v>5</v>
      </c>
      <c r="H119" s="37">
        <f t="shared" si="25"/>
        <v>5</v>
      </c>
      <c r="I119" s="194">
        <f t="shared" si="31"/>
        <v>8.5470085470085166E-3</v>
      </c>
      <c r="J119" s="194">
        <f t="shared" si="32"/>
        <v>8.8967971530249379E-3</v>
      </c>
      <c r="K119" s="160">
        <f t="shared" si="33"/>
        <v>8.8967971530249379E-3</v>
      </c>
      <c r="L119" s="172">
        <f t="shared" si="34"/>
        <v>1.9799999999999998E-2</v>
      </c>
      <c r="M119" s="62">
        <f t="shared" si="26"/>
        <v>14.018399999999998</v>
      </c>
      <c r="N119" s="62">
        <f t="shared" si="37"/>
        <v>11.226599999999999</v>
      </c>
      <c r="O119" s="173">
        <f t="shared" si="27"/>
        <v>11.226599999999999</v>
      </c>
      <c r="P119" s="172">
        <f t="shared" si="35"/>
        <v>9.9989999999999992E-3</v>
      </c>
      <c r="Q119" s="62">
        <f t="shared" si="28"/>
        <v>7.0792919999999997</v>
      </c>
      <c r="R119" s="189">
        <f t="shared" si="38"/>
        <v>5.6694329999999997</v>
      </c>
      <c r="S119" s="173">
        <f t="shared" si="29"/>
        <v>5.6694329999999997</v>
      </c>
    </row>
    <row r="120" spans="1:19">
      <c r="A120" s="36">
        <f t="shared" si="30"/>
        <v>119</v>
      </c>
      <c r="B120" s="37">
        <v>21600</v>
      </c>
      <c r="C120" s="37">
        <f t="shared" si="22"/>
        <v>6</v>
      </c>
      <c r="D120" s="37">
        <f t="shared" si="23"/>
        <v>714</v>
      </c>
      <c r="E120" s="37">
        <f t="shared" si="24"/>
        <v>572</v>
      </c>
      <c r="F120" s="37">
        <f t="shared" si="36"/>
        <v>572</v>
      </c>
      <c r="G120" s="37">
        <f t="shared" si="25"/>
        <v>5</v>
      </c>
      <c r="H120" s="37">
        <f t="shared" si="25"/>
        <v>5</v>
      </c>
      <c r="I120" s="194">
        <f t="shared" si="31"/>
        <v>8.4745762711864181E-3</v>
      </c>
      <c r="J120" s="194">
        <f t="shared" si="32"/>
        <v>8.818342151675429E-3</v>
      </c>
      <c r="K120" s="160">
        <f t="shared" si="33"/>
        <v>8.818342151675429E-3</v>
      </c>
      <c r="L120" s="172">
        <f t="shared" si="34"/>
        <v>1.9799999999999998E-2</v>
      </c>
      <c r="M120" s="62">
        <f t="shared" si="26"/>
        <v>14.137199999999998</v>
      </c>
      <c r="N120" s="62">
        <f t="shared" si="37"/>
        <v>11.3256</v>
      </c>
      <c r="O120" s="173">
        <f t="shared" si="27"/>
        <v>11.3256</v>
      </c>
      <c r="P120" s="172">
        <f t="shared" si="35"/>
        <v>9.9989999999999992E-3</v>
      </c>
      <c r="Q120" s="62">
        <f t="shared" si="28"/>
        <v>7.1392859999999994</v>
      </c>
      <c r="R120" s="189">
        <f t="shared" si="38"/>
        <v>5.7194279999999997</v>
      </c>
      <c r="S120" s="173">
        <f t="shared" si="29"/>
        <v>5.7194279999999997</v>
      </c>
    </row>
    <row r="121" spans="1:19">
      <c r="A121" s="36">
        <f t="shared" si="30"/>
        <v>120</v>
      </c>
      <c r="B121" s="37">
        <v>21600</v>
      </c>
      <c r="C121" s="37">
        <f t="shared" si="22"/>
        <v>6</v>
      </c>
      <c r="D121" s="37">
        <f t="shared" si="23"/>
        <v>720</v>
      </c>
      <c r="E121" s="37">
        <f t="shared" si="24"/>
        <v>576</v>
      </c>
      <c r="F121" s="37">
        <f t="shared" si="36"/>
        <v>576</v>
      </c>
      <c r="G121" s="37">
        <f t="shared" si="25"/>
        <v>4</v>
      </c>
      <c r="H121" s="37">
        <f t="shared" si="25"/>
        <v>4</v>
      </c>
      <c r="I121" s="194">
        <f t="shared" si="31"/>
        <v>8.4033613445377853E-3</v>
      </c>
      <c r="J121" s="194">
        <f t="shared" si="32"/>
        <v>6.9930069930070893E-3</v>
      </c>
      <c r="K121" s="160">
        <f t="shared" si="33"/>
        <v>6.9930069930070893E-3</v>
      </c>
      <c r="L121" s="172">
        <f t="shared" si="34"/>
        <v>1.9799999999999998E-2</v>
      </c>
      <c r="M121" s="62">
        <f t="shared" si="26"/>
        <v>14.255999999999998</v>
      </c>
      <c r="N121" s="62">
        <f t="shared" si="37"/>
        <v>11.404799999999998</v>
      </c>
      <c r="O121" s="173">
        <f t="shared" si="27"/>
        <v>11.404799999999998</v>
      </c>
      <c r="P121" s="172">
        <f t="shared" si="35"/>
        <v>9.9989999999999992E-3</v>
      </c>
      <c r="Q121" s="62">
        <f t="shared" si="28"/>
        <v>7.199279999999999</v>
      </c>
      <c r="R121" s="189">
        <f t="shared" si="38"/>
        <v>5.7594239999999992</v>
      </c>
      <c r="S121" s="173">
        <f t="shared" si="29"/>
        <v>5.7594239999999992</v>
      </c>
    </row>
    <row r="122" spans="1:19">
      <c r="A122" s="36">
        <f t="shared" si="30"/>
        <v>121</v>
      </c>
      <c r="B122" s="37">
        <v>21600</v>
      </c>
      <c r="C122" s="37">
        <f t="shared" si="22"/>
        <v>6</v>
      </c>
      <c r="D122" s="37">
        <f t="shared" si="23"/>
        <v>726</v>
      </c>
      <c r="E122" s="37">
        <f t="shared" si="24"/>
        <v>581</v>
      </c>
      <c r="F122" s="37">
        <f t="shared" si="36"/>
        <v>581</v>
      </c>
      <c r="G122" s="37">
        <f t="shared" si="25"/>
        <v>5</v>
      </c>
      <c r="H122" s="37">
        <f t="shared" si="25"/>
        <v>5</v>
      </c>
      <c r="I122" s="194">
        <f t="shared" si="31"/>
        <v>8.3333333333333037E-3</v>
      </c>
      <c r="J122" s="194">
        <f t="shared" si="32"/>
        <v>8.6805555555555802E-3</v>
      </c>
      <c r="K122" s="160">
        <f t="shared" si="33"/>
        <v>8.6805555555555802E-3</v>
      </c>
      <c r="L122" s="172">
        <f t="shared" si="34"/>
        <v>1.9799999999999998E-2</v>
      </c>
      <c r="M122" s="62">
        <f t="shared" si="26"/>
        <v>14.374799999999999</v>
      </c>
      <c r="N122" s="62">
        <f t="shared" si="37"/>
        <v>11.503799999999998</v>
      </c>
      <c r="O122" s="173">
        <f t="shared" si="27"/>
        <v>11.503799999999998</v>
      </c>
      <c r="P122" s="172">
        <f t="shared" si="35"/>
        <v>9.9989999999999992E-3</v>
      </c>
      <c r="Q122" s="62">
        <f t="shared" si="28"/>
        <v>7.2592739999999996</v>
      </c>
      <c r="R122" s="189">
        <f t="shared" si="38"/>
        <v>5.8094189999999992</v>
      </c>
      <c r="S122" s="173">
        <f t="shared" si="29"/>
        <v>5.8094189999999992</v>
      </c>
    </row>
    <row r="123" spans="1:19">
      <c r="A123" s="36">
        <f t="shared" si="30"/>
        <v>122</v>
      </c>
      <c r="B123" s="37">
        <v>21600</v>
      </c>
      <c r="C123" s="37">
        <f t="shared" si="22"/>
        <v>6</v>
      </c>
      <c r="D123" s="37">
        <f t="shared" si="23"/>
        <v>732</v>
      </c>
      <c r="E123" s="37">
        <f t="shared" si="24"/>
        <v>586</v>
      </c>
      <c r="F123" s="37">
        <f t="shared" si="36"/>
        <v>586</v>
      </c>
      <c r="G123" s="37">
        <f t="shared" si="25"/>
        <v>5</v>
      </c>
      <c r="H123" s="37">
        <f t="shared" si="25"/>
        <v>5</v>
      </c>
      <c r="I123" s="194">
        <f t="shared" si="31"/>
        <v>8.2644628099173278E-3</v>
      </c>
      <c r="J123" s="194">
        <f t="shared" si="32"/>
        <v>8.6058519793459354E-3</v>
      </c>
      <c r="K123" s="160">
        <f t="shared" si="33"/>
        <v>8.6058519793459354E-3</v>
      </c>
      <c r="L123" s="172">
        <f t="shared" si="34"/>
        <v>1.9799999999999998E-2</v>
      </c>
      <c r="M123" s="62">
        <f t="shared" si="26"/>
        <v>14.493599999999999</v>
      </c>
      <c r="N123" s="62">
        <f t="shared" si="37"/>
        <v>11.602799999999998</v>
      </c>
      <c r="O123" s="173">
        <f t="shared" si="27"/>
        <v>11.602799999999998</v>
      </c>
      <c r="P123" s="172">
        <f t="shared" si="35"/>
        <v>9.9989999999999992E-3</v>
      </c>
      <c r="Q123" s="62">
        <f t="shared" si="28"/>
        <v>7.3192679999999992</v>
      </c>
      <c r="R123" s="189">
        <f t="shared" si="38"/>
        <v>5.8594139999999992</v>
      </c>
      <c r="S123" s="173">
        <f t="shared" si="29"/>
        <v>5.8594139999999992</v>
      </c>
    </row>
    <row r="124" spans="1:19" ht="16" thickBot="1">
      <c r="A124" s="38">
        <f t="shared" si="30"/>
        <v>123</v>
      </c>
      <c r="B124" s="37">
        <v>21600</v>
      </c>
      <c r="C124" s="37">
        <f t="shared" si="22"/>
        <v>6</v>
      </c>
      <c r="D124" s="39">
        <f t="shared" si="23"/>
        <v>738</v>
      </c>
      <c r="E124" s="37">
        <f t="shared" si="24"/>
        <v>591</v>
      </c>
      <c r="F124" s="37">
        <f t="shared" si="36"/>
        <v>591</v>
      </c>
      <c r="G124" s="39">
        <f t="shared" si="25"/>
        <v>5</v>
      </c>
      <c r="H124" s="37">
        <f t="shared" si="25"/>
        <v>5</v>
      </c>
      <c r="I124" s="194">
        <f t="shared" si="31"/>
        <v>8.1967213114753079E-3</v>
      </c>
      <c r="J124" s="194">
        <f t="shared" si="32"/>
        <v>8.5324232081911422E-3</v>
      </c>
      <c r="K124" s="160">
        <f t="shared" si="33"/>
        <v>8.5324232081911422E-3</v>
      </c>
      <c r="L124" s="172">
        <f t="shared" si="34"/>
        <v>1.9799999999999998E-2</v>
      </c>
      <c r="M124" s="174">
        <f t="shared" si="26"/>
        <v>14.612399999999999</v>
      </c>
      <c r="N124" s="174">
        <f t="shared" si="37"/>
        <v>11.701799999999999</v>
      </c>
      <c r="O124" s="173">
        <f t="shared" si="27"/>
        <v>11.701799999999999</v>
      </c>
      <c r="P124" s="172">
        <f t="shared" si="35"/>
        <v>9.9989999999999992E-3</v>
      </c>
      <c r="Q124" s="174">
        <f t="shared" si="28"/>
        <v>7.3792619999999998</v>
      </c>
      <c r="R124" s="190">
        <f t="shared" si="38"/>
        <v>5.9094089999999992</v>
      </c>
      <c r="S124" s="173">
        <f t="shared" si="29"/>
        <v>5.9094089999999992</v>
      </c>
    </row>
    <row r="125" spans="1:19" ht="15" customHeight="1"/>
    <row r="133" ht="15" customHeight="1"/>
  </sheetData>
  <mergeCells count="4">
    <mergeCell ref="U22:V22"/>
    <mergeCell ref="U2:V2"/>
    <mergeCell ref="U10:V10"/>
    <mergeCell ref="U16:V16"/>
  </mergeCells>
  <conditionalFormatting sqref="G2:H124">
    <cfRule type="cellIs" dxfId="127" priority="3" operator="lessThan">
      <formula>0</formula>
    </cfRule>
  </conditionalFormatting>
  <conditionalFormatting sqref="E2:E124">
    <cfRule type="cellIs" dxfId="126" priority="2" operator="greaterThan">
      <formula>999</formula>
    </cfRule>
  </conditionalFormatting>
  <conditionalFormatting sqref="I3:K124">
    <cfRule type="cellIs" dxfId="125" priority="1" operator="lessThan">
      <formula>0</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F3" sqref="F3"/>
    </sheetView>
  </sheetViews>
  <sheetFormatPr baseColWidth="10" defaultRowHeight="15" x14ac:dyDescent="0"/>
  <sheetData>
    <row r="1" spans="1:8">
      <c r="A1" s="406" t="s">
        <v>0</v>
      </c>
      <c r="B1" s="406"/>
      <c r="C1" s="406" t="s">
        <v>129</v>
      </c>
      <c r="D1" s="406"/>
      <c r="E1" s="352" t="s">
        <v>43</v>
      </c>
      <c r="F1" s="352"/>
      <c r="G1" s="352" t="s">
        <v>197</v>
      </c>
      <c r="H1" s="352"/>
    </row>
    <row r="2" spans="1:8">
      <c r="A2" s="131" t="s">
        <v>130</v>
      </c>
      <c r="B2" s="131" t="s">
        <v>0</v>
      </c>
      <c r="C2" s="131" t="s">
        <v>0</v>
      </c>
      <c r="D2" s="131" t="s">
        <v>131</v>
      </c>
      <c r="E2" s="142" t="s">
        <v>43</v>
      </c>
      <c r="F2" s="142" t="s">
        <v>0</v>
      </c>
      <c r="G2" s="142" t="s">
        <v>197</v>
      </c>
      <c r="H2" s="142" t="s">
        <v>0</v>
      </c>
    </row>
    <row r="3" spans="1:8">
      <c r="A3">
        <f>Level!B4</f>
        <v>0</v>
      </c>
      <c r="B3">
        <f>Level!A4</f>
        <v>1</v>
      </c>
      <c r="C3">
        <f>Plants!C4</f>
        <v>1</v>
      </c>
      <c r="D3">
        <f>Plants!A4</f>
        <v>1</v>
      </c>
      <c r="E3" t="e">
        <f>Garden!#REF!</f>
        <v>#REF!</v>
      </c>
      <c r="F3">
        <v>1</v>
      </c>
    </row>
    <row r="4" spans="1:8">
      <c r="A4">
        <f>Level!B5</f>
        <v>18</v>
      </c>
      <c r="B4">
        <f>Level!A5</f>
        <v>2</v>
      </c>
      <c r="C4">
        <f>Plants!C5</f>
        <v>2</v>
      </c>
      <c r="D4">
        <f>Plants!A5</f>
        <v>2</v>
      </c>
      <c r="E4">
        <v>14</v>
      </c>
    </row>
    <row r="5" spans="1:8">
      <c r="A5">
        <f>Level!B6</f>
        <v>70</v>
      </c>
      <c r="B5">
        <f>Level!A6</f>
        <v>3</v>
      </c>
      <c r="C5">
        <f>Plants!C6</f>
        <v>1</v>
      </c>
      <c r="D5">
        <f>Plants!A6</f>
        <v>3</v>
      </c>
      <c r="E5">
        <v>18</v>
      </c>
    </row>
    <row r="6" spans="1:8">
      <c r="A6">
        <f>Level!B7</f>
        <v>176</v>
      </c>
      <c r="B6">
        <f>Level!A7</f>
        <v>4</v>
      </c>
      <c r="C6">
        <f>Plants!C7</f>
        <v>5</v>
      </c>
      <c r="D6">
        <f>Plants!A7</f>
        <v>4</v>
      </c>
      <c r="E6">
        <v>22</v>
      </c>
    </row>
    <row r="7" spans="1:8">
      <c r="A7">
        <f>Level!B8</f>
        <v>285</v>
      </c>
      <c r="B7">
        <f>Level!A8</f>
        <v>5</v>
      </c>
      <c r="C7">
        <f>Plants!C8</f>
        <v>6</v>
      </c>
      <c r="D7">
        <f>Plants!A8</f>
        <v>5</v>
      </c>
      <c r="E7">
        <v>26</v>
      </c>
    </row>
    <row r="8" spans="1:8">
      <c r="A8">
        <f>Level!B9</f>
        <v>415</v>
      </c>
      <c r="B8">
        <f>Level!A9</f>
        <v>6</v>
      </c>
      <c r="C8">
        <f>Plants!C9</f>
        <v>9</v>
      </c>
      <c r="D8">
        <f>Plants!A9</f>
        <v>6</v>
      </c>
      <c r="E8">
        <v>30</v>
      </c>
    </row>
    <row r="9" spans="1:8">
      <c r="A9">
        <f>Level!B10</f>
        <v>586</v>
      </c>
      <c r="B9">
        <f>Level!A10</f>
        <v>7</v>
      </c>
      <c r="C9">
        <f>Plants!C10</f>
        <v>11</v>
      </c>
      <c r="D9">
        <f>Plants!A10</f>
        <v>7</v>
      </c>
      <c r="E9">
        <v>34</v>
      </c>
    </row>
    <row r="10" spans="1:8">
      <c r="A10">
        <f>Level!B11</f>
        <v>810</v>
      </c>
      <c r="B10">
        <f>Level!A11</f>
        <v>8</v>
      </c>
      <c r="C10">
        <f>Plants!C11</f>
        <v>13</v>
      </c>
      <c r="D10">
        <f>Plants!A11</f>
        <v>8</v>
      </c>
      <c r="E10">
        <v>38</v>
      </c>
    </row>
    <row r="11" spans="1:8">
      <c r="A11">
        <f>Level!B12</f>
        <v>1143</v>
      </c>
      <c r="B11">
        <f>Level!A12</f>
        <v>9</v>
      </c>
      <c r="C11">
        <f>Plants!C12</f>
        <v>15</v>
      </c>
      <c r="D11">
        <f>Plants!A12</f>
        <v>9</v>
      </c>
      <c r="E11">
        <v>42</v>
      </c>
    </row>
    <row r="12" spans="1:8">
      <c r="A12">
        <f>Level!B13</f>
        <v>1520</v>
      </c>
      <c r="B12">
        <f>Level!A13</f>
        <v>10</v>
      </c>
      <c r="C12">
        <f>Plants!C13</f>
        <v>17</v>
      </c>
      <c r="D12">
        <f>Plants!A13</f>
        <v>10</v>
      </c>
      <c r="E12">
        <v>46</v>
      </c>
    </row>
    <row r="13" spans="1:8">
      <c r="A13">
        <f>Level!B14</f>
        <v>1958</v>
      </c>
      <c r="B13">
        <f>Level!A14</f>
        <v>11</v>
      </c>
      <c r="C13">
        <f>Plants!C14</f>
        <v>19</v>
      </c>
      <c r="D13">
        <f>Plants!A14</f>
        <v>11</v>
      </c>
      <c r="E13">
        <v>50</v>
      </c>
    </row>
    <row r="14" spans="1:8">
      <c r="A14">
        <f>Level!B15</f>
        <v>2458</v>
      </c>
      <c r="B14">
        <f>Level!A15</f>
        <v>12</v>
      </c>
      <c r="C14">
        <f>Plants!C15</f>
        <v>21</v>
      </c>
      <c r="D14">
        <f>Plants!A15</f>
        <v>12</v>
      </c>
      <c r="E14">
        <v>54</v>
      </c>
    </row>
    <row r="15" spans="1:8">
      <c r="A15">
        <f>Level!B16</f>
        <v>3116</v>
      </c>
      <c r="B15">
        <f>Level!A16</f>
        <v>13</v>
      </c>
      <c r="C15">
        <f>Plants!C16</f>
        <v>23</v>
      </c>
      <c r="D15">
        <f>Plants!A16</f>
        <v>13</v>
      </c>
      <c r="E15">
        <v>58</v>
      </c>
    </row>
    <row r="16" spans="1:8">
      <c r="A16">
        <f>Level!B17</f>
        <v>3847</v>
      </c>
      <c r="B16">
        <f>Level!A17</f>
        <v>14</v>
      </c>
      <c r="C16">
        <f>Plants!C17</f>
        <v>25</v>
      </c>
      <c r="D16">
        <f>Plants!A17</f>
        <v>14</v>
      </c>
      <c r="E16">
        <v>62</v>
      </c>
    </row>
    <row r="17" spans="1:5">
      <c r="A17">
        <f>Level!B18</f>
        <v>4651</v>
      </c>
      <c r="B17">
        <f>Level!A18</f>
        <v>15</v>
      </c>
      <c r="C17">
        <f>Plants!C18</f>
        <v>27</v>
      </c>
      <c r="D17">
        <f>Plants!A18</f>
        <v>15</v>
      </c>
      <c r="E17">
        <v>66</v>
      </c>
    </row>
    <row r="18" spans="1:5">
      <c r="A18">
        <f>Level!B19</f>
        <v>5664</v>
      </c>
      <c r="B18">
        <f>Level!A19</f>
        <v>16</v>
      </c>
      <c r="C18">
        <f>Plants!C19</f>
        <v>29</v>
      </c>
      <c r="D18">
        <f>Plants!A19</f>
        <v>16</v>
      </c>
      <c r="E18">
        <v>70</v>
      </c>
    </row>
    <row r="19" spans="1:5">
      <c r="A19">
        <f>Level!B20</f>
        <v>6776</v>
      </c>
      <c r="B19">
        <f>Level!A20</f>
        <v>17</v>
      </c>
      <c r="C19">
        <f>Plants!C20</f>
        <v>31</v>
      </c>
      <c r="D19">
        <f>Plants!A20</f>
        <v>17</v>
      </c>
      <c r="E19">
        <v>74</v>
      </c>
    </row>
    <row r="20" spans="1:5">
      <c r="A20">
        <f>Level!B21</f>
        <v>7997</v>
      </c>
      <c r="B20">
        <f>Level!A21</f>
        <v>18</v>
      </c>
      <c r="C20">
        <f>Plants!C21</f>
        <v>33</v>
      </c>
      <c r="D20">
        <f>Plants!A21</f>
        <v>18</v>
      </c>
      <c r="E20">
        <v>78</v>
      </c>
    </row>
    <row r="21" spans="1:5">
      <c r="A21">
        <f>Level!B22</f>
        <v>9338</v>
      </c>
      <c r="B21">
        <f>Level!A22</f>
        <v>19</v>
      </c>
      <c r="C21">
        <f>Plants!C22</f>
        <v>35</v>
      </c>
      <c r="D21">
        <f>Plants!A22</f>
        <v>19</v>
      </c>
      <c r="E21">
        <v>82</v>
      </c>
    </row>
    <row r="22" spans="1:5">
      <c r="A22">
        <f>Level!B23</f>
        <v>11100</v>
      </c>
      <c r="B22">
        <f>Level!A23</f>
        <v>20</v>
      </c>
      <c r="C22">
        <f>Plants!C23</f>
        <v>37</v>
      </c>
      <c r="D22">
        <f>Plants!A23</f>
        <v>20</v>
      </c>
      <c r="E22">
        <v>86</v>
      </c>
    </row>
    <row r="23" spans="1:5">
      <c r="A23">
        <f>Level!B24</f>
        <v>13000</v>
      </c>
      <c r="B23">
        <f>Level!A24</f>
        <v>21</v>
      </c>
      <c r="C23">
        <f>Plants!C24</f>
        <v>39</v>
      </c>
      <c r="D23">
        <f>Plants!A24</f>
        <v>21</v>
      </c>
      <c r="E23">
        <v>90</v>
      </c>
    </row>
    <row r="24" spans="1:5">
      <c r="A24">
        <f>Level!B25</f>
        <v>15100</v>
      </c>
      <c r="B24">
        <f>Level!A25</f>
        <v>22</v>
      </c>
      <c r="C24">
        <f>Plants!C25</f>
        <v>41</v>
      </c>
      <c r="D24">
        <f>Plants!A25</f>
        <v>22</v>
      </c>
      <c r="E24">
        <v>94</v>
      </c>
    </row>
    <row r="25" spans="1:5">
      <c r="A25">
        <f>Level!B26</f>
        <v>17600</v>
      </c>
      <c r="B25">
        <f>Level!A26</f>
        <v>23</v>
      </c>
      <c r="C25">
        <f>Plants!C26</f>
        <v>43</v>
      </c>
      <c r="D25">
        <f>Plants!A26</f>
        <v>23</v>
      </c>
      <c r="E25">
        <v>98</v>
      </c>
    </row>
    <row r="26" spans="1:5">
      <c r="A26">
        <f>Level!B27</f>
        <v>20400</v>
      </c>
      <c r="B26">
        <f>Level!A27</f>
        <v>24</v>
      </c>
      <c r="C26">
        <f>Plants!C27</f>
        <v>45</v>
      </c>
      <c r="D26">
        <f>Plants!A27</f>
        <v>24</v>
      </c>
      <c r="E26">
        <v>102</v>
      </c>
    </row>
    <row r="27" spans="1:5">
      <c r="A27">
        <f>Level!B28</f>
        <v>23400</v>
      </c>
      <c r="B27">
        <f>Level!A28</f>
        <v>25</v>
      </c>
      <c r="C27">
        <f>Plants!C28</f>
        <v>47</v>
      </c>
      <c r="D27">
        <f>Plants!A28</f>
        <v>25</v>
      </c>
      <c r="E27">
        <v>106</v>
      </c>
    </row>
    <row r="28" spans="1:5">
      <c r="A28">
        <f>Level!B29</f>
        <v>26700</v>
      </c>
      <c r="B28">
        <f>Level!A29</f>
        <v>26</v>
      </c>
      <c r="C28">
        <f>Plants!C29</f>
        <v>49</v>
      </c>
      <c r="D28">
        <f>Plants!A29</f>
        <v>26</v>
      </c>
      <c r="E28">
        <v>110</v>
      </c>
    </row>
    <row r="29" spans="1:5">
      <c r="A29">
        <f>Level!B30</f>
        <v>30700</v>
      </c>
      <c r="B29">
        <f>Level!A30</f>
        <v>27</v>
      </c>
      <c r="C29">
        <f>Plants!C30</f>
        <v>51</v>
      </c>
      <c r="D29">
        <f>Plants!A30</f>
        <v>27</v>
      </c>
      <c r="E29">
        <v>114</v>
      </c>
    </row>
    <row r="30" spans="1:5">
      <c r="A30">
        <f>Level!B31</f>
        <v>35100</v>
      </c>
      <c r="B30">
        <f>Level!A31</f>
        <v>28</v>
      </c>
      <c r="C30">
        <f>Plants!C31</f>
        <v>53</v>
      </c>
      <c r="D30">
        <f>Plants!A31</f>
        <v>28</v>
      </c>
      <c r="E30">
        <v>118</v>
      </c>
    </row>
    <row r="31" spans="1:5">
      <c r="A31">
        <f>Level!B32</f>
        <v>40000</v>
      </c>
      <c r="B31">
        <f>Level!A32</f>
        <v>29</v>
      </c>
      <c r="C31">
        <f>Plants!C32</f>
        <v>55</v>
      </c>
      <c r="D31">
        <f>Plants!A32</f>
        <v>29</v>
      </c>
      <c r="E31">
        <v>122</v>
      </c>
    </row>
    <row r="32" spans="1:5">
      <c r="A32">
        <f>Level!B33</f>
        <v>45900</v>
      </c>
      <c r="B32">
        <f>Level!A33</f>
        <v>30</v>
      </c>
      <c r="C32">
        <f>Plants!C33</f>
        <v>57</v>
      </c>
      <c r="D32">
        <f>Plants!A33</f>
        <v>30</v>
      </c>
      <c r="E32">
        <v>126</v>
      </c>
    </row>
    <row r="33" spans="1:5">
      <c r="A33">
        <f>Level!B34</f>
        <v>52400</v>
      </c>
      <c r="B33">
        <f>Level!A34</f>
        <v>31</v>
      </c>
      <c r="C33">
        <f>Plants!C34</f>
        <v>59</v>
      </c>
      <c r="D33">
        <f>Plants!A34</f>
        <v>31</v>
      </c>
      <c r="E33">
        <v>130</v>
      </c>
    </row>
    <row r="34" spans="1:5">
      <c r="A34">
        <f>Level!B35</f>
        <v>59000</v>
      </c>
      <c r="B34">
        <f>Level!A35</f>
        <v>32</v>
      </c>
      <c r="C34">
        <f>Plants!C35</f>
        <v>61</v>
      </c>
      <c r="D34">
        <f>Plants!A35</f>
        <v>32</v>
      </c>
      <c r="E34">
        <v>134</v>
      </c>
    </row>
    <row r="35" spans="1:5">
      <c r="A35">
        <f>Level!B36</f>
        <v>65700</v>
      </c>
      <c r="B35">
        <f>Level!A36</f>
        <v>33</v>
      </c>
      <c r="C35">
        <f>Plants!C36</f>
        <v>63</v>
      </c>
      <c r="D35">
        <f>Plants!A36</f>
        <v>33</v>
      </c>
      <c r="E35">
        <v>138</v>
      </c>
    </row>
    <row r="36" spans="1:5">
      <c r="A36">
        <f>Level!B37</f>
        <v>72900</v>
      </c>
      <c r="B36">
        <f>Level!A37</f>
        <v>34</v>
      </c>
      <c r="C36">
        <f>Plants!C37</f>
        <v>65</v>
      </c>
      <c r="D36">
        <f>Plants!A37</f>
        <v>34</v>
      </c>
      <c r="E36">
        <v>142</v>
      </c>
    </row>
    <row r="37" spans="1:5">
      <c r="A37">
        <f>Level!B38</f>
        <v>80200</v>
      </c>
      <c r="B37">
        <f>Level!A38</f>
        <v>35</v>
      </c>
      <c r="C37">
        <f>Plants!C38</f>
        <v>67</v>
      </c>
      <c r="D37">
        <f>Plants!A38</f>
        <v>35</v>
      </c>
      <c r="E37">
        <v>146</v>
      </c>
    </row>
    <row r="38" spans="1:5">
      <c r="A38">
        <f>Level!B39</f>
        <v>87600</v>
      </c>
      <c r="B38">
        <f>Level!A39</f>
        <v>36</v>
      </c>
      <c r="C38">
        <f>Plants!C39</f>
        <v>69</v>
      </c>
      <c r="D38">
        <f>Plants!A39</f>
        <v>36</v>
      </c>
      <c r="E38">
        <v>150</v>
      </c>
    </row>
    <row r="39" spans="1:5">
      <c r="A39">
        <f>Level!B40</f>
        <v>95500</v>
      </c>
      <c r="B39">
        <f>Level!A40</f>
        <v>37</v>
      </c>
      <c r="C39">
        <f>Plants!C40</f>
        <v>71</v>
      </c>
      <c r="D39">
        <f>Plants!A40</f>
        <v>37</v>
      </c>
      <c r="E39">
        <v>154</v>
      </c>
    </row>
    <row r="40" spans="1:5">
      <c r="A40">
        <f>Level!B41</f>
        <v>103500</v>
      </c>
      <c r="B40">
        <f>Level!A41</f>
        <v>38</v>
      </c>
      <c r="C40">
        <f>Plants!C41</f>
        <v>73</v>
      </c>
      <c r="D40">
        <f>Plants!A41</f>
        <v>38</v>
      </c>
      <c r="E40">
        <v>158</v>
      </c>
    </row>
    <row r="41" spans="1:5">
      <c r="A41">
        <f>Level!B42</f>
        <v>112000</v>
      </c>
      <c r="B41">
        <f>Level!A42</f>
        <v>39</v>
      </c>
      <c r="C41">
        <f>Plants!C42</f>
        <v>75</v>
      </c>
      <c r="D41">
        <f>Plants!A42</f>
        <v>39</v>
      </c>
      <c r="E41">
        <v>162</v>
      </c>
    </row>
    <row r="42" spans="1:5">
      <c r="A42">
        <f>Level!B43</f>
        <v>121000</v>
      </c>
      <c r="B42">
        <f>Level!A43</f>
        <v>40</v>
      </c>
      <c r="C42">
        <f>Plants!C43</f>
        <v>77</v>
      </c>
      <c r="D42">
        <f>Plants!A43</f>
        <v>40</v>
      </c>
      <c r="E42">
        <v>166</v>
      </c>
    </row>
    <row r="43" spans="1:5">
      <c r="A43">
        <f>Level!B44</f>
        <v>130500</v>
      </c>
      <c r="B43">
        <f>Level!A44</f>
        <v>41</v>
      </c>
      <c r="C43">
        <f>Plants!C44</f>
        <v>79</v>
      </c>
      <c r="D43">
        <f>Plants!A44</f>
        <v>41</v>
      </c>
      <c r="E43">
        <v>170</v>
      </c>
    </row>
    <row r="44" spans="1:5">
      <c r="A44">
        <f>Level!B45</f>
        <v>140500</v>
      </c>
      <c r="B44">
        <f>Level!A45</f>
        <v>42</v>
      </c>
      <c r="C44">
        <f>Plants!C45</f>
        <v>81</v>
      </c>
      <c r="D44">
        <f>Plants!A45</f>
        <v>42</v>
      </c>
      <c r="E44">
        <v>174</v>
      </c>
    </row>
    <row r="45" spans="1:5">
      <c r="A45">
        <f>Level!B46</f>
        <v>151000</v>
      </c>
      <c r="B45">
        <f>Level!A46</f>
        <v>43</v>
      </c>
      <c r="C45">
        <f>Plants!C46</f>
        <v>83</v>
      </c>
      <c r="D45">
        <f>Plants!A46</f>
        <v>43</v>
      </c>
      <c r="E45">
        <v>178</v>
      </c>
    </row>
    <row r="46" spans="1:5">
      <c r="A46">
        <f>Level!B47</f>
        <v>162000</v>
      </c>
      <c r="B46">
        <f>Level!A47</f>
        <v>44</v>
      </c>
      <c r="C46">
        <f>Plants!C47</f>
        <v>85</v>
      </c>
      <c r="D46">
        <f>Plants!A47</f>
        <v>44</v>
      </c>
      <c r="E46">
        <v>182</v>
      </c>
    </row>
    <row r="47" spans="1:5">
      <c r="A47">
        <f>Level!B48</f>
        <v>173500</v>
      </c>
      <c r="B47">
        <f>Level!A48</f>
        <v>45</v>
      </c>
      <c r="C47">
        <f>Plants!C48</f>
        <v>87</v>
      </c>
      <c r="D47">
        <f>Plants!A48</f>
        <v>45</v>
      </c>
      <c r="E47">
        <v>186</v>
      </c>
    </row>
    <row r="48" spans="1:5">
      <c r="A48">
        <f>Level!B49</f>
        <v>185500</v>
      </c>
      <c r="B48">
        <f>Level!A49</f>
        <v>46</v>
      </c>
      <c r="C48">
        <f>Plants!C49</f>
        <v>89</v>
      </c>
      <c r="D48">
        <f>Plants!A49</f>
        <v>46</v>
      </c>
      <c r="E48">
        <v>190</v>
      </c>
    </row>
    <row r="49" spans="1:5">
      <c r="A49">
        <f>Level!B50</f>
        <v>198000</v>
      </c>
      <c r="B49">
        <f>Level!A50</f>
        <v>47</v>
      </c>
      <c r="C49">
        <f>Plants!C50</f>
        <v>91</v>
      </c>
      <c r="D49">
        <f>Plants!A50</f>
        <v>47</v>
      </c>
      <c r="E49">
        <v>194</v>
      </c>
    </row>
    <row r="50" spans="1:5">
      <c r="A50">
        <f>Level!B51</f>
        <v>211000</v>
      </c>
      <c r="B50">
        <f>Level!A51</f>
        <v>48</v>
      </c>
      <c r="C50">
        <f>Plants!C51</f>
        <v>93</v>
      </c>
      <c r="D50">
        <f>Plants!A51</f>
        <v>48</v>
      </c>
      <c r="E50">
        <v>198</v>
      </c>
    </row>
    <row r="51" spans="1:5">
      <c r="A51">
        <f>Level!B52</f>
        <v>224500</v>
      </c>
      <c r="B51">
        <f>Level!A52</f>
        <v>49</v>
      </c>
      <c r="C51">
        <f>Plants!C52</f>
        <v>95</v>
      </c>
      <c r="D51">
        <f>Plants!A52</f>
        <v>49</v>
      </c>
      <c r="E51">
        <v>202</v>
      </c>
    </row>
    <row r="52" spans="1:5">
      <c r="A52">
        <f>Level!B53</f>
        <v>238500</v>
      </c>
      <c r="B52">
        <f>Level!A53</f>
        <v>50</v>
      </c>
      <c r="C52">
        <f>Plants!C53</f>
        <v>97</v>
      </c>
      <c r="D52">
        <f>Plants!A53</f>
        <v>50</v>
      </c>
      <c r="E52">
        <v>206</v>
      </c>
    </row>
    <row r="53" spans="1:5">
      <c r="A53">
        <f>Level!B54</f>
        <v>253000</v>
      </c>
      <c r="B53">
        <f>Level!A54</f>
        <v>51</v>
      </c>
      <c r="E53">
        <v>210</v>
      </c>
    </row>
    <row r="54" spans="1:5">
      <c r="A54">
        <f>Level!B55</f>
        <v>268000</v>
      </c>
      <c r="B54">
        <f>Level!A55</f>
        <v>52</v>
      </c>
      <c r="E54">
        <v>214</v>
      </c>
    </row>
    <row r="55" spans="1:5">
      <c r="A55">
        <f>Level!B56</f>
        <v>283500</v>
      </c>
      <c r="B55">
        <f>Level!A56</f>
        <v>53</v>
      </c>
      <c r="E55">
        <v>218</v>
      </c>
    </row>
    <row r="56" spans="1:5">
      <c r="A56">
        <f>Level!B57</f>
        <v>299500</v>
      </c>
      <c r="B56">
        <f>Level!A57</f>
        <v>54</v>
      </c>
      <c r="E56">
        <v>222</v>
      </c>
    </row>
    <row r="57" spans="1:5">
      <c r="A57">
        <f>Level!B58</f>
        <v>316000</v>
      </c>
      <c r="B57">
        <f>Level!A58</f>
        <v>55</v>
      </c>
      <c r="E57">
        <v>226</v>
      </c>
    </row>
    <row r="58" spans="1:5">
      <c r="A58">
        <f>Level!B59</f>
        <v>333000</v>
      </c>
      <c r="B58">
        <f>Level!A59</f>
        <v>56</v>
      </c>
      <c r="E58">
        <v>230</v>
      </c>
    </row>
    <row r="59" spans="1:5">
      <c r="A59">
        <f>Level!B60</f>
        <v>350500</v>
      </c>
      <c r="B59">
        <f>Level!A60</f>
        <v>57</v>
      </c>
      <c r="E59">
        <v>234</v>
      </c>
    </row>
    <row r="60" spans="1:5">
      <c r="A60">
        <f>Level!B61</f>
        <v>368500</v>
      </c>
      <c r="B60">
        <f>Level!A61</f>
        <v>58</v>
      </c>
      <c r="E60">
        <v>238</v>
      </c>
    </row>
    <row r="61" spans="1:5">
      <c r="A61">
        <f>Level!B62</f>
        <v>387000</v>
      </c>
      <c r="B61">
        <f>Level!A62</f>
        <v>59</v>
      </c>
      <c r="E61">
        <v>242</v>
      </c>
    </row>
    <row r="62" spans="1:5">
      <c r="A62">
        <f>Level!B63</f>
        <v>406000</v>
      </c>
      <c r="B62">
        <f>Level!A63</f>
        <v>60</v>
      </c>
      <c r="E62">
        <v>246</v>
      </c>
    </row>
    <row r="63" spans="1:5">
      <c r="A63">
        <f>Level!B64</f>
        <v>425500</v>
      </c>
      <c r="B63">
        <f>Level!A64</f>
        <v>61</v>
      </c>
      <c r="E63">
        <v>250</v>
      </c>
    </row>
    <row r="64" spans="1:5">
      <c r="A64">
        <f>Level!B65</f>
        <v>445500</v>
      </c>
      <c r="B64">
        <f>Level!A65</f>
        <v>62</v>
      </c>
    </row>
    <row r="65" spans="1:2">
      <c r="A65">
        <f>Level!B66</f>
        <v>466000</v>
      </c>
      <c r="B65">
        <f>Level!A66</f>
        <v>63</v>
      </c>
    </row>
    <row r="66" spans="1:2">
      <c r="A66">
        <f>Level!B67</f>
        <v>487000</v>
      </c>
      <c r="B66">
        <f>Level!A67</f>
        <v>64</v>
      </c>
    </row>
    <row r="67" spans="1:2">
      <c r="A67">
        <f>Level!B68</f>
        <v>508500</v>
      </c>
      <c r="B67">
        <f>Level!A68</f>
        <v>65</v>
      </c>
    </row>
    <row r="68" spans="1:2">
      <c r="A68">
        <f>Level!B69</f>
        <v>530500</v>
      </c>
      <c r="B68">
        <f>Level!A69</f>
        <v>66</v>
      </c>
    </row>
    <row r="69" spans="1:2">
      <c r="A69">
        <f>Level!B70</f>
        <v>553000</v>
      </c>
      <c r="B69">
        <f>Level!A70</f>
        <v>67</v>
      </c>
    </row>
    <row r="70" spans="1:2">
      <c r="A70">
        <f>Level!B71</f>
        <v>576000</v>
      </c>
      <c r="B70">
        <f>Level!A71</f>
        <v>68</v>
      </c>
    </row>
    <row r="71" spans="1:2">
      <c r="A71">
        <f>Level!B72</f>
        <v>599500</v>
      </c>
      <c r="B71">
        <f>Level!A72</f>
        <v>69</v>
      </c>
    </row>
    <row r="72" spans="1:2">
      <c r="A72">
        <f>Level!B73</f>
        <v>623500</v>
      </c>
      <c r="B72">
        <f>Level!A73</f>
        <v>70</v>
      </c>
    </row>
    <row r="73" spans="1:2">
      <c r="A73">
        <f>Level!B74</f>
        <v>648000</v>
      </c>
      <c r="B73">
        <f>Level!A74</f>
        <v>71</v>
      </c>
    </row>
    <row r="74" spans="1:2">
      <c r="A74">
        <f>Level!B75</f>
        <v>673000</v>
      </c>
      <c r="B74">
        <f>Level!A75</f>
        <v>72</v>
      </c>
    </row>
    <row r="75" spans="1:2">
      <c r="A75">
        <f>Level!B76</f>
        <v>698500</v>
      </c>
      <c r="B75">
        <f>Level!A76</f>
        <v>73</v>
      </c>
    </row>
    <row r="76" spans="1:2">
      <c r="A76">
        <f>Level!B77</f>
        <v>724500</v>
      </c>
      <c r="B76">
        <f>Level!A77</f>
        <v>74</v>
      </c>
    </row>
    <row r="77" spans="1:2">
      <c r="A77">
        <f>Level!B78</f>
        <v>751000</v>
      </c>
      <c r="B77">
        <f>Level!A78</f>
        <v>75</v>
      </c>
    </row>
    <row r="78" spans="1:2">
      <c r="A78">
        <f>Level!B79</f>
        <v>778000</v>
      </c>
      <c r="B78">
        <f>Level!A79</f>
        <v>76</v>
      </c>
    </row>
    <row r="79" spans="1:2">
      <c r="A79">
        <f>Level!B80</f>
        <v>805500</v>
      </c>
      <c r="B79">
        <f>Level!A80</f>
        <v>77</v>
      </c>
    </row>
    <row r="80" spans="1:2">
      <c r="A80">
        <f>Level!B81</f>
        <v>833500</v>
      </c>
      <c r="B80">
        <f>Level!A81</f>
        <v>78</v>
      </c>
    </row>
    <row r="81" spans="1:2">
      <c r="A81">
        <f>Level!B82</f>
        <v>862000</v>
      </c>
      <c r="B81">
        <f>Level!A82</f>
        <v>79</v>
      </c>
    </row>
    <row r="82" spans="1:2">
      <c r="A82">
        <f>Level!B83</f>
        <v>891000</v>
      </c>
      <c r="B82">
        <f>Level!A83</f>
        <v>80</v>
      </c>
    </row>
    <row r="83" spans="1:2">
      <c r="A83">
        <f>Level!B84</f>
        <v>920500</v>
      </c>
      <c r="B83">
        <f>Level!A84</f>
        <v>81</v>
      </c>
    </row>
    <row r="84" spans="1:2">
      <c r="A84">
        <f>Level!B85</f>
        <v>950500</v>
      </c>
      <c r="B84">
        <f>Level!A85</f>
        <v>82</v>
      </c>
    </row>
    <row r="85" spans="1:2">
      <c r="A85">
        <f>Level!B86</f>
        <v>981000</v>
      </c>
      <c r="B85">
        <f>Level!A86</f>
        <v>83</v>
      </c>
    </row>
    <row r="86" spans="1:2">
      <c r="A86">
        <f>Level!B87</f>
        <v>1012000</v>
      </c>
      <c r="B86">
        <f>Level!A87</f>
        <v>84</v>
      </c>
    </row>
    <row r="87" spans="1:2">
      <c r="A87">
        <f>Level!B88</f>
        <v>1043500</v>
      </c>
      <c r="B87">
        <f>Level!A88</f>
        <v>85</v>
      </c>
    </row>
    <row r="88" spans="1:2">
      <c r="A88">
        <f>Level!B89</f>
        <v>1075500</v>
      </c>
      <c r="B88">
        <f>Level!A89</f>
        <v>86</v>
      </c>
    </row>
    <row r="89" spans="1:2">
      <c r="A89">
        <f>Level!B90</f>
        <v>1108000</v>
      </c>
      <c r="B89">
        <f>Level!A90</f>
        <v>87</v>
      </c>
    </row>
    <row r="90" spans="1:2">
      <c r="A90">
        <f>Level!B91</f>
        <v>1141000</v>
      </c>
      <c r="B90">
        <f>Level!A91</f>
        <v>88</v>
      </c>
    </row>
    <row r="91" spans="1:2">
      <c r="A91">
        <f>Level!B92</f>
        <v>1174500</v>
      </c>
      <c r="B91">
        <f>Level!A92</f>
        <v>89</v>
      </c>
    </row>
    <row r="92" spans="1:2">
      <c r="A92">
        <f>Level!B93</f>
        <v>1208500</v>
      </c>
      <c r="B92">
        <f>Level!A93</f>
        <v>90</v>
      </c>
    </row>
    <row r="93" spans="1:2">
      <c r="A93">
        <f>Level!B94</f>
        <v>1243000</v>
      </c>
      <c r="B93">
        <f>Level!A94</f>
        <v>91</v>
      </c>
    </row>
    <row r="94" spans="1:2">
      <c r="A94">
        <f>Level!B95</f>
        <v>1278000</v>
      </c>
      <c r="B94">
        <f>Level!A95</f>
        <v>92</v>
      </c>
    </row>
    <row r="95" spans="1:2">
      <c r="A95">
        <f>Level!B96</f>
        <v>1313500</v>
      </c>
      <c r="B95">
        <f>Level!A96</f>
        <v>93</v>
      </c>
    </row>
    <row r="96" spans="1:2">
      <c r="A96">
        <f>Level!B97</f>
        <v>1349500</v>
      </c>
      <c r="B96">
        <f>Level!A97</f>
        <v>94</v>
      </c>
    </row>
    <row r="97" spans="1:2">
      <c r="A97">
        <f>Level!B98</f>
        <v>1386000</v>
      </c>
      <c r="B97">
        <f>Level!A98</f>
        <v>95</v>
      </c>
    </row>
    <row r="98" spans="1:2">
      <c r="A98">
        <f>Level!B99</f>
        <v>1423000</v>
      </c>
      <c r="B98">
        <f>Level!A99</f>
        <v>96</v>
      </c>
    </row>
    <row r="99" spans="1:2">
      <c r="A99">
        <f>Level!B100</f>
        <v>1460500</v>
      </c>
      <c r="B99">
        <f>Level!A100</f>
        <v>97</v>
      </c>
    </row>
    <row r="100" spans="1:2">
      <c r="A100">
        <f>Level!B101</f>
        <v>1498500</v>
      </c>
      <c r="B100">
        <f>Level!A101</f>
        <v>98</v>
      </c>
    </row>
    <row r="101" spans="1:2">
      <c r="A101">
        <f>Level!B102</f>
        <v>1537000</v>
      </c>
      <c r="B101">
        <f>Level!A102</f>
        <v>99</v>
      </c>
    </row>
    <row r="102" spans="1:2">
      <c r="A102">
        <f>Level!B103</f>
        <v>1576000</v>
      </c>
      <c r="B102">
        <f>Level!A103</f>
        <v>100</v>
      </c>
    </row>
    <row r="103" spans="1:2">
      <c r="A103">
        <f>Level!B104</f>
        <v>1615500</v>
      </c>
      <c r="B103">
        <f>Level!A104</f>
        <v>101</v>
      </c>
    </row>
    <row r="104" spans="1:2">
      <c r="A104">
        <f>Level!B105</f>
        <v>1655500</v>
      </c>
      <c r="B104">
        <f>Level!A105</f>
        <v>102</v>
      </c>
    </row>
    <row r="105" spans="1:2">
      <c r="A105">
        <f>Level!B106</f>
        <v>1696000</v>
      </c>
      <c r="B105">
        <f>Level!A106</f>
        <v>103</v>
      </c>
    </row>
    <row r="106" spans="1:2">
      <c r="A106">
        <f>Level!B107</f>
        <v>1737000</v>
      </c>
      <c r="B106">
        <f>Level!A107</f>
        <v>104</v>
      </c>
    </row>
    <row r="107" spans="1:2">
      <c r="A107">
        <f>Level!B108</f>
        <v>1778500</v>
      </c>
      <c r="B107">
        <f>Level!A108</f>
        <v>105</v>
      </c>
    </row>
    <row r="108" spans="1:2">
      <c r="A108">
        <f>Level!B109</f>
        <v>1820500</v>
      </c>
      <c r="B108">
        <f>Level!A109</f>
        <v>106</v>
      </c>
    </row>
    <row r="109" spans="1:2">
      <c r="A109">
        <f>Level!B110</f>
        <v>1863000</v>
      </c>
      <c r="B109">
        <f>Level!A110</f>
        <v>107</v>
      </c>
    </row>
    <row r="110" spans="1:2">
      <c r="A110">
        <f>Level!B111</f>
        <v>1906000</v>
      </c>
      <c r="B110">
        <f>Level!A111</f>
        <v>108</v>
      </c>
    </row>
    <row r="111" spans="1:2">
      <c r="A111">
        <f>Level!B112</f>
        <v>1949500</v>
      </c>
      <c r="B111">
        <f>Level!A112</f>
        <v>109</v>
      </c>
    </row>
    <row r="112" spans="1:2">
      <c r="A112">
        <f>Level!B113</f>
        <v>1993500</v>
      </c>
      <c r="B112">
        <f>Level!A113</f>
        <v>110</v>
      </c>
    </row>
    <row r="113" spans="1:2">
      <c r="A113">
        <f>Level!B114</f>
        <v>2038000</v>
      </c>
      <c r="B113">
        <f>Level!A114</f>
        <v>111</v>
      </c>
    </row>
    <row r="114" spans="1:2">
      <c r="A114">
        <f>Level!B115</f>
        <v>2083000</v>
      </c>
      <c r="B114">
        <f>Level!A115</f>
        <v>112</v>
      </c>
    </row>
    <row r="115" spans="1:2">
      <c r="A115">
        <f>Level!B116</f>
        <v>2128500</v>
      </c>
      <c r="B115">
        <f>Level!A116</f>
        <v>113</v>
      </c>
    </row>
    <row r="116" spans="1:2">
      <c r="A116">
        <f>Level!B117</f>
        <v>2174500</v>
      </c>
      <c r="B116">
        <f>Level!A117</f>
        <v>114</v>
      </c>
    </row>
    <row r="117" spans="1:2">
      <c r="A117">
        <f>Level!B118</f>
        <v>2221000</v>
      </c>
      <c r="B117">
        <f>Level!A118</f>
        <v>115</v>
      </c>
    </row>
    <row r="118" spans="1:2">
      <c r="A118">
        <f>Level!B119</f>
        <v>2268000</v>
      </c>
      <c r="B118">
        <f>Level!A119</f>
        <v>116</v>
      </c>
    </row>
    <row r="119" spans="1:2">
      <c r="A119">
        <f>Level!B120</f>
        <v>2315500</v>
      </c>
      <c r="B119">
        <f>Level!A120</f>
        <v>117</v>
      </c>
    </row>
    <row r="120" spans="1:2">
      <c r="A120">
        <f>Level!B121</f>
        <v>2363500</v>
      </c>
      <c r="B120">
        <f>Level!A121</f>
        <v>118</v>
      </c>
    </row>
    <row r="121" spans="1:2">
      <c r="A121">
        <f>Level!B122</f>
        <v>2412000</v>
      </c>
      <c r="B121">
        <f>Level!A122</f>
        <v>119</v>
      </c>
    </row>
    <row r="122" spans="1:2">
      <c r="A122">
        <f>Level!B123</f>
        <v>2461000</v>
      </c>
      <c r="B122">
        <f>Level!A123</f>
        <v>120</v>
      </c>
    </row>
    <row r="123" spans="1:2">
      <c r="A123">
        <f>Level!B124</f>
        <v>2510500</v>
      </c>
      <c r="B123">
        <f>Level!A124</f>
        <v>121</v>
      </c>
    </row>
    <row r="124" spans="1:2">
      <c r="A124">
        <f>Level!B125</f>
        <v>2560500</v>
      </c>
      <c r="B124">
        <f>Level!A125</f>
        <v>122</v>
      </c>
    </row>
    <row r="125" spans="1:2">
      <c r="A125">
        <f>Level!B126</f>
        <v>2611000</v>
      </c>
      <c r="B125">
        <f>Level!A126</f>
        <v>123</v>
      </c>
    </row>
    <row r="126" spans="1:2">
      <c r="A126">
        <f>Level!B127</f>
        <v>2662500</v>
      </c>
      <c r="B126">
        <f>Level!A127</f>
        <v>124</v>
      </c>
    </row>
    <row r="127" spans="1:2">
      <c r="A127">
        <f>Level!B128</f>
        <v>2715000</v>
      </c>
      <c r="B127">
        <f>Level!A128</f>
        <v>125</v>
      </c>
    </row>
    <row r="128" spans="1:2">
      <c r="A128">
        <f>Level!B129</f>
        <v>2768500</v>
      </c>
      <c r="B128">
        <f>Level!A129</f>
        <v>126</v>
      </c>
    </row>
    <row r="129" spans="1:2">
      <c r="A129">
        <f>Level!B130</f>
        <v>2823000</v>
      </c>
      <c r="B129">
        <f>Level!A130</f>
        <v>127</v>
      </c>
    </row>
    <row r="130" spans="1:2">
      <c r="A130">
        <f>Level!B131</f>
        <v>2878500</v>
      </c>
      <c r="B130">
        <f>Level!A131</f>
        <v>128</v>
      </c>
    </row>
    <row r="131" spans="1:2">
      <c r="A131">
        <f>Level!B132</f>
        <v>2935000</v>
      </c>
      <c r="B131">
        <f>Level!A132</f>
        <v>129</v>
      </c>
    </row>
    <row r="132" spans="1:2">
      <c r="A132">
        <f>Level!B133</f>
        <v>2992500</v>
      </c>
      <c r="B132">
        <f>Level!A133</f>
        <v>130</v>
      </c>
    </row>
    <row r="133" spans="1:2">
      <c r="A133">
        <f>Level!B134</f>
        <v>3051000</v>
      </c>
      <c r="B133">
        <f>Level!A134</f>
        <v>131</v>
      </c>
    </row>
    <row r="134" spans="1:2">
      <c r="A134">
        <f>Level!B135</f>
        <v>3110500</v>
      </c>
      <c r="B134">
        <f>Level!A135</f>
        <v>132</v>
      </c>
    </row>
    <row r="135" spans="1:2">
      <c r="A135">
        <f>Level!B136</f>
        <v>3171000</v>
      </c>
      <c r="B135">
        <f>Level!A136</f>
        <v>133</v>
      </c>
    </row>
    <row r="136" spans="1:2">
      <c r="A136">
        <f>Level!B137</f>
        <v>3232500</v>
      </c>
      <c r="B136">
        <f>Level!A137</f>
        <v>134</v>
      </c>
    </row>
    <row r="137" spans="1:2">
      <c r="A137">
        <f>Level!B138</f>
        <v>3295000</v>
      </c>
      <c r="B137">
        <f>Level!A138</f>
        <v>135</v>
      </c>
    </row>
    <row r="138" spans="1:2">
      <c r="A138">
        <f>Level!B139</f>
        <v>3358500</v>
      </c>
      <c r="B138">
        <f>Level!A139</f>
        <v>136</v>
      </c>
    </row>
    <row r="139" spans="1:2">
      <c r="A139">
        <f>Level!B140</f>
        <v>3423000</v>
      </c>
      <c r="B139">
        <f>Level!A140</f>
        <v>137</v>
      </c>
    </row>
    <row r="140" spans="1:2">
      <c r="A140">
        <f>Level!B141</f>
        <v>3488500</v>
      </c>
      <c r="B140">
        <f>Level!A141</f>
        <v>138</v>
      </c>
    </row>
    <row r="141" spans="1:2">
      <c r="A141">
        <f>Level!B142</f>
        <v>3555000</v>
      </c>
      <c r="B141">
        <f>Level!A142</f>
        <v>139</v>
      </c>
    </row>
    <row r="142" spans="1:2">
      <c r="A142">
        <f>Level!B143</f>
        <v>3622500</v>
      </c>
      <c r="B142">
        <f>Level!A143</f>
        <v>140</v>
      </c>
    </row>
    <row r="143" spans="1:2">
      <c r="A143">
        <f>Level!B144</f>
        <v>3691000</v>
      </c>
      <c r="B143">
        <f>Level!A144</f>
        <v>141</v>
      </c>
    </row>
    <row r="144" spans="1:2">
      <c r="A144">
        <f>Level!B145</f>
        <v>3760500</v>
      </c>
      <c r="B144">
        <f>Level!A145</f>
        <v>142</v>
      </c>
    </row>
    <row r="145" spans="1:2">
      <c r="A145">
        <f>Level!B146</f>
        <v>3831000</v>
      </c>
      <c r="B145">
        <f>Level!A146</f>
        <v>143</v>
      </c>
    </row>
    <row r="146" spans="1:2">
      <c r="A146">
        <f>Level!B147</f>
        <v>3902500</v>
      </c>
      <c r="B146">
        <f>Level!A147</f>
        <v>144</v>
      </c>
    </row>
    <row r="147" spans="1:2">
      <c r="A147">
        <f>Level!B148</f>
        <v>3975000</v>
      </c>
      <c r="B147">
        <f>Level!A148</f>
        <v>145</v>
      </c>
    </row>
    <row r="148" spans="1:2">
      <c r="A148">
        <f>Level!B149</f>
        <v>4048500</v>
      </c>
      <c r="B148">
        <f>Level!A149</f>
        <v>146</v>
      </c>
    </row>
    <row r="149" spans="1:2">
      <c r="A149">
        <f>Level!B150</f>
        <v>4123000</v>
      </c>
      <c r="B149">
        <f>Level!A150</f>
        <v>147</v>
      </c>
    </row>
    <row r="150" spans="1:2">
      <c r="A150">
        <f>Level!B151</f>
        <v>4198500</v>
      </c>
      <c r="B150">
        <f>Level!A151</f>
        <v>148</v>
      </c>
    </row>
    <row r="151" spans="1:2">
      <c r="A151">
        <f>Level!B152</f>
        <v>4275000</v>
      </c>
      <c r="B151">
        <f>Level!A152</f>
        <v>149</v>
      </c>
    </row>
    <row r="152" spans="1:2">
      <c r="A152">
        <f>Level!B153</f>
        <v>4352500</v>
      </c>
      <c r="B152">
        <f>Level!A153</f>
        <v>150</v>
      </c>
    </row>
    <row r="153" spans="1:2">
      <c r="A153">
        <f>Level!B154</f>
        <v>4431000</v>
      </c>
      <c r="B153">
        <f>Level!A154</f>
        <v>151</v>
      </c>
    </row>
    <row r="154" spans="1:2">
      <c r="A154">
        <f>Level!B155</f>
        <v>4510500</v>
      </c>
      <c r="B154">
        <f>Level!A155</f>
        <v>152</v>
      </c>
    </row>
    <row r="155" spans="1:2">
      <c r="A155">
        <f>Level!B156</f>
        <v>4591000</v>
      </c>
      <c r="B155">
        <f>Level!A156</f>
        <v>153</v>
      </c>
    </row>
    <row r="156" spans="1:2">
      <c r="A156">
        <f>Level!B157</f>
        <v>4672500</v>
      </c>
      <c r="B156">
        <f>Level!A157</f>
        <v>154</v>
      </c>
    </row>
    <row r="157" spans="1:2">
      <c r="A157">
        <f>Level!B158</f>
        <v>4755000</v>
      </c>
      <c r="B157">
        <f>Level!A158</f>
        <v>155</v>
      </c>
    </row>
    <row r="158" spans="1:2">
      <c r="A158">
        <f>Level!B159</f>
        <v>4838500</v>
      </c>
      <c r="B158">
        <f>Level!A159</f>
        <v>156</v>
      </c>
    </row>
    <row r="159" spans="1:2">
      <c r="A159">
        <f>Level!B160</f>
        <v>4923000</v>
      </c>
      <c r="B159">
        <f>Level!A160</f>
        <v>157</v>
      </c>
    </row>
    <row r="160" spans="1:2">
      <c r="A160">
        <f>Level!B161</f>
        <v>5008500</v>
      </c>
      <c r="B160">
        <f>Level!A161</f>
        <v>158</v>
      </c>
    </row>
    <row r="161" spans="1:2">
      <c r="A161">
        <f>Level!B162</f>
        <v>5095000</v>
      </c>
      <c r="B161">
        <f>Level!A162</f>
        <v>159</v>
      </c>
    </row>
    <row r="162" spans="1:2">
      <c r="A162">
        <f>Level!B163</f>
        <v>5182500</v>
      </c>
      <c r="B162">
        <f>Level!A163</f>
        <v>160</v>
      </c>
    </row>
    <row r="163" spans="1:2">
      <c r="A163">
        <f>Level!B164</f>
        <v>5271000</v>
      </c>
      <c r="B163">
        <f>Level!A164</f>
        <v>161</v>
      </c>
    </row>
    <row r="164" spans="1:2">
      <c r="A164">
        <f>Level!B165</f>
        <v>5360500</v>
      </c>
      <c r="B164">
        <f>Level!A165</f>
        <v>162</v>
      </c>
    </row>
    <row r="165" spans="1:2">
      <c r="A165">
        <f>Level!B166</f>
        <v>5451000</v>
      </c>
      <c r="B165">
        <f>Level!A166</f>
        <v>163</v>
      </c>
    </row>
    <row r="166" spans="1:2">
      <c r="A166">
        <f>Level!B167</f>
        <v>5542500</v>
      </c>
      <c r="B166">
        <f>Level!A167</f>
        <v>164</v>
      </c>
    </row>
    <row r="167" spans="1:2">
      <c r="A167">
        <f>Level!B168</f>
        <v>5635000</v>
      </c>
      <c r="B167">
        <f>Level!A168</f>
        <v>165</v>
      </c>
    </row>
    <row r="168" spans="1:2">
      <c r="A168">
        <f>Level!B169</f>
        <v>5728500</v>
      </c>
      <c r="B168">
        <f>Level!A169</f>
        <v>166</v>
      </c>
    </row>
    <row r="169" spans="1:2">
      <c r="A169">
        <f>Level!B170</f>
        <v>5823000</v>
      </c>
      <c r="B169">
        <f>Level!A170</f>
        <v>167</v>
      </c>
    </row>
    <row r="170" spans="1:2">
      <c r="A170">
        <f>Level!B171</f>
        <v>5918500</v>
      </c>
      <c r="B170">
        <f>Level!A171</f>
        <v>168</v>
      </c>
    </row>
    <row r="171" spans="1:2">
      <c r="A171">
        <f>Level!B172</f>
        <v>6015000</v>
      </c>
      <c r="B171">
        <f>Level!A172</f>
        <v>169</v>
      </c>
    </row>
    <row r="172" spans="1:2">
      <c r="A172">
        <f>Level!B173</f>
        <v>6112500</v>
      </c>
      <c r="B172">
        <f>Level!A173</f>
        <v>170</v>
      </c>
    </row>
    <row r="173" spans="1:2">
      <c r="A173">
        <f>Level!B174</f>
        <v>6211000</v>
      </c>
      <c r="B173">
        <f>Level!A174</f>
        <v>171</v>
      </c>
    </row>
    <row r="174" spans="1:2">
      <c r="A174">
        <f>Level!B175</f>
        <v>6310500</v>
      </c>
      <c r="B174">
        <f>Level!A175</f>
        <v>172</v>
      </c>
    </row>
    <row r="175" spans="1:2">
      <c r="A175">
        <f>Level!B176</f>
        <v>6411000</v>
      </c>
      <c r="B175">
        <f>Level!A176</f>
        <v>173</v>
      </c>
    </row>
    <row r="176" spans="1:2">
      <c r="A176">
        <f>Level!B177</f>
        <v>6513000</v>
      </c>
      <c r="B176">
        <f>Level!A177</f>
        <v>174</v>
      </c>
    </row>
    <row r="177" spans="1:2">
      <c r="A177">
        <f>Level!B178</f>
        <v>6616500</v>
      </c>
      <c r="B177">
        <f>Level!A178</f>
        <v>175</v>
      </c>
    </row>
    <row r="178" spans="1:2">
      <c r="A178">
        <f>Level!B179</f>
        <v>6721500</v>
      </c>
      <c r="B178">
        <f>Level!A179</f>
        <v>176</v>
      </c>
    </row>
    <row r="179" spans="1:2">
      <c r="A179">
        <f>Level!B180</f>
        <v>6828000</v>
      </c>
      <c r="B179">
        <f>Level!A180</f>
        <v>177</v>
      </c>
    </row>
    <row r="180" spans="1:2">
      <c r="A180">
        <f>Level!B181</f>
        <v>6936000</v>
      </c>
      <c r="B180">
        <f>Level!A181</f>
        <v>178</v>
      </c>
    </row>
    <row r="181" spans="1:2">
      <c r="A181">
        <f>Level!B182</f>
        <v>7045500</v>
      </c>
      <c r="B181">
        <f>Level!A182</f>
        <v>179</v>
      </c>
    </row>
    <row r="182" spans="1:2">
      <c r="A182">
        <f>Level!B183</f>
        <v>7156500</v>
      </c>
      <c r="B182">
        <f>Level!A183</f>
        <v>180</v>
      </c>
    </row>
    <row r="183" spans="1:2">
      <c r="A183">
        <f>Level!B184</f>
        <v>7269000</v>
      </c>
      <c r="B183">
        <f>Level!A184</f>
        <v>181</v>
      </c>
    </row>
    <row r="184" spans="1:2">
      <c r="A184">
        <f>Level!B185</f>
        <v>7383000</v>
      </c>
      <c r="B184">
        <f>Level!A185</f>
        <v>182</v>
      </c>
    </row>
    <row r="185" spans="1:2">
      <c r="A185">
        <f>Level!B186</f>
        <v>7498500</v>
      </c>
      <c r="B185">
        <f>Level!A186</f>
        <v>183</v>
      </c>
    </row>
    <row r="186" spans="1:2">
      <c r="A186">
        <f>Level!B187</f>
        <v>7615500</v>
      </c>
      <c r="B186">
        <f>Level!A187</f>
        <v>184</v>
      </c>
    </row>
    <row r="187" spans="1:2">
      <c r="A187">
        <f>Level!B188</f>
        <v>7734000</v>
      </c>
      <c r="B187">
        <f>Level!A188</f>
        <v>185</v>
      </c>
    </row>
    <row r="188" spans="1:2">
      <c r="A188">
        <f>Level!B189</f>
        <v>7854000</v>
      </c>
      <c r="B188">
        <f>Level!A189</f>
        <v>186</v>
      </c>
    </row>
    <row r="189" spans="1:2">
      <c r="A189">
        <f>Level!B190</f>
        <v>7975500</v>
      </c>
      <c r="B189">
        <f>Level!A190</f>
        <v>187</v>
      </c>
    </row>
    <row r="190" spans="1:2">
      <c r="A190">
        <f>Level!B191</f>
        <v>8098500</v>
      </c>
      <c r="B190">
        <f>Level!A191</f>
        <v>188</v>
      </c>
    </row>
    <row r="191" spans="1:2">
      <c r="A191">
        <f>Level!B192</f>
        <v>8223000</v>
      </c>
      <c r="B191">
        <f>Level!A192</f>
        <v>189</v>
      </c>
    </row>
    <row r="192" spans="1:2">
      <c r="A192">
        <f>Level!B193</f>
        <v>8349000</v>
      </c>
      <c r="B192">
        <f>Level!A193</f>
        <v>190</v>
      </c>
    </row>
    <row r="193" spans="1:2">
      <c r="A193">
        <f>Level!B194</f>
        <v>8476500</v>
      </c>
      <c r="B193">
        <f>Level!A194</f>
        <v>191</v>
      </c>
    </row>
    <row r="194" spans="1:2">
      <c r="A194">
        <f>Level!B195</f>
        <v>8605500</v>
      </c>
      <c r="B194">
        <f>Level!A195</f>
        <v>192</v>
      </c>
    </row>
    <row r="195" spans="1:2">
      <c r="A195">
        <f>Level!B196</f>
        <v>8736000</v>
      </c>
      <c r="B195">
        <f>Level!A196</f>
        <v>193</v>
      </c>
    </row>
    <row r="196" spans="1:2">
      <c r="A196">
        <f>Level!B197</f>
        <v>8868000</v>
      </c>
      <c r="B196">
        <f>Level!A197</f>
        <v>194</v>
      </c>
    </row>
    <row r="197" spans="1:2">
      <c r="A197">
        <f>Level!B198</f>
        <v>9001500</v>
      </c>
      <c r="B197">
        <f>Level!A198</f>
        <v>195</v>
      </c>
    </row>
    <row r="198" spans="1:2">
      <c r="A198">
        <f>Level!B199</f>
        <v>9136500</v>
      </c>
      <c r="B198">
        <f>Level!A199</f>
        <v>196</v>
      </c>
    </row>
    <row r="199" spans="1:2">
      <c r="A199">
        <f>Level!B200</f>
        <v>9273000</v>
      </c>
      <c r="B199">
        <f>Level!A200</f>
        <v>197</v>
      </c>
    </row>
    <row r="200" spans="1:2">
      <c r="A200">
        <f>Level!B201</f>
        <v>9411000</v>
      </c>
      <c r="B200">
        <f>Level!A201</f>
        <v>198</v>
      </c>
    </row>
    <row r="201" spans="1:2">
      <c r="A201">
        <f>Level!B202</f>
        <v>9550500</v>
      </c>
      <c r="B201">
        <f>Level!A202</f>
        <v>199</v>
      </c>
    </row>
    <row r="202" spans="1:2">
      <c r="A202">
        <f>Level!B203</f>
        <v>9691500</v>
      </c>
      <c r="B202">
        <f>Level!A203</f>
        <v>200</v>
      </c>
    </row>
  </sheetData>
  <mergeCells count="4">
    <mergeCell ref="A1:B1"/>
    <mergeCell ref="C1:D1"/>
    <mergeCell ref="E1:F1"/>
    <mergeCell ref="G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2" enableFormatConditionsCalculation="0"/>
  <dimension ref="A1:T203"/>
  <sheetViews>
    <sheetView workbookViewId="0">
      <pane xSplit="1" ySplit="3" topLeftCell="B4" activePane="bottomRight" state="frozen"/>
      <selection pane="topRight" activeCell="B1" sqref="B1"/>
      <selection pane="bottomLeft" activeCell="A3" sqref="A3"/>
      <selection pane="bottomRight" activeCell="J7" sqref="J7"/>
    </sheetView>
  </sheetViews>
  <sheetFormatPr baseColWidth="10" defaultRowHeight="15" x14ac:dyDescent="0"/>
  <cols>
    <col min="2" max="2" width="12.6640625" bestFit="1" customWidth="1"/>
    <col min="3" max="3" width="9.1640625" bestFit="1" customWidth="1"/>
    <col min="4" max="4" width="10.1640625" bestFit="1" customWidth="1"/>
    <col min="5" max="5" width="21.1640625" bestFit="1" customWidth="1"/>
    <col min="6" max="6" width="23" bestFit="1" customWidth="1"/>
    <col min="7" max="7" width="21.1640625" bestFit="1" customWidth="1"/>
    <col min="8" max="8" width="23" bestFit="1" customWidth="1"/>
    <col min="9" max="9" width="16.6640625" bestFit="1" customWidth="1"/>
    <col min="10" max="10" width="18.33203125" bestFit="1" customWidth="1"/>
    <col min="11" max="11" width="16.5" bestFit="1" customWidth="1"/>
    <col min="12" max="12" width="18.33203125" bestFit="1" customWidth="1"/>
    <col min="13" max="13" width="21.5" bestFit="1" customWidth="1"/>
    <col min="14" max="14" width="24.33203125" bestFit="1" customWidth="1"/>
    <col min="15" max="15" width="18.83203125" bestFit="1" customWidth="1"/>
    <col min="16" max="16" width="18.83203125" customWidth="1"/>
    <col min="17" max="17" width="16.5" bestFit="1" customWidth="1"/>
    <col min="18" max="18" width="2.33203125" style="50" customWidth="1"/>
    <col min="20" max="20" width="12.5" bestFit="1" customWidth="1"/>
  </cols>
  <sheetData>
    <row r="1" spans="1:20" s="2" customFormat="1">
      <c r="A1" s="212"/>
      <c r="B1" s="18" t="s">
        <v>4</v>
      </c>
      <c r="C1" s="354" t="s">
        <v>20</v>
      </c>
      <c r="D1" s="360"/>
      <c r="E1" s="360"/>
      <c r="F1" s="360"/>
      <c r="G1" s="360"/>
      <c r="H1" s="360"/>
      <c r="I1" s="360"/>
      <c r="J1" s="360"/>
      <c r="K1" s="360"/>
      <c r="L1" s="355"/>
      <c r="M1" s="354" t="s">
        <v>405</v>
      </c>
      <c r="N1" s="355"/>
      <c r="O1" s="354" t="s">
        <v>14</v>
      </c>
      <c r="P1" s="358"/>
      <c r="Q1" s="355"/>
      <c r="R1" s="49"/>
    </row>
    <row r="2" spans="1:20" s="17" customFormat="1">
      <c r="A2" s="213"/>
      <c r="B2" s="53"/>
      <c r="C2" s="21"/>
      <c r="D2" s="22"/>
      <c r="E2" s="361" t="s">
        <v>50</v>
      </c>
      <c r="F2" s="361"/>
      <c r="G2" s="361" t="s">
        <v>49</v>
      </c>
      <c r="H2" s="361"/>
      <c r="I2" s="361" t="s">
        <v>48</v>
      </c>
      <c r="J2" s="361"/>
      <c r="K2" s="361" t="s">
        <v>47</v>
      </c>
      <c r="L2" s="357"/>
      <c r="M2" s="356"/>
      <c r="N2" s="357"/>
      <c r="O2" s="356"/>
      <c r="P2" s="359"/>
      <c r="Q2" s="357"/>
      <c r="R2" s="49"/>
    </row>
    <row r="3" spans="1:20" s="2" customFormat="1" ht="16" thickBot="1">
      <c r="A3" s="214" t="s">
        <v>0</v>
      </c>
      <c r="B3" s="54" t="s">
        <v>24</v>
      </c>
      <c r="C3" s="51" t="s">
        <v>135</v>
      </c>
      <c r="D3" s="55" t="s">
        <v>282</v>
      </c>
      <c r="E3" s="56" t="s">
        <v>412</v>
      </c>
      <c r="F3" s="56" t="s">
        <v>413</v>
      </c>
      <c r="G3" s="56" t="s">
        <v>414</v>
      </c>
      <c r="H3" s="56" t="s">
        <v>415</v>
      </c>
      <c r="I3" s="56" t="s">
        <v>416</v>
      </c>
      <c r="J3" s="56" t="s">
        <v>417</v>
      </c>
      <c r="K3" s="56" t="s">
        <v>418</v>
      </c>
      <c r="L3" s="56" t="s">
        <v>419</v>
      </c>
      <c r="M3" s="51" t="s">
        <v>297</v>
      </c>
      <c r="N3" s="52" t="s">
        <v>298</v>
      </c>
      <c r="O3" s="51" t="s">
        <v>25</v>
      </c>
      <c r="P3" s="196" t="s">
        <v>234</v>
      </c>
      <c r="Q3" s="52" t="s">
        <v>26</v>
      </c>
      <c r="R3" s="49"/>
      <c r="S3" s="2" t="s">
        <v>452</v>
      </c>
      <c r="T3" s="2" t="s">
        <v>453</v>
      </c>
    </row>
    <row r="4" spans="1:20">
      <c r="A4" s="44">
        <f>IF(ISNUMBER(A3),A3,0)+1</f>
        <v>1</v>
      </c>
      <c r="B4" s="259">
        <f>IF(S4&lt;10000,ROUND(S4,0),IF(S4&lt;100000,ROUNDUP(S4/100,0)*100,ROUNDUP(S4/1000,0)*500))</f>
        <v>0</v>
      </c>
      <c r="C4" s="36">
        <v>500</v>
      </c>
      <c r="D4" s="37">
        <v>4</v>
      </c>
      <c r="E4" s="37"/>
      <c r="F4" s="37"/>
      <c r="G4" s="37"/>
      <c r="H4" s="37"/>
      <c r="I4" s="37" t="s">
        <v>119</v>
      </c>
      <c r="J4" s="37">
        <v>5</v>
      </c>
      <c r="K4" s="37"/>
      <c r="L4" s="35"/>
      <c r="M4" s="36">
        <f>VLOOKUP(A4,Plots!$B$4:$E$39,4)</f>
        <v>10</v>
      </c>
      <c r="N4" s="35">
        <f>VLOOKUP(A4,Garden!$B$4:$D$19,3)</f>
        <v>9</v>
      </c>
      <c r="O4" s="78">
        <f>MIN(4,ROUNDUP(VLOOKUP(A4,Background!$C$3:$D$52,2)/5,0))</f>
        <v>1</v>
      </c>
      <c r="P4" s="195">
        <f>MIN(50,ROUNDUP(A4/3,0),M4)</f>
        <v>1</v>
      </c>
      <c r="Q4" s="35">
        <f>MAX(4,MIN(A4,M4))</f>
        <v>4</v>
      </c>
      <c r="S4" s="80">
        <v>0</v>
      </c>
      <c r="T4" s="260">
        <v>2.0133437990580852E-3</v>
      </c>
    </row>
    <row r="5" spans="1:20">
      <c r="A5" s="36">
        <f t="shared" ref="A5:A68" si="0">IF(ISNUMBER(A4),A4,0)+1</f>
        <v>2</v>
      </c>
      <c r="B5" s="16">
        <f>IF(S5&lt;10000,ROUND(S5,0),IF(S5&lt;100000,ROUNDUP(S5/100,0)*100,ROUNDUP(S5/500,0)*500))</f>
        <v>18</v>
      </c>
      <c r="C5" s="36"/>
      <c r="D5" s="37"/>
      <c r="E5" s="37"/>
      <c r="F5" s="37"/>
      <c r="G5" s="37"/>
      <c r="H5" s="37"/>
      <c r="I5" s="37" t="s">
        <v>272</v>
      </c>
      <c r="J5" s="37">
        <v>5</v>
      </c>
      <c r="K5" s="37"/>
      <c r="L5" s="35"/>
      <c r="M5" s="36">
        <f>VLOOKUP(A5,Plots!$B$4:$E$39,4)</f>
        <v>14</v>
      </c>
      <c r="N5" s="35">
        <f>VLOOKUP(A5,Garden!$B$4:$D$19,3)</f>
        <v>9</v>
      </c>
      <c r="O5" s="78">
        <f>MIN(4,ROUNDUP(VLOOKUP(A5,Background!$C$3:$D$52,2)/5,0))</f>
        <v>1</v>
      </c>
      <c r="P5" s="195">
        <f t="shared" ref="P5:P68" si="1">MIN(50,ROUNDUP(A5/3,0),M5)</f>
        <v>1</v>
      </c>
      <c r="Q5" s="35">
        <f>MAX(4,MIN(A5,M5))</f>
        <v>4</v>
      </c>
      <c r="S5" s="80">
        <v>18</v>
      </c>
      <c r="T5" s="260">
        <v>2.991982963264965E-3</v>
      </c>
    </row>
    <row r="6" spans="1:20">
      <c r="A6" s="36">
        <f t="shared" si="0"/>
        <v>3</v>
      </c>
      <c r="B6" s="16">
        <f t="shared" ref="B6:B69" si="2">IF(S6&lt;10000,ROUND(S6,0),IF(S6&lt;100000,ROUNDUP(S6/100,0)*100,ROUNDUP(S6/500,0)*500))</f>
        <v>70</v>
      </c>
      <c r="C6" s="36"/>
      <c r="D6" s="37"/>
      <c r="E6" s="37"/>
      <c r="F6" s="37"/>
      <c r="G6" s="37"/>
      <c r="H6" s="37"/>
      <c r="I6" s="37" t="s">
        <v>271</v>
      </c>
      <c r="J6" s="37">
        <v>4</v>
      </c>
      <c r="K6" s="37"/>
      <c r="L6" s="35"/>
      <c r="M6" s="36">
        <f>VLOOKUP(A6,Plots!$B$4:$E$39,4)</f>
        <v>14</v>
      </c>
      <c r="N6" s="35">
        <f>VLOOKUP(A6,Garden!$B$4:$D$19,3)</f>
        <v>10</v>
      </c>
      <c r="O6" s="78">
        <f>MIN(4,ROUNDUP(VLOOKUP(A6,Background!$C$3:$D$52,2)/5,0))</f>
        <v>1</v>
      </c>
      <c r="P6" s="195">
        <f t="shared" si="1"/>
        <v>1</v>
      </c>
      <c r="Q6" s="35">
        <f>MAX(4,MIN(A6,M6))</f>
        <v>4</v>
      </c>
      <c r="S6" s="80">
        <v>70</v>
      </c>
      <c r="T6" s="260">
        <v>1.7300507527892452E-2</v>
      </c>
    </row>
    <row r="7" spans="1:20">
      <c r="A7" s="36">
        <f t="shared" si="0"/>
        <v>4</v>
      </c>
      <c r="B7" s="16">
        <f t="shared" si="2"/>
        <v>176</v>
      </c>
      <c r="C7" s="36"/>
      <c r="D7" s="37"/>
      <c r="E7" s="37"/>
      <c r="F7" s="37"/>
      <c r="G7" s="37"/>
      <c r="H7" s="37"/>
      <c r="I7" s="37"/>
      <c r="J7" s="37"/>
      <c r="K7" s="37"/>
      <c r="L7" s="35"/>
      <c r="M7" s="36">
        <f>VLOOKUP(A7,Plots!$B$4:$E$39,4)</f>
        <v>14</v>
      </c>
      <c r="N7" s="35">
        <f>VLOOKUP(A7,Garden!$B$4:$D$19,3)</f>
        <v>10</v>
      </c>
      <c r="O7" s="78">
        <f>MIN(4,ROUNDUP(VLOOKUP(A7,Background!$C$3:$D$52,2)/5,0))</f>
        <v>1</v>
      </c>
      <c r="P7" s="195">
        <f t="shared" si="1"/>
        <v>2</v>
      </c>
      <c r="Q7" s="35">
        <f>MAX(4,MIN(A7,M7))</f>
        <v>4</v>
      </c>
      <c r="S7" s="80">
        <v>176</v>
      </c>
      <c r="T7" s="260">
        <v>7.2702874474640342E-2</v>
      </c>
    </row>
    <row r="8" spans="1:20">
      <c r="A8" s="36">
        <f t="shared" si="0"/>
        <v>5</v>
      </c>
      <c r="B8" s="16">
        <f t="shared" si="2"/>
        <v>285</v>
      </c>
      <c r="C8" s="36"/>
      <c r="D8" s="37"/>
      <c r="E8" s="37"/>
      <c r="F8" s="37"/>
      <c r="G8" s="37"/>
      <c r="H8" s="37"/>
      <c r="I8" s="37" t="s">
        <v>287</v>
      </c>
      <c r="J8" s="37">
        <v>4</v>
      </c>
      <c r="K8" s="37"/>
      <c r="L8" s="35"/>
      <c r="M8" s="36">
        <f>VLOOKUP(A8,Plots!$B$4:$E$39,4)</f>
        <v>18</v>
      </c>
      <c r="N8" s="35">
        <f>VLOOKUP(A8,Garden!$B$4:$D$19,3)</f>
        <v>10</v>
      </c>
      <c r="O8" s="78">
        <f>MIN(4,ROUNDUP(VLOOKUP(A8,Background!$C$3:$D$52,2)/5,0))</f>
        <v>1</v>
      </c>
      <c r="P8" s="195">
        <f t="shared" si="1"/>
        <v>2</v>
      </c>
      <c r="Q8" s="35">
        <f>MAX(4,MIN(A8,M8))</f>
        <v>5</v>
      </c>
      <c r="S8" s="80">
        <v>285</v>
      </c>
      <c r="T8" s="260">
        <f t="shared" ref="T8:T72" si="3">MIN(5,MAX(0.1+T7,T7*1.1))</f>
        <v>0.17270287447464033</v>
      </c>
    </row>
    <row r="9" spans="1:20">
      <c r="A9" s="258">
        <f t="shared" si="0"/>
        <v>6</v>
      </c>
      <c r="B9" s="16">
        <f t="shared" si="2"/>
        <v>415</v>
      </c>
      <c r="C9" s="36"/>
      <c r="D9" s="37"/>
      <c r="E9" s="37"/>
      <c r="F9" s="37"/>
      <c r="G9" s="37"/>
      <c r="H9" s="37"/>
      <c r="I9" s="37"/>
      <c r="J9" s="37"/>
      <c r="K9" s="37"/>
      <c r="L9" s="35"/>
      <c r="M9" s="36">
        <f>VLOOKUP(A9,Plots!$B$4:$E$39,4)</f>
        <v>18</v>
      </c>
      <c r="N9" s="35">
        <f>VLOOKUP(A9,Garden!$B$4:$D$19,3)</f>
        <v>10</v>
      </c>
      <c r="O9" s="78">
        <f>MIN(4,ROUNDUP(VLOOKUP(A9,Background!$C$3:$D$52,2)/5,0))</f>
        <v>1</v>
      </c>
      <c r="P9" s="195">
        <f t="shared" si="1"/>
        <v>2</v>
      </c>
      <c r="Q9" s="35">
        <f t="shared" ref="Q9:Q72" si="4">MAX(4,MIN(A9,M9))</f>
        <v>6</v>
      </c>
      <c r="S9" s="80">
        <f>B8+MAX(Overview!C8*T8,(B8-B7)*1.01)</f>
        <v>415.07634718644323</v>
      </c>
      <c r="T9" s="260">
        <f t="shared" si="3"/>
        <v>0.27270287447464037</v>
      </c>
    </row>
    <row r="10" spans="1:20">
      <c r="A10" s="258">
        <f t="shared" si="0"/>
        <v>7</v>
      </c>
      <c r="B10" s="16">
        <f t="shared" si="2"/>
        <v>586</v>
      </c>
      <c r="C10" s="36"/>
      <c r="D10" s="37"/>
      <c r="E10" s="37"/>
      <c r="F10" s="37"/>
      <c r="G10" s="37"/>
      <c r="H10" s="37"/>
      <c r="I10" s="37"/>
      <c r="J10" s="37"/>
      <c r="K10" s="37"/>
      <c r="L10" s="35"/>
      <c r="M10" s="36">
        <f>VLOOKUP(A10,Plots!$B$4:$E$39,4)</f>
        <v>18</v>
      </c>
      <c r="N10" s="35">
        <f>VLOOKUP(A10,Garden!$B$4:$D$19,3)</f>
        <v>10</v>
      </c>
      <c r="O10" s="78">
        <f>MIN(4,ROUNDUP(VLOOKUP(A10,Background!$C$3:$D$52,2)/5,0))</f>
        <v>1</v>
      </c>
      <c r="P10" s="195">
        <f t="shared" si="1"/>
        <v>3</v>
      </c>
      <c r="Q10" s="35">
        <f t="shared" si="4"/>
        <v>7</v>
      </c>
      <c r="S10" s="80">
        <f>B9+MAX(Overview!C9*T9,(B9-B8)*1.01)</f>
        <v>586.25425523229956</v>
      </c>
      <c r="T10" s="260">
        <f t="shared" si="3"/>
        <v>0.37270287447464034</v>
      </c>
    </row>
    <row r="11" spans="1:20">
      <c r="A11" s="258">
        <f t="shared" si="0"/>
        <v>8</v>
      </c>
      <c r="B11" s="16">
        <f t="shared" si="2"/>
        <v>810</v>
      </c>
      <c r="C11" s="36"/>
      <c r="D11" s="37"/>
      <c r="E11" s="37"/>
      <c r="F11" s="37"/>
      <c r="G11" s="37"/>
      <c r="H11" s="37"/>
      <c r="I11" s="37"/>
      <c r="J11" s="37"/>
      <c r="K11" s="37"/>
      <c r="L11" s="35"/>
      <c r="M11" s="36">
        <f>VLOOKUP(A11,Plots!$B$4:$E$39,4)</f>
        <v>22</v>
      </c>
      <c r="N11" s="35">
        <f>VLOOKUP(A11,Garden!$B$4:$D$19,3)</f>
        <v>10</v>
      </c>
      <c r="O11" s="78">
        <f>MIN(4,ROUNDUP(VLOOKUP(A11,Background!$C$3:$D$52,2)/5,0))</f>
        <v>1</v>
      </c>
      <c r="P11" s="195">
        <f t="shared" si="1"/>
        <v>3</v>
      </c>
      <c r="Q11" s="35">
        <f t="shared" si="4"/>
        <v>8</v>
      </c>
      <c r="S11" s="80">
        <f>B10+MAX(Overview!C10*T10,(B10-B9)*1.01)</f>
        <v>810.15221441597305</v>
      </c>
      <c r="T11" s="260">
        <f t="shared" si="3"/>
        <v>0.47270287447464032</v>
      </c>
    </row>
    <row r="12" spans="1:20">
      <c r="A12" s="258">
        <f t="shared" si="0"/>
        <v>9</v>
      </c>
      <c r="B12" s="16">
        <f t="shared" si="2"/>
        <v>1143</v>
      </c>
      <c r="C12" s="36"/>
      <c r="D12" s="37"/>
      <c r="E12" s="37"/>
      <c r="F12" s="37"/>
      <c r="G12" s="37"/>
      <c r="H12" s="37"/>
      <c r="I12" s="37"/>
      <c r="J12" s="37"/>
      <c r="K12" s="37"/>
      <c r="L12" s="35"/>
      <c r="M12" s="36">
        <f>VLOOKUP(A12,Plots!$B$4:$E$39,4)</f>
        <v>22</v>
      </c>
      <c r="N12" s="35">
        <f>VLOOKUP(A12,Garden!$B$4:$D$19,3)</f>
        <v>10</v>
      </c>
      <c r="O12" s="78">
        <f>MIN(4,ROUNDUP(VLOOKUP(A12,Background!$C$3:$D$52,2)/5,0))</f>
        <v>2</v>
      </c>
      <c r="P12" s="195">
        <f t="shared" si="1"/>
        <v>3</v>
      </c>
      <c r="Q12" s="35">
        <f t="shared" si="4"/>
        <v>9</v>
      </c>
      <c r="S12" s="80">
        <f>B11+MAX(Overview!C11*T11,(B11-B10)*1.01)</f>
        <v>1142.6168788440123</v>
      </c>
      <c r="T12" s="260">
        <f t="shared" si="3"/>
        <v>0.5727028744746403</v>
      </c>
    </row>
    <row r="13" spans="1:20">
      <c r="A13" s="258">
        <f t="shared" si="0"/>
        <v>10</v>
      </c>
      <c r="B13" s="16">
        <f t="shared" si="2"/>
        <v>1520</v>
      </c>
      <c r="C13" s="36"/>
      <c r="D13" s="37"/>
      <c r="E13" s="37"/>
      <c r="F13" s="37"/>
      <c r="G13" s="37"/>
      <c r="H13" s="37"/>
      <c r="I13" s="37"/>
      <c r="J13" s="37"/>
      <c r="K13" s="37"/>
      <c r="L13" s="35"/>
      <c r="M13" s="36">
        <f>VLOOKUP(A13,Plots!$B$4:$E$39,4)</f>
        <v>22</v>
      </c>
      <c r="N13" s="35">
        <f>VLOOKUP(A13,Garden!$B$4:$D$19,3)</f>
        <v>11</v>
      </c>
      <c r="O13" s="78">
        <f>MIN(4,ROUNDUP(VLOOKUP(A13,Background!$C$3:$D$52,2)/5,0))</f>
        <v>2</v>
      </c>
      <c r="P13" s="195">
        <f t="shared" si="1"/>
        <v>4</v>
      </c>
      <c r="Q13" s="35">
        <f t="shared" si="4"/>
        <v>10</v>
      </c>
      <c r="S13" s="80">
        <f>B12+MAX(Overview!C12*T12,(B12-B11)*1.01)</f>
        <v>1519.836160131211</v>
      </c>
      <c r="T13" s="260">
        <f t="shared" si="3"/>
        <v>0.67270287447464028</v>
      </c>
    </row>
    <row r="14" spans="1:20">
      <c r="A14" s="258">
        <f t="shared" si="0"/>
        <v>11</v>
      </c>
      <c r="B14" s="16">
        <f t="shared" si="2"/>
        <v>1958</v>
      </c>
      <c r="C14" s="36"/>
      <c r="D14" s="37"/>
      <c r="E14" s="37"/>
      <c r="F14" s="37"/>
      <c r="G14" s="37"/>
      <c r="H14" s="37"/>
      <c r="I14" s="37"/>
      <c r="J14" s="37"/>
      <c r="K14" s="37"/>
      <c r="L14" s="35"/>
      <c r="M14" s="36">
        <f>VLOOKUP(A14,Plots!$B$4:$E$39,4)</f>
        <v>22</v>
      </c>
      <c r="N14" s="35">
        <f>VLOOKUP(A14,Garden!$B$4:$D$19,3)</f>
        <v>11</v>
      </c>
      <c r="O14" s="78">
        <f>MIN(4,ROUNDUP(VLOOKUP(A14,Background!$C$3:$D$52,2)/5,0))</f>
        <v>2</v>
      </c>
      <c r="P14" s="195">
        <f t="shared" si="1"/>
        <v>4</v>
      </c>
      <c r="Q14" s="35">
        <f t="shared" si="4"/>
        <v>11</v>
      </c>
      <c r="S14" s="80">
        <f>B13+MAX(Overview!C13*T13,(B13-B12)*1.01)</f>
        <v>1957.9212665141899</v>
      </c>
      <c r="T14" s="260">
        <f t="shared" si="3"/>
        <v>0.77270287447464026</v>
      </c>
    </row>
    <row r="15" spans="1:20">
      <c r="A15" s="258">
        <f t="shared" si="0"/>
        <v>12</v>
      </c>
      <c r="B15" s="16">
        <f t="shared" si="2"/>
        <v>2458</v>
      </c>
      <c r="C15" s="36"/>
      <c r="D15" s="37"/>
      <c r="E15" s="37"/>
      <c r="F15" s="37"/>
      <c r="G15" s="37"/>
      <c r="H15" s="37"/>
      <c r="I15" s="37"/>
      <c r="J15" s="37"/>
      <c r="K15" s="37"/>
      <c r="L15" s="35"/>
      <c r="M15" s="36">
        <f>VLOOKUP(A15,Plots!$B$4:$E$39,4)</f>
        <v>26</v>
      </c>
      <c r="N15" s="35">
        <f>VLOOKUP(A15,Garden!$B$4:$D$19,3)</f>
        <v>11</v>
      </c>
      <c r="O15" s="78">
        <f>MIN(4,ROUNDUP(VLOOKUP(A15,Background!$C$3:$D$52,2)/5,0))</f>
        <v>2</v>
      </c>
      <c r="P15" s="195">
        <f t="shared" si="1"/>
        <v>4</v>
      </c>
      <c r="Q15" s="35">
        <f t="shared" si="4"/>
        <v>12</v>
      </c>
      <c r="S15" s="80">
        <f>B14+MAX(Overview!C14*T14,(B14-B13)*1.01)</f>
        <v>2457.7747716098916</v>
      </c>
      <c r="T15" s="260">
        <f t="shared" si="3"/>
        <v>0.87270287447464023</v>
      </c>
    </row>
    <row r="16" spans="1:20">
      <c r="A16" s="258">
        <f t="shared" si="0"/>
        <v>13</v>
      </c>
      <c r="B16" s="16">
        <f t="shared" si="2"/>
        <v>3116</v>
      </c>
      <c r="C16" s="36"/>
      <c r="D16" s="37"/>
      <c r="E16" s="37"/>
      <c r="F16" s="37"/>
      <c r="G16" s="37"/>
      <c r="H16" s="37"/>
      <c r="I16" s="37"/>
      <c r="J16" s="37"/>
      <c r="K16" s="37"/>
      <c r="L16" s="35"/>
      <c r="M16" s="36">
        <f>VLOOKUP(A16,Plots!$B$4:$E$39,4)</f>
        <v>26</v>
      </c>
      <c r="N16" s="35">
        <f>VLOOKUP(A16,Garden!$B$4:$D$19,3)</f>
        <v>11</v>
      </c>
      <c r="O16" s="78">
        <f>MIN(4,ROUNDUP(VLOOKUP(A16,Background!$C$3:$D$52,2)/5,0))</f>
        <v>2</v>
      </c>
      <c r="P16" s="195">
        <f t="shared" si="1"/>
        <v>5</v>
      </c>
      <c r="Q16" s="35">
        <f t="shared" si="4"/>
        <v>13</v>
      </c>
      <c r="S16" s="80">
        <f>B15+MAX(Overview!C15*T15,(B15-B14)*1.01)</f>
        <v>3116.0428338690444</v>
      </c>
      <c r="T16" s="260">
        <f t="shared" si="3"/>
        <v>0.97270287447464021</v>
      </c>
    </row>
    <row r="17" spans="1:20">
      <c r="A17" s="258">
        <f t="shared" si="0"/>
        <v>14</v>
      </c>
      <c r="B17" s="16">
        <f t="shared" si="2"/>
        <v>3847</v>
      </c>
      <c r="C17" s="36"/>
      <c r="D17" s="37"/>
      <c r="E17" s="37"/>
      <c r="F17" s="37"/>
      <c r="G17" s="37"/>
      <c r="H17" s="37"/>
      <c r="I17" s="37"/>
      <c r="J17" s="37"/>
      <c r="K17" s="37"/>
      <c r="L17" s="35"/>
      <c r="M17" s="36">
        <f>VLOOKUP(A17,Plots!$B$4:$E$39,4)</f>
        <v>26</v>
      </c>
      <c r="N17" s="35">
        <f>VLOOKUP(A17,Garden!$B$4:$D$19,3)</f>
        <v>11</v>
      </c>
      <c r="O17" s="78">
        <f>MIN(4,ROUNDUP(VLOOKUP(A17,Background!$C$3:$D$52,2)/5,0))</f>
        <v>2</v>
      </c>
      <c r="P17" s="195">
        <f t="shared" si="1"/>
        <v>5</v>
      </c>
      <c r="Q17" s="35">
        <f t="shared" si="4"/>
        <v>14</v>
      </c>
      <c r="S17" s="80">
        <f>B16+MAX(Overview!C16*T16,(B16-B15)*1.01)</f>
        <v>3847.1249153211388</v>
      </c>
      <c r="T17" s="260">
        <f t="shared" si="3"/>
        <v>1.0727028744746403</v>
      </c>
    </row>
    <row r="18" spans="1:20">
      <c r="A18" s="258">
        <f t="shared" si="0"/>
        <v>15</v>
      </c>
      <c r="B18" s="16">
        <f t="shared" si="2"/>
        <v>4651</v>
      </c>
      <c r="C18" s="36"/>
      <c r="D18" s="37"/>
      <c r="E18" s="37"/>
      <c r="F18" s="37"/>
      <c r="G18" s="37"/>
      <c r="H18" s="37"/>
      <c r="I18" s="37"/>
      <c r="J18" s="37"/>
      <c r="K18" s="37"/>
      <c r="L18" s="35"/>
      <c r="M18" s="36">
        <f>VLOOKUP(A18,Plots!$B$4:$E$39,4)</f>
        <v>30</v>
      </c>
      <c r="N18" s="35">
        <f>VLOOKUP(A18,Garden!$B$4:$D$19,3)</f>
        <v>11</v>
      </c>
      <c r="O18" s="78">
        <f>MIN(4,ROUNDUP(VLOOKUP(A18,Background!$C$3:$D$52,2)/5,0))</f>
        <v>2</v>
      </c>
      <c r="P18" s="195">
        <f t="shared" si="1"/>
        <v>5</v>
      </c>
      <c r="Q18" s="35">
        <f t="shared" si="4"/>
        <v>15</v>
      </c>
      <c r="S18" s="80">
        <f>B17+MAX(Overview!C17*T17,(B17-B16)*1.01)</f>
        <v>4650.5134045297718</v>
      </c>
      <c r="T18" s="260">
        <f t="shared" si="3"/>
        <v>1.1799731619221043</v>
      </c>
    </row>
    <row r="19" spans="1:20">
      <c r="A19" s="258">
        <f t="shared" si="0"/>
        <v>16</v>
      </c>
      <c r="B19" s="16">
        <f t="shared" si="2"/>
        <v>5664</v>
      </c>
      <c r="C19" s="36"/>
      <c r="D19" s="37"/>
      <c r="E19" s="37"/>
      <c r="F19" s="37"/>
      <c r="G19" s="37"/>
      <c r="H19" s="37"/>
      <c r="I19" s="37"/>
      <c r="J19" s="37"/>
      <c r="K19" s="37"/>
      <c r="L19" s="35"/>
      <c r="M19" s="36">
        <f>VLOOKUP(A19,Plots!$B$4:$E$39,4)</f>
        <v>30</v>
      </c>
      <c r="N19" s="35">
        <f>VLOOKUP(A19,Garden!$B$4:$D$19,3)</f>
        <v>11</v>
      </c>
      <c r="O19" s="78">
        <f>MIN(4,ROUNDUP(VLOOKUP(A19,Background!$C$3:$D$52,2)/5,0))</f>
        <v>2</v>
      </c>
      <c r="P19" s="195">
        <f t="shared" si="1"/>
        <v>6</v>
      </c>
      <c r="Q19" s="35">
        <f t="shared" si="4"/>
        <v>16</v>
      </c>
      <c r="S19" s="80">
        <f>B18+MAX(Overview!C18*T18,(B18-B17)*1.01)</f>
        <v>5664.3552746717287</v>
      </c>
      <c r="T19" s="260">
        <f t="shared" si="3"/>
        <v>1.2979704781143149</v>
      </c>
    </row>
    <row r="20" spans="1:20">
      <c r="A20" s="258">
        <f t="shared" si="0"/>
        <v>17</v>
      </c>
      <c r="B20" s="16">
        <f t="shared" si="2"/>
        <v>6776</v>
      </c>
      <c r="C20" s="36"/>
      <c r="D20" s="37"/>
      <c r="E20" s="37"/>
      <c r="F20" s="37"/>
      <c r="G20" s="37"/>
      <c r="H20" s="37"/>
      <c r="I20" s="37"/>
      <c r="J20" s="37"/>
      <c r="K20" s="37"/>
      <c r="L20" s="35"/>
      <c r="M20" s="36">
        <f>VLOOKUP(A20,Plots!$B$4:$E$39,4)</f>
        <v>30</v>
      </c>
      <c r="N20" s="35">
        <f>VLOOKUP(A20,Garden!$B$4:$D$19,3)</f>
        <v>12</v>
      </c>
      <c r="O20" s="78">
        <f>MIN(4,ROUNDUP(VLOOKUP(A20,Background!$C$3:$D$52,2)/5,0))</f>
        <v>2</v>
      </c>
      <c r="P20" s="195">
        <f t="shared" si="1"/>
        <v>6</v>
      </c>
      <c r="Q20" s="35">
        <f t="shared" si="4"/>
        <v>17</v>
      </c>
      <c r="S20" s="80">
        <f>B19+MAX(Overview!C19*T19,(B19-B18)*1.01)</f>
        <v>6775.990802138901</v>
      </c>
      <c r="T20" s="260">
        <f t="shared" si="3"/>
        <v>1.4277675259257465</v>
      </c>
    </row>
    <row r="21" spans="1:20">
      <c r="A21" s="258">
        <f t="shared" si="0"/>
        <v>18</v>
      </c>
      <c r="B21" s="16">
        <f t="shared" si="2"/>
        <v>7997</v>
      </c>
      <c r="C21" s="36"/>
      <c r="D21" s="37"/>
      <c r="E21" s="37"/>
      <c r="F21" s="37"/>
      <c r="G21" s="37"/>
      <c r="H21" s="37"/>
      <c r="I21" s="37"/>
      <c r="J21" s="37"/>
      <c r="K21" s="37"/>
      <c r="L21" s="35"/>
      <c r="M21" s="36">
        <f>VLOOKUP(A21,Plots!$B$4:$E$39,4)</f>
        <v>30</v>
      </c>
      <c r="N21" s="35">
        <f>VLOOKUP(A21,Garden!$B$4:$D$19,3)</f>
        <v>12</v>
      </c>
      <c r="O21" s="78">
        <f>MIN(4,ROUNDUP(VLOOKUP(A21,Background!$C$3:$D$52,2)/5,0))</f>
        <v>2</v>
      </c>
      <c r="P21" s="195">
        <f t="shared" si="1"/>
        <v>6</v>
      </c>
      <c r="Q21" s="35">
        <f t="shared" si="4"/>
        <v>18</v>
      </c>
      <c r="S21" s="80">
        <f>B20+MAX(Overview!C20*T20,(B20-B19)*1.01)</f>
        <v>7997.2033817389802</v>
      </c>
      <c r="T21" s="260">
        <f t="shared" si="3"/>
        <v>1.5705442785183212</v>
      </c>
    </row>
    <row r="22" spans="1:20">
      <c r="A22" s="258">
        <f t="shared" si="0"/>
        <v>19</v>
      </c>
      <c r="B22" s="16">
        <f t="shared" si="2"/>
        <v>9338</v>
      </c>
      <c r="C22" s="36"/>
      <c r="D22" s="37"/>
      <c r="E22" s="37"/>
      <c r="F22" s="37"/>
      <c r="G22" s="37"/>
      <c r="H22" s="37"/>
      <c r="I22" s="37"/>
      <c r="J22" s="37"/>
      <c r="K22" s="37"/>
      <c r="L22" s="35"/>
      <c r="M22" s="36">
        <f>VLOOKUP(A22,Plots!$B$4:$E$39,4)</f>
        <v>34</v>
      </c>
      <c r="N22" s="35">
        <f>VLOOKUP(A22,Garden!$B$4:$D$19,3)</f>
        <v>12</v>
      </c>
      <c r="O22" s="78">
        <f>MIN(4,ROUNDUP(VLOOKUP(A22,Background!$C$3:$D$52,2)/5,0))</f>
        <v>3</v>
      </c>
      <c r="P22" s="195">
        <f t="shared" si="1"/>
        <v>7</v>
      </c>
      <c r="Q22" s="35">
        <f t="shared" si="4"/>
        <v>19</v>
      </c>
      <c r="S22" s="80">
        <f>B21+MAX(Overview!C21*T21,(B21-B20)*1.01)</f>
        <v>9337.6237199128773</v>
      </c>
      <c r="T22" s="260">
        <f t="shared" si="3"/>
        <v>1.7275987063701534</v>
      </c>
    </row>
    <row r="23" spans="1:20">
      <c r="A23" s="258">
        <f t="shared" si="0"/>
        <v>20</v>
      </c>
      <c r="B23" s="16">
        <f t="shared" si="2"/>
        <v>11100</v>
      </c>
      <c r="C23" s="36"/>
      <c r="D23" s="37"/>
      <c r="E23" s="37"/>
      <c r="F23" s="37"/>
      <c r="G23" s="37"/>
      <c r="H23" s="37"/>
      <c r="I23" s="37"/>
      <c r="J23" s="37"/>
      <c r="K23" s="37"/>
      <c r="L23" s="35"/>
      <c r="M23" s="36">
        <f>VLOOKUP(A23,Plots!$B$4:$E$39,4)</f>
        <v>34</v>
      </c>
      <c r="N23" s="35">
        <f>VLOOKUP(A23,Garden!$B$4:$D$19,3)</f>
        <v>12</v>
      </c>
      <c r="O23" s="78">
        <f>MIN(4,ROUNDUP(VLOOKUP(A23,Background!$C$3:$D$52,2)/5,0))</f>
        <v>3</v>
      </c>
      <c r="P23" s="195">
        <f t="shared" si="1"/>
        <v>7</v>
      </c>
      <c r="Q23" s="35">
        <f t="shared" si="4"/>
        <v>20</v>
      </c>
      <c r="S23" s="80">
        <f>B22+MAX(Overview!C22*T22,(B22-B21)*1.01)</f>
        <v>11003.416129082474</v>
      </c>
      <c r="T23" s="260">
        <f t="shared" si="3"/>
        <v>1.9003585770071689</v>
      </c>
    </row>
    <row r="24" spans="1:20">
      <c r="A24" s="258">
        <f t="shared" si="0"/>
        <v>21</v>
      </c>
      <c r="B24" s="16">
        <f t="shared" si="2"/>
        <v>13000</v>
      </c>
      <c r="C24" s="36"/>
      <c r="D24" s="37"/>
      <c r="E24" s="37"/>
      <c r="F24" s="37"/>
      <c r="G24" s="37"/>
      <c r="H24" s="37"/>
      <c r="I24" s="37"/>
      <c r="J24" s="37"/>
      <c r="K24" s="37"/>
      <c r="L24" s="35"/>
      <c r="M24" s="36">
        <f>VLOOKUP(A24,Plots!$B$4:$E$39,4)</f>
        <v>34</v>
      </c>
      <c r="N24" s="35">
        <f>VLOOKUP(A24,Garden!$B$4:$D$19,3)</f>
        <v>12</v>
      </c>
      <c r="O24" s="78">
        <f>MIN(4,ROUNDUP(VLOOKUP(A24,Background!$C$3:$D$52,2)/5,0))</f>
        <v>3</v>
      </c>
      <c r="P24" s="195">
        <f t="shared" si="1"/>
        <v>7</v>
      </c>
      <c r="Q24" s="35">
        <f t="shared" si="4"/>
        <v>21</v>
      </c>
      <c r="S24" s="80">
        <f>B23+MAX(Overview!C23*T23,(B23-B22)*1.01)</f>
        <v>12929.257741990721</v>
      </c>
      <c r="T24" s="260">
        <f t="shared" si="3"/>
        <v>2.090394434707886</v>
      </c>
    </row>
    <row r="25" spans="1:20">
      <c r="A25" s="258">
        <f t="shared" si="0"/>
        <v>22</v>
      </c>
      <c r="B25" s="16">
        <f t="shared" si="2"/>
        <v>15100</v>
      </c>
      <c r="C25" s="36"/>
      <c r="D25" s="37"/>
      <c r="E25" s="37"/>
      <c r="F25" s="37"/>
      <c r="G25" s="37"/>
      <c r="H25" s="37"/>
      <c r="I25" s="37"/>
      <c r="J25" s="37"/>
      <c r="K25" s="37"/>
      <c r="L25" s="35"/>
      <c r="M25" s="36">
        <f>VLOOKUP(A25,Plots!$B$4:$E$39,4)</f>
        <v>38</v>
      </c>
      <c r="N25" s="35">
        <f>VLOOKUP(A25,Garden!$B$4:$D$19,3)</f>
        <v>12</v>
      </c>
      <c r="O25" s="78">
        <f>MIN(4,ROUNDUP(VLOOKUP(A25,Background!$C$3:$D$52,2)/5,0))</f>
        <v>3</v>
      </c>
      <c r="P25" s="195">
        <f t="shared" si="1"/>
        <v>8</v>
      </c>
      <c r="Q25" s="35">
        <f t="shared" si="4"/>
        <v>22</v>
      </c>
      <c r="S25" s="80">
        <f>B24+MAX(Overview!C24*T24,(B24-B23)*1.01)</f>
        <v>15010.227488579194</v>
      </c>
      <c r="T25" s="260">
        <f t="shared" si="3"/>
        <v>2.2994338781786747</v>
      </c>
    </row>
    <row r="26" spans="1:20">
      <c r="A26" s="258">
        <f t="shared" si="0"/>
        <v>23</v>
      </c>
      <c r="B26" s="16">
        <f t="shared" si="2"/>
        <v>17600</v>
      </c>
      <c r="C26" s="36"/>
      <c r="D26" s="37"/>
      <c r="E26" s="37"/>
      <c r="F26" s="37"/>
      <c r="G26" s="37"/>
      <c r="H26" s="37"/>
      <c r="I26" s="37"/>
      <c r="J26" s="37"/>
      <c r="K26" s="37"/>
      <c r="L26" s="35"/>
      <c r="M26" s="36">
        <f>VLOOKUP(A26,Plots!$B$4:$E$39,4)</f>
        <v>38</v>
      </c>
      <c r="N26" s="35">
        <f>VLOOKUP(A26,Garden!$B$4:$D$19,3)</f>
        <v>12</v>
      </c>
      <c r="O26" s="78">
        <f>MIN(4,ROUNDUP(VLOOKUP(A26,Background!$C$3:$D$52,2)/5,0))</f>
        <v>3</v>
      </c>
      <c r="P26" s="195">
        <f t="shared" si="1"/>
        <v>8</v>
      </c>
      <c r="Q26" s="35">
        <f t="shared" si="4"/>
        <v>23</v>
      </c>
      <c r="S26" s="80">
        <f>B25+MAX(Overview!C25*T25,(B25-B24)*1.01)</f>
        <v>17565.203206547361</v>
      </c>
      <c r="T26" s="260">
        <f t="shared" si="3"/>
        <v>2.5293772659965423</v>
      </c>
    </row>
    <row r="27" spans="1:20">
      <c r="A27" s="258">
        <f t="shared" si="0"/>
        <v>24</v>
      </c>
      <c r="B27" s="16">
        <f t="shared" si="2"/>
        <v>20400</v>
      </c>
      <c r="C27" s="36"/>
      <c r="D27" s="37"/>
      <c r="E27" s="37"/>
      <c r="F27" s="37"/>
      <c r="G27" s="37"/>
      <c r="H27" s="37"/>
      <c r="I27" s="37"/>
      <c r="J27" s="37"/>
      <c r="K27" s="37"/>
      <c r="L27" s="35"/>
      <c r="M27" s="36">
        <f>VLOOKUP(A27,Plots!$B$4:$E$39,4)</f>
        <v>38</v>
      </c>
      <c r="N27" s="35">
        <f>VLOOKUP(A27,Garden!$B$4:$D$19,3)</f>
        <v>13</v>
      </c>
      <c r="O27" s="78">
        <f>MIN(4,ROUNDUP(VLOOKUP(A27,Background!$C$3:$D$52,2)/5,0))</f>
        <v>3</v>
      </c>
      <c r="P27" s="195">
        <f t="shared" si="1"/>
        <v>8</v>
      </c>
      <c r="Q27" s="35">
        <f t="shared" si="4"/>
        <v>24</v>
      </c>
      <c r="S27" s="80">
        <f>B26+MAX(Overview!C26*T26,(B26-B25)*1.01)</f>
        <v>20309.849620187822</v>
      </c>
      <c r="T27" s="260">
        <f t="shared" si="3"/>
        <v>2.7823149925961967</v>
      </c>
    </row>
    <row r="28" spans="1:20">
      <c r="A28" s="258">
        <f t="shared" si="0"/>
        <v>25</v>
      </c>
      <c r="B28" s="16">
        <f t="shared" si="2"/>
        <v>23400</v>
      </c>
      <c r="C28" s="36"/>
      <c r="D28" s="37"/>
      <c r="E28" s="37"/>
      <c r="F28" s="37"/>
      <c r="G28" s="37"/>
      <c r="H28" s="37"/>
      <c r="I28" s="37"/>
      <c r="J28" s="37"/>
      <c r="K28" s="37"/>
      <c r="L28" s="35"/>
      <c r="M28" s="36">
        <f>VLOOKUP(A28,Plots!$B$4:$E$39,4)</f>
        <v>38</v>
      </c>
      <c r="N28" s="35">
        <f>VLOOKUP(A28,Garden!$B$4:$D$19,3)</f>
        <v>13</v>
      </c>
      <c r="O28" s="78">
        <f>MIN(4,ROUNDUP(VLOOKUP(A28,Background!$C$3:$D$52,2)/5,0))</f>
        <v>3</v>
      </c>
      <c r="P28" s="195">
        <f t="shared" si="1"/>
        <v>9</v>
      </c>
      <c r="Q28" s="35">
        <f t="shared" si="4"/>
        <v>25</v>
      </c>
      <c r="S28" s="80">
        <f>B27+MAX(Overview!C27*T27,(B27-B26)*1.01)</f>
        <v>23378.134582206607</v>
      </c>
      <c r="T28" s="260">
        <f t="shared" si="3"/>
        <v>3.0605464918558165</v>
      </c>
    </row>
    <row r="29" spans="1:20">
      <c r="A29" s="258">
        <f t="shared" si="0"/>
        <v>26</v>
      </c>
      <c r="B29" s="16">
        <f t="shared" si="2"/>
        <v>26700</v>
      </c>
      <c r="C29" s="36"/>
      <c r="D29" s="37"/>
      <c r="E29" s="37"/>
      <c r="F29" s="37"/>
      <c r="G29" s="37"/>
      <c r="H29" s="37"/>
      <c r="I29" s="37"/>
      <c r="J29" s="37"/>
      <c r="K29" s="37"/>
      <c r="L29" s="35"/>
      <c r="M29" s="36">
        <f>VLOOKUP(A29,Plots!$B$4:$E$39,4)</f>
        <v>42</v>
      </c>
      <c r="N29" s="35">
        <f>VLOOKUP(A29,Garden!$B$4:$D$19,3)</f>
        <v>13</v>
      </c>
      <c r="O29" s="78">
        <f>MIN(4,ROUNDUP(VLOOKUP(A29,Background!$C$3:$D$52,2)/5,0))</f>
        <v>3</v>
      </c>
      <c r="P29" s="195">
        <f t="shared" si="1"/>
        <v>9</v>
      </c>
      <c r="Q29" s="35">
        <f t="shared" si="4"/>
        <v>26</v>
      </c>
      <c r="S29" s="80">
        <f>B28+MAX(Overview!C28*T28,(B28-B27)*1.01)</f>
        <v>26674.083449571117</v>
      </c>
      <c r="T29" s="260">
        <f t="shared" si="3"/>
        <v>3.3666011410413983</v>
      </c>
    </row>
    <row r="30" spans="1:20">
      <c r="A30" s="258">
        <f t="shared" si="0"/>
        <v>27</v>
      </c>
      <c r="B30" s="16">
        <f t="shared" si="2"/>
        <v>30700</v>
      </c>
      <c r="C30" s="36"/>
      <c r="D30" s="37"/>
      <c r="E30" s="37"/>
      <c r="F30" s="37"/>
      <c r="G30" s="37"/>
      <c r="H30" s="37"/>
      <c r="I30" s="37"/>
      <c r="J30" s="37"/>
      <c r="K30" s="37"/>
      <c r="L30" s="35"/>
      <c r="M30" s="36">
        <f>VLOOKUP(A30,Plots!$B$4:$E$39,4)</f>
        <v>42</v>
      </c>
      <c r="N30" s="35">
        <f>VLOOKUP(A30,Garden!$B$4:$D$19,3)</f>
        <v>13</v>
      </c>
      <c r="O30" s="78">
        <f>MIN(4,ROUNDUP(VLOOKUP(A30,Background!$C$3:$D$52,2)/5,0))</f>
        <v>3</v>
      </c>
      <c r="P30" s="195">
        <f t="shared" si="1"/>
        <v>9</v>
      </c>
      <c r="Q30" s="35">
        <f t="shared" si="4"/>
        <v>27</v>
      </c>
      <c r="S30" s="80">
        <f>B29+MAX(Overview!C29*T29,(B29-B28)*1.01)</f>
        <v>30674.769878162777</v>
      </c>
      <c r="T30" s="260">
        <f t="shared" si="3"/>
        <v>3.7032612551455384</v>
      </c>
    </row>
    <row r="31" spans="1:20">
      <c r="A31" s="258">
        <f t="shared" si="0"/>
        <v>28</v>
      </c>
      <c r="B31" s="16">
        <f t="shared" si="2"/>
        <v>35100</v>
      </c>
      <c r="C31" s="36"/>
      <c r="D31" s="37"/>
      <c r="E31" s="37"/>
      <c r="F31" s="37"/>
      <c r="G31" s="37"/>
      <c r="H31" s="37"/>
      <c r="I31" s="37"/>
      <c r="J31" s="37"/>
      <c r="K31" s="37"/>
      <c r="L31" s="35"/>
      <c r="M31" s="36">
        <f>VLOOKUP(A31,Plots!$B$4:$E$39,4)</f>
        <v>42</v>
      </c>
      <c r="N31" s="35">
        <f>VLOOKUP(A31,Garden!$B$4:$D$19,3)</f>
        <v>13</v>
      </c>
      <c r="O31" s="78">
        <f>MIN(4,ROUNDUP(VLOOKUP(A31,Background!$C$3:$D$52,2)/5,0))</f>
        <v>3</v>
      </c>
      <c r="P31" s="195">
        <f t="shared" si="1"/>
        <v>10</v>
      </c>
      <c r="Q31" s="35">
        <f t="shared" si="4"/>
        <v>28</v>
      </c>
      <c r="S31" s="80">
        <f>B30+MAX(Overview!C30*T30,(B30-B29)*1.01)</f>
        <v>35070.494550048606</v>
      </c>
      <c r="T31" s="260">
        <f t="shared" si="3"/>
        <v>4.0735873806600926</v>
      </c>
    </row>
    <row r="32" spans="1:20">
      <c r="A32" s="258">
        <f t="shared" si="0"/>
        <v>29</v>
      </c>
      <c r="B32" s="16">
        <f t="shared" si="2"/>
        <v>40000</v>
      </c>
      <c r="C32" s="36"/>
      <c r="D32" s="37"/>
      <c r="E32" s="37"/>
      <c r="F32" s="37"/>
      <c r="G32" s="37"/>
      <c r="H32" s="37"/>
      <c r="I32" s="37"/>
      <c r="J32" s="37"/>
      <c r="K32" s="37"/>
      <c r="L32" s="35"/>
      <c r="M32" s="36">
        <f>VLOOKUP(A32,Plots!$B$4:$E$39,4)</f>
        <v>46</v>
      </c>
      <c r="N32" s="35">
        <f>VLOOKUP(A32,Garden!$B$4:$D$19,3)</f>
        <v>13</v>
      </c>
      <c r="O32" s="78">
        <f>MIN(4,ROUNDUP(VLOOKUP(A32,Background!$C$3:$D$52,2)/5,0))</f>
        <v>4</v>
      </c>
      <c r="P32" s="195">
        <f t="shared" si="1"/>
        <v>10</v>
      </c>
      <c r="Q32" s="35">
        <f t="shared" si="4"/>
        <v>29</v>
      </c>
      <c r="S32" s="80">
        <f>B31+MAX(Overview!C31*T31,(B31-B30)*1.01)</f>
        <v>39904.84400505347</v>
      </c>
      <c r="T32" s="260">
        <f t="shared" si="3"/>
        <v>4.4809461187261022</v>
      </c>
    </row>
    <row r="33" spans="1:20">
      <c r="A33" s="258">
        <f t="shared" si="0"/>
        <v>30</v>
      </c>
      <c r="B33" s="16">
        <f t="shared" si="2"/>
        <v>45900</v>
      </c>
      <c r="C33" s="36"/>
      <c r="D33" s="37"/>
      <c r="E33" s="37"/>
      <c r="F33" s="37"/>
      <c r="G33" s="37"/>
      <c r="H33" s="37"/>
      <c r="I33" s="37"/>
      <c r="J33" s="37"/>
      <c r="K33" s="37"/>
      <c r="L33" s="35"/>
      <c r="M33" s="36">
        <f>VLOOKUP(A33,Plots!$B$4:$E$39,4)</f>
        <v>46</v>
      </c>
      <c r="N33" s="35">
        <f>VLOOKUP(A33,Garden!$B$4:$D$19,3)</f>
        <v>13</v>
      </c>
      <c r="O33" s="78">
        <f>MIN(4,ROUNDUP(VLOOKUP(A33,Background!$C$3:$D$52,2)/5,0))</f>
        <v>4</v>
      </c>
      <c r="P33" s="195">
        <f t="shared" si="1"/>
        <v>10</v>
      </c>
      <c r="Q33" s="35">
        <f t="shared" si="4"/>
        <v>30</v>
      </c>
      <c r="S33" s="80">
        <f>B32+MAX(Overview!C32*T32,(B32-B31)*1.01)</f>
        <v>45842.397157218198</v>
      </c>
      <c r="T33" s="260">
        <f t="shared" si="3"/>
        <v>4.9290407305987127</v>
      </c>
    </row>
    <row r="34" spans="1:20">
      <c r="A34" s="258">
        <f t="shared" si="0"/>
        <v>31</v>
      </c>
      <c r="B34" s="16">
        <f t="shared" si="2"/>
        <v>52400</v>
      </c>
      <c r="C34" s="36"/>
      <c r="D34" s="37"/>
      <c r="E34" s="37"/>
      <c r="F34" s="37"/>
      <c r="G34" s="37"/>
      <c r="H34" s="37"/>
      <c r="I34" s="37"/>
      <c r="J34" s="37"/>
      <c r="K34" s="37"/>
      <c r="L34" s="35"/>
      <c r="M34" s="36">
        <f>VLOOKUP(A34,Plots!$B$4:$E$39,4)</f>
        <v>46</v>
      </c>
      <c r="N34" s="35">
        <f>VLOOKUP(A34,Garden!$B$4:$D$19,3)</f>
        <v>14</v>
      </c>
      <c r="O34" s="78">
        <f>MIN(4,ROUNDUP(VLOOKUP(A34,Background!$C$3:$D$52,2)/5,0))</f>
        <v>4</v>
      </c>
      <c r="P34" s="195">
        <f t="shared" si="1"/>
        <v>11</v>
      </c>
      <c r="Q34" s="35">
        <f t="shared" si="4"/>
        <v>31</v>
      </c>
      <c r="S34" s="80">
        <f>B33+MAX(Overview!C33*T33,(B33-B32)*1.01)</f>
        <v>52323.936872940023</v>
      </c>
      <c r="T34" s="260">
        <f t="shared" si="3"/>
        <v>5</v>
      </c>
    </row>
    <row r="35" spans="1:20">
      <c r="A35" s="258">
        <f t="shared" si="0"/>
        <v>32</v>
      </c>
      <c r="B35" s="16">
        <f t="shared" si="2"/>
        <v>59000</v>
      </c>
      <c r="C35" s="36"/>
      <c r="D35" s="37"/>
      <c r="E35" s="37"/>
      <c r="F35" s="37"/>
      <c r="G35" s="37"/>
      <c r="H35" s="37"/>
      <c r="I35" s="37"/>
      <c r="J35" s="37"/>
      <c r="K35" s="37"/>
      <c r="L35" s="35"/>
      <c r="M35" s="36">
        <f>VLOOKUP(A35,Plots!$B$4:$E$39,4)</f>
        <v>46</v>
      </c>
      <c r="N35" s="35">
        <f>VLOOKUP(A35,Garden!$B$4:$D$19,3)</f>
        <v>14</v>
      </c>
      <c r="O35" s="78">
        <f>MIN(4,ROUNDUP(VLOOKUP(A35,Background!$C$3:$D$52,2)/5,0))</f>
        <v>4</v>
      </c>
      <c r="P35" s="195">
        <f t="shared" si="1"/>
        <v>11</v>
      </c>
      <c r="Q35" s="35">
        <f t="shared" si="4"/>
        <v>32</v>
      </c>
      <c r="S35" s="80">
        <f>B34+MAX(Overview!C34*T34,(B34-B33)*1.01)</f>
        <v>58973.412884333819</v>
      </c>
      <c r="T35" s="260">
        <f t="shared" si="3"/>
        <v>5</v>
      </c>
    </row>
    <row r="36" spans="1:20">
      <c r="A36" s="258">
        <f t="shared" si="0"/>
        <v>33</v>
      </c>
      <c r="B36" s="16">
        <f t="shared" si="2"/>
        <v>65700</v>
      </c>
      <c r="C36" s="36"/>
      <c r="D36" s="37"/>
      <c r="E36" s="37"/>
      <c r="F36" s="37"/>
      <c r="G36" s="37"/>
      <c r="H36" s="37"/>
      <c r="I36" s="37"/>
      <c r="J36" s="37"/>
      <c r="K36" s="37"/>
      <c r="L36" s="35"/>
      <c r="M36" s="36">
        <f>VLOOKUP(A36,Plots!$B$4:$E$39,4)</f>
        <v>50</v>
      </c>
      <c r="N36" s="35">
        <f>VLOOKUP(A36,Garden!$B$4:$D$19,3)</f>
        <v>14</v>
      </c>
      <c r="O36" s="78">
        <f>MIN(4,ROUNDUP(VLOOKUP(A36,Background!$C$3:$D$52,2)/5,0))</f>
        <v>4</v>
      </c>
      <c r="P36" s="195">
        <f t="shared" si="1"/>
        <v>11</v>
      </c>
      <c r="Q36" s="35">
        <f t="shared" si="4"/>
        <v>33</v>
      </c>
      <c r="S36" s="80">
        <f>B35+MAX(Overview!C35*T35,(B35-B34)*1.01)</f>
        <v>65666</v>
      </c>
      <c r="T36" s="260">
        <f t="shared" si="3"/>
        <v>5</v>
      </c>
    </row>
    <row r="37" spans="1:20">
      <c r="A37" s="258">
        <f t="shared" si="0"/>
        <v>34</v>
      </c>
      <c r="B37" s="16">
        <f t="shared" si="2"/>
        <v>72900</v>
      </c>
      <c r="C37" s="36"/>
      <c r="D37" s="37"/>
      <c r="E37" s="37"/>
      <c r="F37" s="37"/>
      <c r="G37" s="37"/>
      <c r="H37" s="37"/>
      <c r="I37" s="37"/>
      <c r="J37" s="37"/>
      <c r="K37" s="37"/>
      <c r="L37" s="35"/>
      <c r="M37" s="36">
        <f>VLOOKUP(A37,Plots!$B$4:$E$39,4)</f>
        <v>50</v>
      </c>
      <c r="N37" s="35">
        <f>VLOOKUP(A37,Garden!$B$4:$D$19,3)</f>
        <v>14</v>
      </c>
      <c r="O37" s="78">
        <f>MIN(4,ROUNDUP(VLOOKUP(A37,Background!$C$3:$D$52,2)/5,0))</f>
        <v>4</v>
      </c>
      <c r="P37" s="195">
        <f t="shared" si="1"/>
        <v>12</v>
      </c>
      <c r="Q37" s="35">
        <f t="shared" si="4"/>
        <v>34</v>
      </c>
      <c r="S37" s="80">
        <f>B36+MAX(Overview!C36*T36,(B36-B35)*1.01)</f>
        <v>72897.329670329666</v>
      </c>
      <c r="T37" s="260">
        <f t="shared" si="3"/>
        <v>5</v>
      </c>
    </row>
    <row r="38" spans="1:20">
      <c r="A38" s="258">
        <f t="shared" si="0"/>
        <v>35</v>
      </c>
      <c r="B38" s="16">
        <f t="shared" si="2"/>
        <v>80200</v>
      </c>
      <c r="C38" s="36"/>
      <c r="D38" s="37"/>
      <c r="E38" s="37"/>
      <c r="F38" s="37"/>
      <c r="G38" s="37"/>
      <c r="H38" s="37"/>
      <c r="I38" s="37"/>
      <c r="J38" s="37"/>
      <c r="K38" s="37"/>
      <c r="L38" s="35"/>
      <c r="M38" s="36">
        <f>VLOOKUP(A38,Plots!$B$4:$E$39,4)</f>
        <v>50</v>
      </c>
      <c r="N38" s="35">
        <f>VLOOKUP(A38,Garden!$B$4:$D$19,3)</f>
        <v>14</v>
      </c>
      <c r="O38" s="78">
        <f>MIN(4,ROUNDUP(VLOOKUP(A38,Background!$C$3:$D$52,2)/5,0))</f>
        <v>4</v>
      </c>
      <c r="P38" s="195">
        <f t="shared" si="1"/>
        <v>12</v>
      </c>
      <c r="Q38" s="35">
        <f t="shared" si="4"/>
        <v>35</v>
      </c>
      <c r="S38" s="80">
        <f>B37+MAX(Overview!C37*T37,(B37-B36)*1.01)</f>
        <v>80172</v>
      </c>
      <c r="T38" s="260">
        <f t="shared" si="3"/>
        <v>5</v>
      </c>
    </row>
    <row r="39" spans="1:20">
      <c r="A39" s="258">
        <f t="shared" si="0"/>
        <v>36</v>
      </c>
      <c r="B39" s="16">
        <f t="shared" si="2"/>
        <v>87600</v>
      </c>
      <c r="C39" s="36"/>
      <c r="D39" s="37"/>
      <c r="E39" s="37"/>
      <c r="F39" s="37"/>
      <c r="G39" s="37"/>
      <c r="H39" s="37"/>
      <c r="I39" s="37"/>
      <c r="J39" s="37"/>
      <c r="K39" s="37"/>
      <c r="L39" s="35"/>
      <c r="M39" s="36">
        <f>VLOOKUP(A39,Plots!$B$4:$E$39,4)</f>
        <v>54</v>
      </c>
      <c r="N39" s="35">
        <f>VLOOKUP(A39,Garden!$B$4:$D$19,3)</f>
        <v>14</v>
      </c>
      <c r="O39" s="78">
        <f>MIN(4,ROUNDUP(VLOOKUP(A39,Background!$C$3:$D$52,2)/5,0))</f>
        <v>4</v>
      </c>
      <c r="P39" s="195">
        <f t="shared" si="1"/>
        <v>12</v>
      </c>
      <c r="Q39" s="35">
        <f t="shared" si="4"/>
        <v>36</v>
      </c>
      <c r="S39" s="80">
        <f>B38+MAX(Overview!C38*T38,(B38-B37)*1.01)</f>
        <v>87573</v>
      </c>
      <c r="T39" s="260">
        <f t="shared" si="3"/>
        <v>5</v>
      </c>
    </row>
    <row r="40" spans="1:20">
      <c r="A40" s="258">
        <f t="shared" si="0"/>
        <v>37</v>
      </c>
      <c r="B40" s="16">
        <f t="shared" si="2"/>
        <v>95500</v>
      </c>
      <c r="C40" s="36"/>
      <c r="D40" s="37"/>
      <c r="E40" s="37"/>
      <c r="F40" s="37"/>
      <c r="G40" s="37"/>
      <c r="H40" s="37"/>
      <c r="I40" s="37"/>
      <c r="J40" s="37"/>
      <c r="K40" s="37"/>
      <c r="L40" s="35"/>
      <c r="M40" s="36">
        <f>VLOOKUP(A40,Plots!$B$4:$E$39,4)</f>
        <v>54</v>
      </c>
      <c r="N40" s="35">
        <f>VLOOKUP(A40,Garden!$B$4:$D$19,3)</f>
        <v>14</v>
      </c>
      <c r="O40" s="78">
        <f>MIN(4,ROUNDUP(VLOOKUP(A40,Background!$C$3:$D$52,2)/5,0))</f>
        <v>4</v>
      </c>
      <c r="P40" s="195">
        <f t="shared" si="1"/>
        <v>13</v>
      </c>
      <c r="Q40" s="35">
        <f t="shared" si="4"/>
        <v>37</v>
      </c>
      <c r="S40" s="80">
        <f>B39+MAX(Overview!C39*T39,(B39-B38)*1.01)</f>
        <v>95423.119016817596</v>
      </c>
      <c r="T40" s="260">
        <f t="shared" si="3"/>
        <v>5</v>
      </c>
    </row>
    <row r="41" spans="1:20">
      <c r="A41" s="258">
        <f t="shared" si="0"/>
        <v>38</v>
      </c>
      <c r="B41" s="16">
        <f t="shared" si="2"/>
        <v>103500</v>
      </c>
      <c r="C41" s="36"/>
      <c r="D41" s="37"/>
      <c r="E41" s="37"/>
      <c r="F41" s="37"/>
      <c r="G41" s="37"/>
      <c r="H41" s="37"/>
      <c r="I41" s="37"/>
      <c r="J41" s="37"/>
      <c r="K41" s="37"/>
      <c r="L41" s="35"/>
      <c r="M41" s="36">
        <f>VLOOKUP(A41,Plots!$B$4:$E$39,4)</f>
        <v>54</v>
      </c>
      <c r="N41" s="35">
        <f>VLOOKUP(A41,Garden!$B$4:$D$19,3)</f>
        <v>15</v>
      </c>
      <c r="O41" s="78">
        <f>MIN(4,ROUNDUP(VLOOKUP(A41,Background!$C$3:$D$52,2)/5,0))</f>
        <v>4</v>
      </c>
      <c r="P41" s="195">
        <f t="shared" si="1"/>
        <v>13</v>
      </c>
      <c r="Q41" s="35">
        <f t="shared" si="4"/>
        <v>38</v>
      </c>
      <c r="S41" s="80">
        <f>B40+MAX(Overview!C40*T40,(B40-B39)*1.01)</f>
        <v>103479</v>
      </c>
      <c r="T41" s="260">
        <f t="shared" si="3"/>
        <v>5</v>
      </c>
    </row>
    <row r="42" spans="1:20">
      <c r="A42" s="258">
        <f t="shared" si="0"/>
        <v>39</v>
      </c>
      <c r="B42" s="16">
        <f t="shared" si="2"/>
        <v>112000</v>
      </c>
      <c r="C42" s="36"/>
      <c r="D42" s="37"/>
      <c r="E42" s="37"/>
      <c r="F42" s="37"/>
      <c r="G42" s="37"/>
      <c r="H42" s="37"/>
      <c r="I42" s="37"/>
      <c r="J42" s="37"/>
      <c r="K42" s="37"/>
      <c r="L42" s="35"/>
      <c r="M42" s="36">
        <f>VLOOKUP(A42,Plots!$B$4:$E$39,4)</f>
        <v>54</v>
      </c>
      <c r="N42" s="35">
        <f>VLOOKUP(A42,Garden!$B$4:$D$19,3)</f>
        <v>15</v>
      </c>
      <c r="O42" s="78">
        <f>MIN(4,ROUNDUP(VLOOKUP(A42,Background!$C$3:$D$52,2)/5,0))</f>
        <v>4</v>
      </c>
      <c r="P42" s="195">
        <f t="shared" si="1"/>
        <v>13</v>
      </c>
      <c r="Q42" s="35">
        <f t="shared" si="4"/>
        <v>39</v>
      </c>
      <c r="S42" s="80">
        <f>B41+MAX(Overview!C41*T41,(B41-B40)*1.01)</f>
        <v>111580</v>
      </c>
      <c r="T42" s="260">
        <f t="shared" si="3"/>
        <v>5</v>
      </c>
    </row>
    <row r="43" spans="1:20">
      <c r="A43" s="258">
        <f t="shared" si="0"/>
        <v>40</v>
      </c>
      <c r="B43" s="16">
        <f t="shared" si="2"/>
        <v>121000</v>
      </c>
      <c r="C43" s="36"/>
      <c r="D43" s="37"/>
      <c r="E43" s="37"/>
      <c r="F43" s="37"/>
      <c r="G43" s="37"/>
      <c r="H43" s="37"/>
      <c r="I43" s="37"/>
      <c r="J43" s="37"/>
      <c r="K43" s="37"/>
      <c r="L43" s="35"/>
      <c r="M43" s="36">
        <f>VLOOKUP(A43,Plots!$B$4:$E$39,4)</f>
        <v>58</v>
      </c>
      <c r="N43" s="35">
        <f>VLOOKUP(A43,Garden!$B$4:$D$19,3)</f>
        <v>15</v>
      </c>
      <c r="O43" s="78">
        <f>MIN(4,ROUNDUP(VLOOKUP(A43,Background!$C$3:$D$52,2)/5,0))</f>
        <v>4</v>
      </c>
      <c r="P43" s="195">
        <f t="shared" si="1"/>
        <v>14</v>
      </c>
      <c r="Q43" s="35">
        <f t="shared" si="4"/>
        <v>40</v>
      </c>
      <c r="S43" s="80">
        <f>B42+MAX(Overview!C42*T42,(B42-B41)*1.01)</f>
        <v>120585</v>
      </c>
      <c r="T43" s="260">
        <f t="shared" si="3"/>
        <v>5</v>
      </c>
    </row>
    <row r="44" spans="1:20">
      <c r="A44" s="258">
        <f t="shared" si="0"/>
        <v>41</v>
      </c>
      <c r="B44" s="16">
        <f t="shared" si="2"/>
        <v>130500</v>
      </c>
      <c r="C44" s="36"/>
      <c r="D44" s="37"/>
      <c r="E44" s="37"/>
      <c r="F44" s="37"/>
      <c r="G44" s="37"/>
      <c r="H44" s="37"/>
      <c r="I44" s="37"/>
      <c r="J44" s="37"/>
      <c r="K44" s="37"/>
      <c r="L44" s="35"/>
      <c r="M44" s="36">
        <f>VLOOKUP(A44,Plots!$B$4:$E$39,4)</f>
        <v>58</v>
      </c>
      <c r="N44" s="35">
        <f>VLOOKUP(A44,Garden!$B$4:$D$19,3)</f>
        <v>15</v>
      </c>
      <c r="O44" s="78">
        <f>MIN(4,ROUNDUP(VLOOKUP(A44,Background!$C$3:$D$52,2)/5,0))</f>
        <v>4</v>
      </c>
      <c r="P44" s="195">
        <f t="shared" si="1"/>
        <v>14</v>
      </c>
      <c r="Q44" s="35">
        <f t="shared" si="4"/>
        <v>41</v>
      </c>
      <c r="S44" s="80">
        <f>B43+MAX(Overview!C43*T43,(B43-B42)*1.01)</f>
        <v>130090</v>
      </c>
      <c r="T44" s="260">
        <f t="shared" si="3"/>
        <v>5</v>
      </c>
    </row>
    <row r="45" spans="1:20">
      <c r="A45" s="258">
        <f t="shared" si="0"/>
        <v>42</v>
      </c>
      <c r="B45" s="16">
        <f t="shared" si="2"/>
        <v>140500</v>
      </c>
      <c r="C45" s="36"/>
      <c r="D45" s="37"/>
      <c r="E45" s="37"/>
      <c r="F45" s="37"/>
      <c r="G45" s="37"/>
      <c r="H45" s="37"/>
      <c r="I45" s="37"/>
      <c r="J45" s="37"/>
      <c r="K45" s="37"/>
      <c r="L45" s="35"/>
      <c r="M45" s="36">
        <f>VLOOKUP(A45,Plots!$B$4:$E$39,4)</f>
        <v>58</v>
      </c>
      <c r="N45" s="35">
        <f>VLOOKUP(A45,Garden!$B$4:$D$19,3)</f>
        <v>15</v>
      </c>
      <c r="O45" s="78">
        <f>MIN(4,ROUNDUP(VLOOKUP(A45,Background!$C$3:$D$52,2)/5,0))</f>
        <v>4</v>
      </c>
      <c r="P45" s="195">
        <f t="shared" si="1"/>
        <v>14</v>
      </c>
      <c r="Q45" s="35">
        <f t="shared" si="4"/>
        <v>42</v>
      </c>
      <c r="S45" s="80">
        <f>B44+MAX(Overview!C44*T44,(B44-B43)*1.01)</f>
        <v>140095</v>
      </c>
      <c r="T45" s="260">
        <f t="shared" si="3"/>
        <v>5</v>
      </c>
    </row>
    <row r="46" spans="1:20">
      <c r="A46" s="258">
        <f t="shared" si="0"/>
        <v>43</v>
      </c>
      <c r="B46" s="16">
        <f t="shared" si="2"/>
        <v>151000</v>
      </c>
      <c r="C46" s="36"/>
      <c r="D46" s="37"/>
      <c r="E46" s="37"/>
      <c r="F46" s="37"/>
      <c r="G46" s="37"/>
      <c r="H46" s="37"/>
      <c r="I46" s="37"/>
      <c r="J46" s="37"/>
      <c r="K46" s="37"/>
      <c r="L46" s="35"/>
      <c r="M46" s="36">
        <f>VLOOKUP(A46,Plots!$B$4:$E$39,4)</f>
        <v>62</v>
      </c>
      <c r="N46" s="35">
        <f>VLOOKUP(A46,Garden!$B$4:$D$19,3)</f>
        <v>15</v>
      </c>
      <c r="O46" s="78">
        <f>MIN(4,ROUNDUP(VLOOKUP(A46,Background!$C$3:$D$52,2)/5,0))</f>
        <v>4</v>
      </c>
      <c r="P46" s="195">
        <f t="shared" si="1"/>
        <v>15</v>
      </c>
      <c r="Q46" s="35">
        <f t="shared" si="4"/>
        <v>43</v>
      </c>
      <c r="S46" s="80">
        <f>B45+MAX(Overview!C45*T45,(B45-B44)*1.01)</f>
        <v>150600</v>
      </c>
      <c r="T46" s="260">
        <f t="shared" si="3"/>
        <v>5</v>
      </c>
    </row>
    <row r="47" spans="1:20">
      <c r="A47" s="258">
        <f t="shared" si="0"/>
        <v>44</v>
      </c>
      <c r="B47" s="16">
        <f t="shared" si="2"/>
        <v>162000</v>
      </c>
      <c r="C47" s="36"/>
      <c r="D47" s="37"/>
      <c r="E47" s="37"/>
      <c r="F47" s="37"/>
      <c r="G47" s="37"/>
      <c r="H47" s="37"/>
      <c r="I47" s="37"/>
      <c r="J47" s="37"/>
      <c r="K47" s="37"/>
      <c r="L47" s="35"/>
      <c r="M47" s="36">
        <f>VLOOKUP(A47,Plots!$B$4:$E$39,4)</f>
        <v>62</v>
      </c>
      <c r="N47" s="35">
        <f>VLOOKUP(A47,Garden!$B$4:$D$19,3)</f>
        <v>15</v>
      </c>
      <c r="O47" s="78">
        <f>MIN(4,ROUNDUP(VLOOKUP(A47,Background!$C$3:$D$52,2)/5,0))</f>
        <v>4</v>
      </c>
      <c r="P47" s="195">
        <f t="shared" si="1"/>
        <v>15</v>
      </c>
      <c r="Q47" s="35">
        <f t="shared" si="4"/>
        <v>44</v>
      </c>
      <c r="S47" s="80">
        <f>B46+MAX(Overview!C46*T46,(B46-B45)*1.01)</f>
        <v>161605</v>
      </c>
      <c r="T47" s="260">
        <f t="shared" si="3"/>
        <v>5</v>
      </c>
    </row>
    <row r="48" spans="1:20">
      <c r="A48" s="258">
        <f t="shared" si="0"/>
        <v>45</v>
      </c>
      <c r="B48" s="16">
        <f t="shared" si="2"/>
        <v>173500</v>
      </c>
      <c r="C48" s="36"/>
      <c r="D48" s="37"/>
      <c r="E48" s="37"/>
      <c r="F48" s="37"/>
      <c r="G48" s="37"/>
      <c r="H48" s="37"/>
      <c r="I48" s="37"/>
      <c r="J48" s="37"/>
      <c r="K48" s="37"/>
      <c r="L48" s="35"/>
      <c r="M48" s="36">
        <f>VLOOKUP(A48,Plots!$B$4:$E$39,4)</f>
        <v>62</v>
      </c>
      <c r="N48" s="35">
        <f>VLOOKUP(A48,Garden!$B$4:$D$19,3)</f>
        <v>16</v>
      </c>
      <c r="O48" s="78">
        <f>MIN(4,ROUNDUP(VLOOKUP(A48,Background!$C$3:$D$52,2)/5,0))</f>
        <v>4</v>
      </c>
      <c r="P48" s="195">
        <f t="shared" si="1"/>
        <v>15</v>
      </c>
      <c r="Q48" s="35">
        <f t="shared" si="4"/>
        <v>45</v>
      </c>
      <c r="S48" s="80">
        <f>B47+MAX(Overview!C47*T47,(B47-B46)*1.01)</f>
        <v>173110</v>
      </c>
      <c r="T48" s="260">
        <f t="shared" si="3"/>
        <v>5</v>
      </c>
    </row>
    <row r="49" spans="1:20">
      <c r="A49" s="258">
        <f t="shared" si="0"/>
        <v>46</v>
      </c>
      <c r="B49" s="16">
        <f t="shared" si="2"/>
        <v>185500</v>
      </c>
      <c r="C49" s="36"/>
      <c r="D49" s="37"/>
      <c r="E49" s="37"/>
      <c r="F49" s="37"/>
      <c r="G49" s="37"/>
      <c r="H49" s="37"/>
      <c r="I49" s="37"/>
      <c r="J49" s="37"/>
      <c r="K49" s="37"/>
      <c r="L49" s="35"/>
      <c r="M49" s="36">
        <f>VLOOKUP(A49,Plots!$B$4:$E$39,4)</f>
        <v>62</v>
      </c>
      <c r="N49" s="35">
        <f>VLOOKUP(A49,Garden!$B$4:$D$19,3)</f>
        <v>16</v>
      </c>
      <c r="O49" s="78">
        <f>MIN(4,ROUNDUP(VLOOKUP(A49,Background!$C$3:$D$52,2)/5,0))</f>
        <v>4</v>
      </c>
      <c r="P49" s="195">
        <f t="shared" si="1"/>
        <v>16</v>
      </c>
      <c r="Q49" s="35">
        <f t="shared" si="4"/>
        <v>46</v>
      </c>
      <c r="S49" s="80">
        <f>B48+MAX(Overview!C48*T48,(B48-B47)*1.01)</f>
        <v>185115</v>
      </c>
      <c r="T49" s="260">
        <f t="shared" si="3"/>
        <v>5</v>
      </c>
    </row>
    <row r="50" spans="1:20">
      <c r="A50" s="258">
        <f t="shared" si="0"/>
        <v>47</v>
      </c>
      <c r="B50" s="16">
        <f t="shared" si="2"/>
        <v>198000</v>
      </c>
      <c r="C50" s="36"/>
      <c r="D50" s="37"/>
      <c r="E50" s="37"/>
      <c r="F50" s="37"/>
      <c r="G50" s="37"/>
      <c r="H50" s="37"/>
      <c r="I50" s="37"/>
      <c r="J50" s="37"/>
      <c r="K50" s="37"/>
      <c r="L50" s="35"/>
      <c r="M50" s="36">
        <f>VLOOKUP(A50,Plots!$B$4:$E$39,4)</f>
        <v>66</v>
      </c>
      <c r="N50" s="35">
        <f>VLOOKUP(A50,Garden!$B$4:$D$19,3)</f>
        <v>16</v>
      </c>
      <c r="O50" s="78">
        <f>MIN(4,ROUNDUP(VLOOKUP(A50,Background!$C$3:$D$52,2)/5,0))</f>
        <v>4</v>
      </c>
      <c r="P50" s="195">
        <f t="shared" si="1"/>
        <v>16</v>
      </c>
      <c r="Q50" s="35">
        <f t="shared" si="4"/>
        <v>47</v>
      </c>
      <c r="S50" s="80">
        <f>B49+MAX(Overview!C49*T49,(B49-B48)*1.01)</f>
        <v>197620</v>
      </c>
      <c r="T50" s="260">
        <f t="shared" si="3"/>
        <v>5</v>
      </c>
    </row>
    <row r="51" spans="1:20">
      <c r="A51" s="258">
        <f t="shared" si="0"/>
        <v>48</v>
      </c>
      <c r="B51" s="16">
        <f t="shared" si="2"/>
        <v>211000</v>
      </c>
      <c r="C51" s="36"/>
      <c r="D51" s="37"/>
      <c r="E51" s="37"/>
      <c r="F51" s="37"/>
      <c r="G51" s="37"/>
      <c r="H51" s="37"/>
      <c r="I51" s="37"/>
      <c r="J51" s="37"/>
      <c r="K51" s="37"/>
      <c r="L51" s="35"/>
      <c r="M51" s="36">
        <f>VLOOKUP(A51,Plots!$B$4:$E$39,4)</f>
        <v>66</v>
      </c>
      <c r="N51" s="35">
        <f>VLOOKUP(A51,Garden!$B$4:$D$19,3)</f>
        <v>16</v>
      </c>
      <c r="O51" s="78">
        <f>MIN(4,ROUNDUP(VLOOKUP(A51,Background!$C$3:$D$52,2)/5,0))</f>
        <v>4</v>
      </c>
      <c r="P51" s="195">
        <f t="shared" si="1"/>
        <v>16</v>
      </c>
      <c r="Q51" s="35">
        <f t="shared" si="4"/>
        <v>48</v>
      </c>
      <c r="S51" s="80">
        <f>B50+MAX(Overview!C50*T50,(B50-B49)*1.01)</f>
        <v>210625</v>
      </c>
      <c r="T51" s="260">
        <f t="shared" si="3"/>
        <v>5</v>
      </c>
    </row>
    <row r="52" spans="1:20">
      <c r="A52" s="258">
        <f t="shared" si="0"/>
        <v>49</v>
      </c>
      <c r="B52" s="16">
        <f t="shared" si="2"/>
        <v>224500</v>
      </c>
      <c r="C52" s="36"/>
      <c r="D52" s="37"/>
      <c r="E52" s="37"/>
      <c r="F52" s="37"/>
      <c r="G52" s="37"/>
      <c r="H52" s="37"/>
      <c r="I52" s="37"/>
      <c r="J52" s="37"/>
      <c r="K52" s="37"/>
      <c r="L52" s="35"/>
      <c r="M52" s="36">
        <f>VLOOKUP(A52,Plots!$B$4:$E$39,4)</f>
        <v>66</v>
      </c>
      <c r="N52" s="35">
        <f>VLOOKUP(A52,Garden!$B$4:$D$19,3)</f>
        <v>16</v>
      </c>
      <c r="O52" s="78">
        <f>MIN(4,ROUNDUP(VLOOKUP(A52,Background!$C$3:$D$52,2)/5,0))</f>
        <v>4</v>
      </c>
      <c r="P52" s="195">
        <f t="shared" si="1"/>
        <v>17</v>
      </c>
      <c r="Q52" s="35">
        <f t="shared" si="4"/>
        <v>49</v>
      </c>
      <c r="S52" s="80">
        <f>B51+MAX(Overview!C51*T51,(B51-B50)*1.01)</f>
        <v>224130</v>
      </c>
      <c r="T52" s="260">
        <f t="shared" si="3"/>
        <v>5</v>
      </c>
    </row>
    <row r="53" spans="1:20">
      <c r="A53" s="258">
        <f t="shared" si="0"/>
        <v>50</v>
      </c>
      <c r="B53" s="16">
        <f t="shared" si="2"/>
        <v>238500</v>
      </c>
      <c r="C53" s="36"/>
      <c r="D53" s="37"/>
      <c r="E53" s="37"/>
      <c r="F53" s="37"/>
      <c r="G53" s="37"/>
      <c r="H53" s="37"/>
      <c r="I53" s="37"/>
      <c r="J53" s="37"/>
      <c r="K53" s="37"/>
      <c r="L53" s="35"/>
      <c r="M53" s="36">
        <f>VLOOKUP(A53,Plots!$B$4:$E$39,4)</f>
        <v>70</v>
      </c>
      <c r="N53" s="35">
        <f>VLOOKUP(A53,Garden!$B$4:$D$19,3)</f>
        <v>16</v>
      </c>
      <c r="O53" s="78">
        <f>MIN(4,ROUNDUP(VLOOKUP(A53,Background!$C$3:$D$52,2)/5,0))</f>
        <v>4</v>
      </c>
      <c r="P53" s="195">
        <f t="shared" si="1"/>
        <v>17</v>
      </c>
      <c r="Q53" s="35">
        <f t="shared" si="4"/>
        <v>50</v>
      </c>
      <c r="S53" s="80">
        <f>B52+MAX(Overview!C52*T52,(B52-B51)*1.01)</f>
        <v>238135</v>
      </c>
      <c r="T53" s="260">
        <f t="shared" si="3"/>
        <v>5</v>
      </c>
    </row>
    <row r="54" spans="1:20">
      <c r="A54" s="258">
        <f t="shared" si="0"/>
        <v>51</v>
      </c>
      <c r="B54" s="16">
        <f t="shared" si="2"/>
        <v>253000</v>
      </c>
      <c r="C54" s="36"/>
      <c r="D54" s="37"/>
      <c r="E54" s="37"/>
      <c r="F54" s="37"/>
      <c r="G54" s="37"/>
      <c r="H54" s="37"/>
      <c r="I54" s="37"/>
      <c r="J54" s="37"/>
      <c r="K54" s="37"/>
      <c r="L54" s="35"/>
      <c r="M54" s="36">
        <f>VLOOKUP(A54,Plots!$B$4:$E$39,4)</f>
        <v>70</v>
      </c>
      <c r="N54" s="35">
        <f>VLOOKUP(A54,Garden!$B$4:$D$19,3)</f>
        <v>16</v>
      </c>
      <c r="O54" s="78">
        <f>MIN(4,ROUNDUP(VLOOKUP(A54,Background!$C$3:$D$52,2)/5,0))</f>
        <v>4</v>
      </c>
      <c r="P54" s="195">
        <f t="shared" si="1"/>
        <v>17</v>
      </c>
      <c r="Q54" s="35">
        <f t="shared" si="4"/>
        <v>51</v>
      </c>
      <c r="S54" s="80">
        <f>B53+MAX(Overview!C53*T53,(B53-B52)*1.01)</f>
        <v>252640</v>
      </c>
      <c r="T54" s="260">
        <f t="shared" si="3"/>
        <v>5</v>
      </c>
    </row>
    <row r="55" spans="1:20">
      <c r="A55" s="258">
        <f t="shared" si="0"/>
        <v>52</v>
      </c>
      <c r="B55" s="16">
        <f t="shared" si="2"/>
        <v>268000</v>
      </c>
      <c r="C55" s="36"/>
      <c r="D55" s="37"/>
      <c r="E55" s="37"/>
      <c r="F55" s="37"/>
      <c r="G55" s="37"/>
      <c r="H55" s="37"/>
      <c r="I55" s="37"/>
      <c r="J55" s="37"/>
      <c r="K55" s="37"/>
      <c r="L55" s="35"/>
      <c r="M55" s="36">
        <f>VLOOKUP(A55,Plots!$B$4:$E$39,4)</f>
        <v>70</v>
      </c>
      <c r="N55" s="35">
        <f>VLOOKUP(A55,Garden!$B$4:$D$19,3)</f>
        <v>17</v>
      </c>
      <c r="O55" s="78">
        <f>MIN(4,ROUNDUP(VLOOKUP(A55,Background!$C$3:$D$52,2)/5,0))</f>
        <v>4</v>
      </c>
      <c r="P55" s="195">
        <f t="shared" si="1"/>
        <v>18</v>
      </c>
      <c r="Q55" s="35">
        <f t="shared" si="4"/>
        <v>52</v>
      </c>
      <c r="S55" s="80">
        <f>B54+MAX(Overview!C54*T54,(B54-B53)*1.01)</f>
        <v>267645</v>
      </c>
      <c r="T55" s="260">
        <f t="shared" si="3"/>
        <v>5</v>
      </c>
    </row>
    <row r="56" spans="1:20">
      <c r="A56" s="258">
        <f t="shared" si="0"/>
        <v>53</v>
      </c>
      <c r="B56" s="16">
        <f t="shared" si="2"/>
        <v>283500</v>
      </c>
      <c r="C56" s="36"/>
      <c r="D56" s="37"/>
      <c r="E56" s="37"/>
      <c r="F56" s="37"/>
      <c r="G56" s="37"/>
      <c r="H56" s="37"/>
      <c r="I56" s="37"/>
      <c r="J56" s="37"/>
      <c r="K56" s="37"/>
      <c r="L56" s="35"/>
      <c r="M56" s="36">
        <f>VLOOKUP(A56,Plots!$B$4:$E$39,4)</f>
        <v>70</v>
      </c>
      <c r="N56" s="35">
        <f>VLOOKUP(A56,Garden!$B$4:$D$19,3)</f>
        <v>17</v>
      </c>
      <c r="O56" s="78">
        <f>MIN(4,ROUNDUP(VLOOKUP(A56,Background!$C$3:$D$52,2)/5,0))</f>
        <v>4</v>
      </c>
      <c r="P56" s="195">
        <f t="shared" si="1"/>
        <v>18</v>
      </c>
      <c r="Q56" s="35">
        <f t="shared" si="4"/>
        <v>53</v>
      </c>
      <c r="S56" s="80">
        <f>B55+MAX(Overview!C55*T55,(B55-B54)*1.01)</f>
        <v>283150</v>
      </c>
      <c r="T56" s="260">
        <f t="shared" si="3"/>
        <v>5</v>
      </c>
    </row>
    <row r="57" spans="1:20">
      <c r="A57" s="258">
        <f t="shared" si="0"/>
        <v>54</v>
      </c>
      <c r="B57" s="16">
        <f t="shared" si="2"/>
        <v>299500</v>
      </c>
      <c r="C57" s="36"/>
      <c r="D57" s="37"/>
      <c r="E57" s="37"/>
      <c r="F57" s="37"/>
      <c r="G57" s="37"/>
      <c r="H57" s="37"/>
      <c r="I57" s="37"/>
      <c r="J57" s="37"/>
      <c r="K57" s="37"/>
      <c r="L57" s="35"/>
      <c r="M57" s="36">
        <f>VLOOKUP(A57,Plots!$B$4:$E$39,4)</f>
        <v>74</v>
      </c>
      <c r="N57" s="35">
        <f>VLOOKUP(A57,Garden!$B$4:$D$19,3)</f>
        <v>17</v>
      </c>
      <c r="O57" s="78">
        <f>MIN(4,ROUNDUP(VLOOKUP(A57,Background!$C$3:$D$52,2)/5,0))</f>
        <v>4</v>
      </c>
      <c r="P57" s="195">
        <f t="shared" si="1"/>
        <v>18</v>
      </c>
      <c r="Q57" s="35">
        <f t="shared" si="4"/>
        <v>54</v>
      </c>
      <c r="S57" s="80">
        <f>B56+MAX(Overview!C56*T56,(B56-B55)*1.01)</f>
        <v>299155</v>
      </c>
      <c r="T57" s="260">
        <f t="shared" si="3"/>
        <v>5</v>
      </c>
    </row>
    <row r="58" spans="1:20">
      <c r="A58" s="258">
        <f t="shared" si="0"/>
        <v>55</v>
      </c>
      <c r="B58" s="16">
        <f t="shared" si="2"/>
        <v>316000</v>
      </c>
      <c r="C58" s="36"/>
      <c r="D58" s="37"/>
      <c r="E58" s="37"/>
      <c r="F58" s="37"/>
      <c r="G58" s="37"/>
      <c r="H58" s="37"/>
      <c r="I58" s="37"/>
      <c r="J58" s="37"/>
      <c r="K58" s="37"/>
      <c r="L58" s="35"/>
      <c r="M58" s="36">
        <f>VLOOKUP(A58,Plots!$B$4:$E$39,4)</f>
        <v>74</v>
      </c>
      <c r="N58" s="35">
        <f>VLOOKUP(A58,Garden!$B$4:$D$19,3)</f>
        <v>17</v>
      </c>
      <c r="O58" s="78">
        <f>MIN(4,ROUNDUP(VLOOKUP(A58,Background!$C$3:$D$52,2)/5,0))</f>
        <v>4</v>
      </c>
      <c r="P58" s="195">
        <f t="shared" si="1"/>
        <v>19</v>
      </c>
      <c r="Q58" s="35">
        <f t="shared" si="4"/>
        <v>55</v>
      </c>
      <c r="S58" s="80">
        <f>B57+MAX(Overview!C57*T57,(B57-B56)*1.01)</f>
        <v>315660</v>
      </c>
      <c r="T58" s="260">
        <f t="shared" si="3"/>
        <v>5</v>
      </c>
    </row>
    <row r="59" spans="1:20">
      <c r="A59" s="258">
        <f t="shared" si="0"/>
        <v>56</v>
      </c>
      <c r="B59" s="16">
        <f t="shared" si="2"/>
        <v>333000</v>
      </c>
      <c r="C59" s="36"/>
      <c r="D59" s="37"/>
      <c r="E59" s="37"/>
      <c r="F59" s="37"/>
      <c r="G59" s="37"/>
      <c r="H59" s="37"/>
      <c r="I59" s="37"/>
      <c r="J59" s="37"/>
      <c r="K59" s="37"/>
      <c r="L59" s="35"/>
      <c r="M59" s="36">
        <f>VLOOKUP(A59,Plots!$B$4:$E$39,4)</f>
        <v>74</v>
      </c>
      <c r="N59" s="35">
        <f>VLOOKUP(A59,Garden!$B$4:$D$19,3)</f>
        <v>17</v>
      </c>
      <c r="O59" s="78">
        <f>MIN(4,ROUNDUP(VLOOKUP(A59,Background!$C$3:$D$52,2)/5,0))</f>
        <v>4</v>
      </c>
      <c r="P59" s="195">
        <f t="shared" si="1"/>
        <v>19</v>
      </c>
      <c r="Q59" s="35">
        <f t="shared" si="4"/>
        <v>56</v>
      </c>
      <c r="S59" s="80">
        <f>B58+MAX(Overview!C58*T58,(B58-B57)*1.01)</f>
        <v>332665</v>
      </c>
      <c r="T59" s="260">
        <f t="shared" si="3"/>
        <v>5</v>
      </c>
    </row>
    <row r="60" spans="1:20">
      <c r="A60" s="258">
        <f t="shared" si="0"/>
        <v>57</v>
      </c>
      <c r="B60" s="16">
        <f t="shared" si="2"/>
        <v>350500</v>
      </c>
      <c r="C60" s="36"/>
      <c r="D60" s="37"/>
      <c r="E60" s="37"/>
      <c r="F60" s="37"/>
      <c r="G60" s="37"/>
      <c r="H60" s="37"/>
      <c r="I60" s="37"/>
      <c r="J60" s="37"/>
      <c r="K60" s="37"/>
      <c r="L60" s="35"/>
      <c r="M60" s="36">
        <f>VLOOKUP(A60,Plots!$B$4:$E$39,4)</f>
        <v>78</v>
      </c>
      <c r="N60" s="35">
        <f>VLOOKUP(A60,Garden!$B$4:$D$19,3)</f>
        <v>17</v>
      </c>
      <c r="O60" s="78">
        <f>MIN(4,ROUNDUP(VLOOKUP(A60,Background!$C$3:$D$52,2)/5,0))</f>
        <v>4</v>
      </c>
      <c r="P60" s="195">
        <f t="shared" si="1"/>
        <v>19</v>
      </c>
      <c r="Q60" s="35">
        <f t="shared" si="4"/>
        <v>57</v>
      </c>
      <c r="S60" s="80">
        <f>B59+MAX(Overview!C59*T59,(B59-B58)*1.01)</f>
        <v>350170</v>
      </c>
      <c r="T60" s="260">
        <f t="shared" si="3"/>
        <v>5</v>
      </c>
    </row>
    <row r="61" spans="1:20">
      <c r="A61" s="258">
        <f t="shared" si="0"/>
        <v>58</v>
      </c>
      <c r="B61" s="16">
        <f t="shared" si="2"/>
        <v>368500</v>
      </c>
      <c r="C61" s="36"/>
      <c r="D61" s="37"/>
      <c r="E61" s="37"/>
      <c r="F61" s="37"/>
      <c r="G61" s="37"/>
      <c r="H61" s="37"/>
      <c r="I61" s="37"/>
      <c r="J61" s="37"/>
      <c r="K61" s="37"/>
      <c r="L61" s="35"/>
      <c r="M61" s="36">
        <f>VLOOKUP(A61,Plots!$B$4:$E$39,4)</f>
        <v>78</v>
      </c>
      <c r="N61" s="35">
        <f>VLOOKUP(A61,Garden!$B$4:$D$19,3)</f>
        <v>17</v>
      </c>
      <c r="O61" s="78">
        <f>MIN(4,ROUNDUP(VLOOKUP(A61,Background!$C$3:$D$52,2)/5,0))</f>
        <v>4</v>
      </c>
      <c r="P61" s="195">
        <f t="shared" si="1"/>
        <v>20</v>
      </c>
      <c r="Q61" s="35">
        <f t="shared" si="4"/>
        <v>58</v>
      </c>
      <c r="S61" s="80">
        <f>B60+MAX(Overview!C60*T60,(B60-B59)*1.01)</f>
        <v>368175</v>
      </c>
      <c r="T61" s="260">
        <f t="shared" si="3"/>
        <v>5</v>
      </c>
    </row>
    <row r="62" spans="1:20">
      <c r="A62" s="258">
        <f t="shared" si="0"/>
        <v>59</v>
      </c>
      <c r="B62" s="16">
        <f t="shared" si="2"/>
        <v>387000</v>
      </c>
      <c r="C62" s="36"/>
      <c r="D62" s="37"/>
      <c r="E62" s="37"/>
      <c r="F62" s="37"/>
      <c r="G62" s="37"/>
      <c r="H62" s="37"/>
      <c r="I62" s="37"/>
      <c r="J62" s="37"/>
      <c r="K62" s="37"/>
      <c r="L62" s="35"/>
      <c r="M62" s="36">
        <f>VLOOKUP(A62,Plots!$B$4:$E$39,4)</f>
        <v>78</v>
      </c>
      <c r="N62" s="35">
        <f>VLOOKUP(A62,Garden!$B$4:$D$19,3)</f>
        <v>18</v>
      </c>
      <c r="O62" s="78">
        <f>MIN(4,ROUNDUP(VLOOKUP(A62,Background!$C$3:$D$52,2)/5,0))</f>
        <v>4</v>
      </c>
      <c r="P62" s="195">
        <f t="shared" si="1"/>
        <v>20</v>
      </c>
      <c r="Q62" s="35">
        <f t="shared" si="4"/>
        <v>59</v>
      </c>
      <c r="S62" s="80">
        <f>B61+MAX(Overview!C61*T61,(B61-B60)*1.01)</f>
        <v>386680</v>
      </c>
      <c r="T62" s="260">
        <f t="shared" si="3"/>
        <v>5</v>
      </c>
    </row>
    <row r="63" spans="1:20">
      <c r="A63" s="258">
        <f t="shared" si="0"/>
        <v>60</v>
      </c>
      <c r="B63" s="16">
        <f t="shared" si="2"/>
        <v>406000</v>
      </c>
      <c r="C63" s="36"/>
      <c r="D63" s="37"/>
      <c r="E63" s="37"/>
      <c r="F63" s="37"/>
      <c r="G63" s="37"/>
      <c r="H63" s="37"/>
      <c r="I63" s="37"/>
      <c r="J63" s="37"/>
      <c r="K63" s="37"/>
      <c r="L63" s="35"/>
      <c r="M63" s="36">
        <f>VLOOKUP(A63,Plots!$B$4:$E$39,4)</f>
        <v>78</v>
      </c>
      <c r="N63" s="35">
        <f>VLOOKUP(A63,Garden!$B$4:$D$19,3)</f>
        <v>18</v>
      </c>
      <c r="O63" s="78">
        <f>MIN(4,ROUNDUP(VLOOKUP(A63,Background!$C$3:$D$52,2)/5,0))</f>
        <v>4</v>
      </c>
      <c r="P63" s="195">
        <f t="shared" si="1"/>
        <v>20</v>
      </c>
      <c r="Q63" s="35">
        <f t="shared" si="4"/>
        <v>60</v>
      </c>
      <c r="S63" s="80">
        <f>B62+MAX(Overview!C62*T62,(B62-B61)*1.01)</f>
        <v>405685</v>
      </c>
      <c r="T63" s="260">
        <f t="shared" si="3"/>
        <v>5</v>
      </c>
    </row>
    <row r="64" spans="1:20">
      <c r="A64" s="258">
        <f t="shared" si="0"/>
        <v>61</v>
      </c>
      <c r="B64" s="16">
        <f t="shared" si="2"/>
        <v>425500</v>
      </c>
      <c r="C64" s="36"/>
      <c r="D64" s="37"/>
      <c r="E64" s="37"/>
      <c r="F64" s="37"/>
      <c r="G64" s="37"/>
      <c r="H64" s="37"/>
      <c r="I64" s="37"/>
      <c r="J64" s="37"/>
      <c r="K64" s="37"/>
      <c r="L64" s="35"/>
      <c r="M64" s="36">
        <f>VLOOKUP(A64,Plots!$B$4:$E$39,4)</f>
        <v>82</v>
      </c>
      <c r="N64" s="35">
        <f>VLOOKUP(A64,Garden!$B$4:$D$19,3)</f>
        <v>18</v>
      </c>
      <c r="O64" s="78">
        <f>MIN(4,ROUNDUP(VLOOKUP(A64,Background!$C$3:$D$52,2)/5,0))</f>
        <v>4</v>
      </c>
      <c r="P64" s="195">
        <f t="shared" si="1"/>
        <v>21</v>
      </c>
      <c r="Q64" s="35">
        <f t="shared" si="4"/>
        <v>61</v>
      </c>
      <c r="S64" s="80">
        <f>B63+MAX(Overview!C63*T63,(B63-B62)*1.01)</f>
        <v>425190</v>
      </c>
      <c r="T64" s="260">
        <f t="shared" si="3"/>
        <v>5</v>
      </c>
    </row>
    <row r="65" spans="1:20">
      <c r="A65" s="258">
        <f t="shared" si="0"/>
        <v>62</v>
      </c>
      <c r="B65" s="16">
        <f t="shared" si="2"/>
        <v>445500</v>
      </c>
      <c r="C65" s="36"/>
      <c r="D65" s="37"/>
      <c r="E65" s="37"/>
      <c r="F65" s="37"/>
      <c r="G65" s="37"/>
      <c r="H65" s="37"/>
      <c r="I65" s="37"/>
      <c r="J65" s="37"/>
      <c r="K65" s="37"/>
      <c r="L65" s="35"/>
      <c r="M65" s="36">
        <f>VLOOKUP(A65,Plots!$B$4:$E$39,4)</f>
        <v>82</v>
      </c>
      <c r="N65" s="35">
        <f>VLOOKUP(A65,Garden!$B$4:$D$19,3)</f>
        <v>18</v>
      </c>
      <c r="O65" s="78">
        <f>MIN(4,ROUNDUP(VLOOKUP(A65,Background!$C$3:$D$52,2)/5,0))</f>
        <v>4</v>
      </c>
      <c r="P65" s="195">
        <f t="shared" si="1"/>
        <v>21</v>
      </c>
      <c r="Q65" s="35">
        <f t="shared" si="4"/>
        <v>62</v>
      </c>
      <c r="S65" s="80">
        <f>B64+MAX(Overview!C64*T64,(B64-B63)*1.01)</f>
        <v>445195</v>
      </c>
      <c r="T65" s="260">
        <f t="shared" si="3"/>
        <v>5</v>
      </c>
    </row>
    <row r="66" spans="1:20">
      <c r="A66" s="258">
        <f t="shared" si="0"/>
        <v>63</v>
      </c>
      <c r="B66" s="16">
        <f t="shared" si="2"/>
        <v>466000</v>
      </c>
      <c r="C66" s="36"/>
      <c r="D66" s="37"/>
      <c r="E66" s="37"/>
      <c r="F66" s="37"/>
      <c r="G66" s="37"/>
      <c r="H66" s="37"/>
      <c r="I66" s="37"/>
      <c r="J66" s="37"/>
      <c r="K66" s="37"/>
      <c r="L66" s="35"/>
      <c r="M66" s="36">
        <f>VLOOKUP(A66,Plots!$B$4:$E$39,4)</f>
        <v>82</v>
      </c>
      <c r="N66" s="35">
        <f>VLOOKUP(A66,Garden!$B$4:$D$19,3)</f>
        <v>18</v>
      </c>
      <c r="O66" s="78">
        <f>MIN(4,ROUNDUP(VLOOKUP(A66,Background!$C$3:$D$52,2)/5,0))</f>
        <v>4</v>
      </c>
      <c r="P66" s="195">
        <f t="shared" si="1"/>
        <v>21</v>
      </c>
      <c r="Q66" s="35">
        <f t="shared" si="4"/>
        <v>63</v>
      </c>
      <c r="S66" s="80">
        <f>B65+MAX(Overview!C65*T65,(B65-B64)*1.01)</f>
        <v>465700</v>
      </c>
      <c r="T66" s="260">
        <f t="shared" si="3"/>
        <v>5</v>
      </c>
    </row>
    <row r="67" spans="1:20">
      <c r="A67" s="258">
        <f t="shared" si="0"/>
        <v>64</v>
      </c>
      <c r="B67" s="16">
        <f t="shared" si="2"/>
        <v>487000</v>
      </c>
      <c r="C67" s="36"/>
      <c r="D67" s="37"/>
      <c r="E67" s="37"/>
      <c r="F67" s="37"/>
      <c r="G67" s="37"/>
      <c r="H67" s="37"/>
      <c r="I67" s="37"/>
      <c r="J67" s="37"/>
      <c r="K67" s="37"/>
      <c r="L67" s="35"/>
      <c r="M67" s="36">
        <f>VLOOKUP(A67,Plots!$B$4:$E$39,4)</f>
        <v>86</v>
      </c>
      <c r="N67" s="35">
        <f>VLOOKUP(A67,Garden!$B$4:$D$19,3)</f>
        <v>18</v>
      </c>
      <c r="O67" s="78">
        <f>MIN(4,ROUNDUP(VLOOKUP(A67,Background!$C$3:$D$52,2)/5,0))</f>
        <v>4</v>
      </c>
      <c r="P67" s="195">
        <f t="shared" si="1"/>
        <v>22</v>
      </c>
      <c r="Q67" s="35">
        <f t="shared" si="4"/>
        <v>64</v>
      </c>
      <c r="S67" s="80">
        <f>B66+MAX(Overview!C66*T66,(B66-B65)*1.01)</f>
        <v>486705</v>
      </c>
      <c r="T67" s="260">
        <f t="shared" si="3"/>
        <v>5</v>
      </c>
    </row>
    <row r="68" spans="1:20">
      <c r="A68" s="258">
        <f t="shared" si="0"/>
        <v>65</v>
      </c>
      <c r="B68" s="16">
        <f t="shared" si="2"/>
        <v>508500</v>
      </c>
      <c r="C68" s="36"/>
      <c r="D68" s="37"/>
      <c r="E68" s="37"/>
      <c r="F68" s="37"/>
      <c r="G68" s="37"/>
      <c r="H68" s="37"/>
      <c r="I68" s="37"/>
      <c r="J68" s="37"/>
      <c r="K68" s="37"/>
      <c r="L68" s="35"/>
      <c r="M68" s="36">
        <f>VLOOKUP(A68,Plots!$B$4:$E$39,4)</f>
        <v>86</v>
      </c>
      <c r="N68" s="35">
        <f>VLOOKUP(A68,Garden!$B$4:$D$19,3)</f>
        <v>18</v>
      </c>
      <c r="O68" s="78">
        <f>MIN(4,ROUNDUP(VLOOKUP(A68,Background!$C$3:$D$52,2)/5,0))</f>
        <v>4</v>
      </c>
      <c r="P68" s="195">
        <f t="shared" si="1"/>
        <v>22</v>
      </c>
      <c r="Q68" s="35">
        <f t="shared" si="4"/>
        <v>65</v>
      </c>
      <c r="S68" s="80">
        <f>B67+MAX(Overview!C67*T67,(B67-B66)*1.01)</f>
        <v>508210</v>
      </c>
      <c r="T68" s="260">
        <f t="shared" si="3"/>
        <v>5</v>
      </c>
    </row>
    <row r="69" spans="1:20">
      <c r="A69" s="258">
        <f t="shared" ref="A69:A132" si="5">IF(ISNUMBER(A68),A68,0)+1</f>
        <v>66</v>
      </c>
      <c r="B69" s="16">
        <f t="shared" si="2"/>
        <v>530500</v>
      </c>
      <c r="C69" s="36"/>
      <c r="D69" s="37"/>
      <c r="E69" s="37"/>
      <c r="F69" s="37"/>
      <c r="G69" s="37"/>
      <c r="H69" s="37"/>
      <c r="I69" s="37"/>
      <c r="J69" s="37"/>
      <c r="K69" s="37"/>
      <c r="L69" s="35"/>
      <c r="M69" s="36">
        <f>VLOOKUP(A69,Plots!$B$4:$E$39,4)</f>
        <v>86</v>
      </c>
      <c r="N69" s="35">
        <f>VLOOKUP(A69,Garden!$B$4:$D$19,3)</f>
        <v>19</v>
      </c>
      <c r="O69" s="78">
        <f>MIN(4,ROUNDUP(VLOOKUP(A69,Background!$C$3:$D$52,2)/5,0))</f>
        <v>4</v>
      </c>
      <c r="P69" s="195">
        <f t="shared" ref="P69:P132" si="6">MIN(50,ROUNDUP(A69/3,0),M69)</f>
        <v>22</v>
      </c>
      <c r="Q69" s="35">
        <f t="shared" si="4"/>
        <v>66</v>
      </c>
      <c r="S69" s="80">
        <f>B68+MAX(Overview!C68*T68,(B68-B67)*1.01)</f>
        <v>530215</v>
      </c>
      <c r="T69" s="260">
        <f t="shared" si="3"/>
        <v>5</v>
      </c>
    </row>
    <row r="70" spans="1:20">
      <c r="A70" s="258">
        <f t="shared" si="5"/>
        <v>67</v>
      </c>
      <c r="B70" s="16">
        <f t="shared" ref="B70:B133" si="7">IF(S70&lt;10000,ROUND(S70,0),IF(S70&lt;100000,ROUNDUP(S70/100,0)*100,ROUNDUP(S70/500,0)*500))</f>
        <v>553000</v>
      </c>
      <c r="C70" s="36"/>
      <c r="D70" s="37"/>
      <c r="E70" s="37"/>
      <c r="F70" s="37"/>
      <c r="G70" s="37"/>
      <c r="H70" s="37"/>
      <c r="I70" s="37"/>
      <c r="J70" s="37"/>
      <c r="K70" s="37"/>
      <c r="L70" s="35"/>
      <c r="M70" s="36">
        <f>VLOOKUP(A70,Plots!$B$4:$E$39,4)</f>
        <v>86</v>
      </c>
      <c r="N70" s="35">
        <f>VLOOKUP(A70,Garden!$B$4:$D$19,3)</f>
        <v>19</v>
      </c>
      <c r="O70" s="78">
        <f>MIN(4,ROUNDUP(VLOOKUP(A70,Background!$C$3:$D$52,2)/5,0))</f>
        <v>4</v>
      </c>
      <c r="P70" s="195">
        <f t="shared" si="6"/>
        <v>23</v>
      </c>
      <c r="Q70" s="35">
        <f t="shared" si="4"/>
        <v>67</v>
      </c>
      <c r="S70" s="80">
        <f>B69+MAX(Overview!C69*T69,(B69-B68)*1.01)</f>
        <v>552720</v>
      </c>
      <c r="T70" s="260">
        <f t="shared" si="3"/>
        <v>5</v>
      </c>
    </row>
    <row r="71" spans="1:20">
      <c r="A71" s="258">
        <f t="shared" si="5"/>
        <v>68</v>
      </c>
      <c r="B71" s="16">
        <f t="shared" si="7"/>
        <v>576000</v>
      </c>
      <c r="C71" s="36"/>
      <c r="D71" s="37"/>
      <c r="E71" s="37"/>
      <c r="F71" s="37"/>
      <c r="G71" s="37"/>
      <c r="H71" s="37"/>
      <c r="I71" s="37"/>
      <c r="J71" s="37"/>
      <c r="K71" s="37"/>
      <c r="L71" s="35"/>
      <c r="M71" s="36">
        <f>VLOOKUP(A71,Plots!$B$4:$E$39,4)</f>
        <v>90</v>
      </c>
      <c r="N71" s="35">
        <f>VLOOKUP(A71,Garden!$B$4:$D$19,3)</f>
        <v>19</v>
      </c>
      <c r="O71" s="78">
        <f>MIN(4,ROUNDUP(VLOOKUP(A71,Background!$C$3:$D$52,2)/5,0))</f>
        <v>4</v>
      </c>
      <c r="P71" s="195">
        <f t="shared" si="6"/>
        <v>23</v>
      </c>
      <c r="Q71" s="35">
        <f t="shared" si="4"/>
        <v>68</v>
      </c>
      <c r="S71" s="80">
        <f>B70+MAX(Overview!C70*T70,(B70-B69)*1.01)</f>
        <v>575725</v>
      </c>
      <c r="T71" s="260">
        <f t="shared" si="3"/>
        <v>5</v>
      </c>
    </row>
    <row r="72" spans="1:20">
      <c r="A72" s="258">
        <f t="shared" si="5"/>
        <v>69</v>
      </c>
      <c r="B72" s="16">
        <f t="shared" si="7"/>
        <v>599500</v>
      </c>
      <c r="C72" s="36"/>
      <c r="D72" s="37"/>
      <c r="E72" s="37"/>
      <c r="F72" s="37"/>
      <c r="G72" s="37"/>
      <c r="H72" s="37"/>
      <c r="I72" s="37"/>
      <c r="J72" s="37"/>
      <c r="K72" s="37"/>
      <c r="L72" s="35"/>
      <c r="M72" s="36">
        <f>VLOOKUP(A72,Plots!$B$4:$E$39,4)</f>
        <v>90</v>
      </c>
      <c r="N72" s="35">
        <f>VLOOKUP(A72,Garden!$B$4:$D$19,3)</f>
        <v>19</v>
      </c>
      <c r="O72" s="78">
        <f>MIN(4,ROUNDUP(VLOOKUP(A72,Background!$C$3:$D$52,2)/5,0))</f>
        <v>4</v>
      </c>
      <c r="P72" s="195">
        <f t="shared" si="6"/>
        <v>23</v>
      </c>
      <c r="Q72" s="35">
        <f t="shared" si="4"/>
        <v>69</v>
      </c>
      <c r="S72" s="80">
        <f>B71+MAX(Overview!C71*T71,(B71-B70)*1.01)</f>
        <v>599230</v>
      </c>
      <c r="T72" s="260">
        <f t="shared" si="3"/>
        <v>5</v>
      </c>
    </row>
    <row r="73" spans="1:20">
      <c r="A73" s="258">
        <f t="shared" si="5"/>
        <v>70</v>
      </c>
      <c r="B73" s="16">
        <f t="shared" si="7"/>
        <v>623500</v>
      </c>
      <c r="C73" s="36"/>
      <c r="D73" s="37"/>
      <c r="E73" s="37"/>
      <c r="F73" s="37"/>
      <c r="G73" s="37"/>
      <c r="H73" s="37"/>
      <c r="I73" s="37"/>
      <c r="J73" s="37"/>
      <c r="K73" s="37"/>
      <c r="L73" s="35"/>
      <c r="M73" s="36">
        <f>VLOOKUP(A73,Plots!$B$4:$E$39,4)</f>
        <v>90</v>
      </c>
      <c r="N73" s="35">
        <f>VLOOKUP(A73,Garden!$B$4:$D$19,3)</f>
        <v>19</v>
      </c>
      <c r="O73" s="78">
        <f>MIN(4,ROUNDUP(VLOOKUP(A73,Background!$C$3:$D$52,2)/5,0))</f>
        <v>4</v>
      </c>
      <c r="P73" s="195">
        <f t="shared" si="6"/>
        <v>24</v>
      </c>
      <c r="Q73" s="35">
        <f t="shared" ref="Q73:Q136" si="8">MAX(4,MIN(A73,M73))</f>
        <v>70</v>
      </c>
      <c r="S73" s="80">
        <f>B72+MAX(Overview!C72*T72,(B72-B71)*1.01)</f>
        <v>623235</v>
      </c>
      <c r="T73" s="260">
        <f t="shared" ref="T73:T136" si="9">MIN(5,MAX(0.1+T72,T72*1.1))</f>
        <v>5</v>
      </c>
    </row>
    <row r="74" spans="1:20">
      <c r="A74" s="258">
        <f t="shared" si="5"/>
        <v>71</v>
      </c>
      <c r="B74" s="16">
        <f t="shared" si="7"/>
        <v>648000</v>
      </c>
      <c r="C74" s="36"/>
      <c r="D74" s="37"/>
      <c r="E74" s="37"/>
      <c r="F74" s="37"/>
      <c r="G74" s="37"/>
      <c r="H74" s="37"/>
      <c r="I74" s="37"/>
      <c r="J74" s="37"/>
      <c r="K74" s="37"/>
      <c r="L74" s="35"/>
      <c r="M74" s="36">
        <f>VLOOKUP(A74,Plots!$B$4:$E$39,4)</f>
        <v>94</v>
      </c>
      <c r="N74" s="35">
        <f>VLOOKUP(A74,Garden!$B$4:$D$19,3)</f>
        <v>19</v>
      </c>
      <c r="O74" s="78">
        <f>MIN(4,ROUNDUP(VLOOKUP(A74,Background!$C$3:$D$52,2)/5,0))</f>
        <v>4</v>
      </c>
      <c r="P74" s="195">
        <f t="shared" si="6"/>
        <v>24</v>
      </c>
      <c r="Q74" s="35">
        <f t="shared" si="8"/>
        <v>71</v>
      </c>
      <c r="S74" s="80">
        <f>B73+MAX(Overview!C73*T73,(B73-B72)*1.01)</f>
        <v>647740</v>
      </c>
      <c r="T74" s="260">
        <f t="shared" si="9"/>
        <v>5</v>
      </c>
    </row>
    <row r="75" spans="1:20">
      <c r="A75" s="258">
        <f t="shared" si="5"/>
        <v>72</v>
      </c>
      <c r="B75" s="16">
        <f t="shared" si="7"/>
        <v>673000</v>
      </c>
      <c r="C75" s="36"/>
      <c r="D75" s="37"/>
      <c r="E75" s="37"/>
      <c r="F75" s="37"/>
      <c r="G75" s="37"/>
      <c r="H75" s="37"/>
      <c r="I75" s="37"/>
      <c r="J75" s="37"/>
      <c r="K75" s="37"/>
      <c r="L75" s="35"/>
      <c r="M75" s="36">
        <f>VLOOKUP(A75,Plots!$B$4:$E$39,4)</f>
        <v>94</v>
      </c>
      <c r="N75" s="35">
        <f>VLOOKUP(A75,Garden!$B$4:$D$19,3)</f>
        <v>19</v>
      </c>
      <c r="O75" s="78">
        <f>MIN(4,ROUNDUP(VLOOKUP(A75,Background!$C$3:$D$52,2)/5,0))</f>
        <v>4</v>
      </c>
      <c r="P75" s="195">
        <f t="shared" si="6"/>
        <v>24</v>
      </c>
      <c r="Q75" s="35">
        <f t="shared" si="8"/>
        <v>72</v>
      </c>
      <c r="S75" s="80">
        <f>B74+MAX(Overview!C74*T74,(B74-B73)*1.01)</f>
        <v>672745</v>
      </c>
      <c r="T75" s="260">
        <f t="shared" si="9"/>
        <v>5</v>
      </c>
    </row>
    <row r="76" spans="1:20">
      <c r="A76" s="258">
        <f t="shared" si="5"/>
        <v>73</v>
      </c>
      <c r="B76" s="16">
        <f t="shared" si="7"/>
        <v>698500</v>
      </c>
      <c r="C76" s="36"/>
      <c r="D76" s="37"/>
      <c r="E76" s="37"/>
      <c r="F76" s="37"/>
      <c r="G76" s="37"/>
      <c r="H76" s="37"/>
      <c r="I76" s="37"/>
      <c r="J76" s="37"/>
      <c r="K76" s="37"/>
      <c r="L76" s="35"/>
      <c r="M76" s="36">
        <f>VLOOKUP(A76,Plots!$B$4:$E$39,4)</f>
        <v>94</v>
      </c>
      <c r="N76" s="35">
        <f>VLOOKUP(A76,Garden!$B$4:$D$19,3)</f>
        <v>20</v>
      </c>
      <c r="O76" s="78">
        <f>MIN(4,ROUNDUP(VLOOKUP(A76,Background!$C$3:$D$52,2)/5,0))</f>
        <v>4</v>
      </c>
      <c r="P76" s="195">
        <f t="shared" si="6"/>
        <v>25</v>
      </c>
      <c r="Q76" s="35">
        <f t="shared" si="8"/>
        <v>73</v>
      </c>
      <c r="S76" s="80">
        <f>B75+MAX(Overview!C75*T75,(B75-B74)*1.01)</f>
        <v>698250</v>
      </c>
      <c r="T76" s="260">
        <f t="shared" si="9"/>
        <v>5</v>
      </c>
    </row>
    <row r="77" spans="1:20">
      <c r="A77" s="258">
        <f t="shared" si="5"/>
        <v>74</v>
      </c>
      <c r="B77" s="16">
        <f t="shared" si="7"/>
        <v>724500</v>
      </c>
      <c r="C77" s="36"/>
      <c r="D77" s="37"/>
      <c r="E77" s="37"/>
      <c r="F77" s="37"/>
      <c r="G77" s="37"/>
      <c r="H77" s="37"/>
      <c r="I77" s="37"/>
      <c r="J77" s="37"/>
      <c r="K77" s="37"/>
      <c r="L77" s="35"/>
      <c r="M77" s="36">
        <f>VLOOKUP(A77,Plots!$B$4:$E$39,4)</f>
        <v>94</v>
      </c>
      <c r="N77" s="35">
        <f>VLOOKUP(A77,Garden!$B$4:$D$19,3)</f>
        <v>20</v>
      </c>
      <c r="O77" s="78">
        <f>MIN(4,ROUNDUP(VLOOKUP(A77,Background!$C$3:$D$52,2)/5,0))</f>
        <v>4</v>
      </c>
      <c r="P77" s="195">
        <f t="shared" si="6"/>
        <v>25</v>
      </c>
      <c r="Q77" s="35">
        <f t="shared" si="8"/>
        <v>74</v>
      </c>
      <c r="S77" s="80">
        <f>B76+MAX(Overview!C76*T76,(B76-B75)*1.01)</f>
        <v>724255</v>
      </c>
      <c r="T77" s="260">
        <f t="shared" si="9"/>
        <v>5</v>
      </c>
    </row>
    <row r="78" spans="1:20">
      <c r="A78" s="258">
        <f t="shared" si="5"/>
        <v>75</v>
      </c>
      <c r="B78" s="16">
        <f t="shared" si="7"/>
        <v>751000</v>
      </c>
      <c r="C78" s="36"/>
      <c r="D78" s="37"/>
      <c r="E78" s="37"/>
      <c r="F78" s="37"/>
      <c r="G78" s="37"/>
      <c r="H78" s="37"/>
      <c r="I78" s="37"/>
      <c r="J78" s="37"/>
      <c r="K78" s="37"/>
      <c r="L78" s="35"/>
      <c r="M78" s="36">
        <f>VLOOKUP(A78,Plots!$B$4:$E$39,4)</f>
        <v>98</v>
      </c>
      <c r="N78" s="35">
        <f>VLOOKUP(A78,Garden!$B$4:$D$19,3)</f>
        <v>20</v>
      </c>
      <c r="O78" s="78">
        <f>MIN(4,ROUNDUP(VLOOKUP(A78,Background!$C$3:$D$52,2)/5,0))</f>
        <v>4</v>
      </c>
      <c r="P78" s="195">
        <f t="shared" si="6"/>
        <v>25</v>
      </c>
      <c r="Q78" s="35">
        <f t="shared" si="8"/>
        <v>75</v>
      </c>
      <c r="S78" s="80">
        <f>B77+MAX(Overview!C77*T77,(B77-B76)*1.01)</f>
        <v>750760</v>
      </c>
      <c r="T78" s="260">
        <f t="shared" si="9"/>
        <v>5</v>
      </c>
    </row>
    <row r="79" spans="1:20">
      <c r="A79" s="258">
        <f t="shared" si="5"/>
        <v>76</v>
      </c>
      <c r="B79" s="16">
        <f t="shared" si="7"/>
        <v>778000</v>
      </c>
      <c r="C79" s="36"/>
      <c r="D79" s="37"/>
      <c r="E79" s="37"/>
      <c r="F79" s="37"/>
      <c r="G79" s="37"/>
      <c r="H79" s="37"/>
      <c r="I79" s="37"/>
      <c r="J79" s="37"/>
      <c r="K79" s="37"/>
      <c r="L79" s="35"/>
      <c r="M79" s="36">
        <f>VLOOKUP(A79,Plots!$B$4:$E$39,4)</f>
        <v>98</v>
      </c>
      <c r="N79" s="35">
        <f>VLOOKUP(A79,Garden!$B$4:$D$19,3)</f>
        <v>20</v>
      </c>
      <c r="O79" s="78">
        <f>MIN(4,ROUNDUP(VLOOKUP(A79,Background!$C$3:$D$52,2)/5,0))</f>
        <v>4</v>
      </c>
      <c r="P79" s="195">
        <f t="shared" si="6"/>
        <v>26</v>
      </c>
      <c r="Q79" s="35">
        <f t="shared" si="8"/>
        <v>76</v>
      </c>
      <c r="S79" s="80">
        <f>B78+MAX(Overview!C78*T78,(B78-B77)*1.01)</f>
        <v>777765</v>
      </c>
      <c r="T79" s="260">
        <f t="shared" si="9"/>
        <v>5</v>
      </c>
    </row>
    <row r="80" spans="1:20">
      <c r="A80" s="258">
        <f t="shared" si="5"/>
        <v>77</v>
      </c>
      <c r="B80" s="16">
        <f t="shared" si="7"/>
        <v>805500</v>
      </c>
      <c r="C80" s="36"/>
      <c r="D80" s="37"/>
      <c r="E80" s="37"/>
      <c r="F80" s="37"/>
      <c r="G80" s="37"/>
      <c r="H80" s="37"/>
      <c r="I80" s="37"/>
      <c r="J80" s="37"/>
      <c r="K80" s="37"/>
      <c r="L80" s="35"/>
      <c r="M80" s="36">
        <f>VLOOKUP(A80,Plots!$B$4:$E$39,4)</f>
        <v>98</v>
      </c>
      <c r="N80" s="35">
        <f>VLOOKUP(A80,Garden!$B$4:$D$19,3)</f>
        <v>20</v>
      </c>
      <c r="O80" s="78">
        <f>MIN(4,ROUNDUP(VLOOKUP(A80,Background!$C$3:$D$52,2)/5,0))</f>
        <v>4</v>
      </c>
      <c r="P80" s="195">
        <f t="shared" si="6"/>
        <v>26</v>
      </c>
      <c r="Q80" s="35">
        <f t="shared" si="8"/>
        <v>77</v>
      </c>
      <c r="S80" s="80">
        <f>B79+MAX(Overview!C79*T79,(B79-B78)*1.01)</f>
        <v>805270</v>
      </c>
      <c r="T80" s="260">
        <f t="shared" si="9"/>
        <v>5</v>
      </c>
    </row>
    <row r="81" spans="1:20">
      <c r="A81" s="258">
        <f t="shared" si="5"/>
        <v>78</v>
      </c>
      <c r="B81" s="16">
        <f t="shared" si="7"/>
        <v>833500</v>
      </c>
      <c r="C81" s="36"/>
      <c r="D81" s="37"/>
      <c r="E81" s="37"/>
      <c r="F81" s="37"/>
      <c r="G81" s="37"/>
      <c r="H81" s="37"/>
      <c r="I81" s="37"/>
      <c r="J81" s="37"/>
      <c r="K81" s="37"/>
      <c r="L81" s="35"/>
      <c r="M81" s="36">
        <f>VLOOKUP(A81,Plots!$B$4:$E$39,4)</f>
        <v>102</v>
      </c>
      <c r="N81" s="35">
        <f>VLOOKUP(A81,Garden!$B$4:$D$19,3)</f>
        <v>20</v>
      </c>
      <c r="O81" s="78">
        <f>MIN(4,ROUNDUP(VLOOKUP(A81,Background!$C$3:$D$52,2)/5,0))</f>
        <v>4</v>
      </c>
      <c r="P81" s="195">
        <f t="shared" si="6"/>
        <v>26</v>
      </c>
      <c r="Q81" s="35">
        <f t="shared" si="8"/>
        <v>78</v>
      </c>
      <c r="S81" s="80">
        <f>B80+MAX(Overview!C80*T80,(B80-B79)*1.01)</f>
        <v>833275</v>
      </c>
      <c r="T81" s="260">
        <f t="shared" si="9"/>
        <v>5</v>
      </c>
    </row>
    <row r="82" spans="1:20">
      <c r="A82" s="258">
        <f t="shared" si="5"/>
        <v>79</v>
      </c>
      <c r="B82" s="16">
        <f t="shared" si="7"/>
        <v>862000</v>
      </c>
      <c r="C82" s="36"/>
      <c r="D82" s="37"/>
      <c r="E82" s="37"/>
      <c r="F82" s="37"/>
      <c r="G82" s="37"/>
      <c r="H82" s="37"/>
      <c r="I82" s="37"/>
      <c r="J82" s="37"/>
      <c r="K82" s="37"/>
      <c r="L82" s="35"/>
      <c r="M82" s="36">
        <f>VLOOKUP(A82,Plots!$B$4:$E$39,4)</f>
        <v>102</v>
      </c>
      <c r="N82" s="35">
        <f>VLOOKUP(A82,Garden!$B$4:$D$19,3)</f>
        <v>20</v>
      </c>
      <c r="O82" s="78">
        <f>MIN(4,ROUNDUP(VLOOKUP(A82,Background!$C$3:$D$52,2)/5,0))</f>
        <v>4</v>
      </c>
      <c r="P82" s="195">
        <f t="shared" si="6"/>
        <v>27</v>
      </c>
      <c r="Q82" s="35">
        <f t="shared" si="8"/>
        <v>79</v>
      </c>
      <c r="S82" s="80">
        <f>B81+MAX(Overview!C81*T81,(B81-B80)*1.01)</f>
        <v>861780</v>
      </c>
      <c r="T82" s="260">
        <f t="shared" si="9"/>
        <v>5</v>
      </c>
    </row>
    <row r="83" spans="1:20">
      <c r="A83" s="258">
        <f t="shared" si="5"/>
        <v>80</v>
      </c>
      <c r="B83" s="16">
        <f t="shared" si="7"/>
        <v>891000</v>
      </c>
      <c r="C83" s="36"/>
      <c r="D83" s="37"/>
      <c r="E83" s="37"/>
      <c r="F83" s="37"/>
      <c r="G83" s="37"/>
      <c r="H83" s="37"/>
      <c r="I83" s="37"/>
      <c r="J83" s="37"/>
      <c r="K83" s="37"/>
      <c r="L83" s="35"/>
      <c r="M83" s="36">
        <f>VLOOKUP(A83,Plots!$B$4:$E$39,4)</f>
        <v>102</v>
      </c>
      <c r="N83" s="35">
        <f>VLOOKUP(A83,Garden!$B$4:$D$19,3)</f>
        <v>21</v>
      </c>
      <c r="O83" s="78">
        <f>MIN(4,ROUNDUP(VLOOKUP(A83,Background!$C$3:$D$52,2)/5,0))</f>
        <v>4</v>
      </c>
      <c r="P83" s="195">
        <f t="shared" si="6"/>
        <v>27</v>
      </c>
      <c r="Q83" s="35">
        <f t="shared" si="8"/>
        <v>80</v>
      </c>
      <c r="S83" s="80">
        <f>B82+MAX(Overview!C82*T82,(B82-B81)*1.01)</f>
        <v>890785</v>
      </c>
      <c r="T83" s="260">
        <f t="shared" si="9"/>
        <v>5</v>
      </c>
    </row>
    <row r="84" spans="1:20">
      <c r="A84" s="258">
        <f t="shared" si="5"/>
        <v>81</v>
      </c>
      <c r="B84" s="16">
        <f t="shared" si="7"/>
        <v>920500</v>
      </c>
      <c r="C84" s="36"/>
      <c r="D84" s="37"/>
      <c r="E84" s="37"/>
      <c r="F84" s="37"/>
      <c r="G84" s="37"/>
      <c r="H84" s="37"/>
      <c r="I84" s="37"/>
      <c r="J84" s="37"/>
      <c r="K84" s="37"/>
      <c r="L84" s="35"/>
      <c r="M84" s="36">
        <f>VLOOKUP(A84,Plots!$B$4:$E$39,4)</f>
        <v>102</v>
      </c>
      <c r="N84" s="35">
        <f>VLOOKUP(A84,Garden!$B$4:$D$19,3)</f>
        <v>21</v>
      </c>
      <c r="O84" s="78">
        <f>MIN(4,ROUNDUP(VLOOKUP(A84,Background!$C$3:$D$52,2)/5,0))</f>
        <v>4</v>
      </c>
      <c r="P84" s="195">
        <f t="shared" si="6"/>
        <v>27</v>
      </c>
      <c r="Q84" s="35">
        <f t="shared" si="8"/>
        <v>81</v>
      </c>
      <c r="S84" s="80">
        <f>B83+MAX(Overview!C83*T83,(B83-B82)*1.01)</f>
        <v>920290</v>
      </c>
      <c r="T84" s="260">
        <f t="shared" si="9"/>
        <v>5</v>
      </c>
    </row>
    <row r="85" spans="1:20">
      <c r="A85" s="258">
        <f t="shared" si="5"/>
        <v>82</v>
      </c>
      <c r="B85" s="16">
        <f t="shared" si="7"/>
        <v>950500</v>
      </c>
      <c r="C85" s="36"/>
      <c r="D85" s="37"/>
      <c r="E85" s="37"/>
      <c r="F85" s="37"/>
      <c r="G85" s="37"/>
      <c r="H85" s="37"/>
      <c r="I85" s="37"/>
      <c r="J85" s="37"/>
      <c r="K85" s="37"/>
      <c r="L85" s="35"/>
      <c r="M85" s="36">
        <f>VLOOKUP(A85,Plots!$B$4:$E$39,4)</f>
        <v>106</v>
      </c>
      <c r="N85" s="35">
        <f>VLOOKUP(A85,Garden!$B$4:$D$19,3)</f>
        <v>21</v>
      </c>
      <c r="O85" s="78">
        <f>MIN(4,ROUNDUP(VLOOKUP(A85,Background!$C$3:$D$52,2)/5,0))</f>
        <v>4</v>
      </c>
      <c r="P85" s="195">
        <f t="shared" si="6"/>
        <v>28</v>
      </c>
      <c r="Q85" s="35">
        <f t="shared" si="8"/>
        <v>82</v>
      </c>
      <c r="S85" s="80">
        <f>B84+MAX(Overview!C84*T84,(B84-B83)*1.01)</f>
        <v>950295</v>
      </c>
      <c r="T85" s="260">
        <f t="shared" si="9"/>
        <v>5</v>
      </c>
    </row>
    <row r="86" spans="1:20">
      <c r="A86" s="258">
        <f t="shared" si="5"/>
        <v>83</v>
      </c>
      <c r="B86" s="16">
        <f t="shared" si="7"/>
        <v>981000</v>
      </c>
      <c r="C86" s="36"/>
      <c r="D86" s="37"/>
      <c r="E86" s="37"/>
      <c r="F86" s="37"/>
      <c r="G86" s="37"/>
      <c r="H86" s="37"/>
      <c r="I86" s="37"/>
      <c r="J86" s="37"/>
      <c r="K86" s="37"/>
      <c r="L86" s="35"/>
      <c r="M86" s="36">
        <f>VLOOKUP(A86,Plots!$B$4:$E$39,4)</f>
        <v>106</v>
      </c>
      <c r="N86" s="35">
        <f>VLOOKUP(A86,Garden!$B$4:$D$19,3)</f>
        <v>21</v>
      </c>
      <c r="O86" s="78">
        <f>MIN(4,ROUNDUP(VLOOKUP(A86,Background!$C$3:$D$52,2)/5,0))</f>
        <v>4</v>
      </c>
      <c r="P86" s="195">
        <f t="shared" si="6"/>
        <v>28</v>
      </c>
      <c r="Q86" s="35">
        <f t="shared" si="8"/>
        <v>83</v>
      </c>
      <c r="S86" s="80">
        <f>B85+MAX(Overview!C85*T85,(B85-B84)*1.01)</f>
        <v>980800</v>
      </c>
      <c r="T86" s="260">
        <f t="shared" si="9"/>
        <v>5</v>
      </c>
    </row>
    <row r="87" spans="1:20">
      <c r="A87" s="258">
        <f t="shared" si="5"/>
        <v>84</v>
      </c>
      <c r="B87" s="16">
        <f t="shared" si="7"/>
        <v>1012000</v>
      </c>
      <c r="C87" s="36"/>
      <c r="D87" s="37"/>
      <c r="E87" s="37"/>
      <c r="F87" s="37"/>
      <c r="G87" s="37"/>
      <c r="H87" s="37"/>
      <c r="I87" s="37"/>
      <c r="J87" s="37"/>
      <c r="K87" s="37"/>
      <c r="L87" s="35"/>
      <c r="M87" s="36">
        <f>VLOOKUP(A87,Plots!$B$4:$E$39,4)</f>
        <v>106</v>
      </c>
      <c r="N87" s="35">
        <f>VLOOKUP(A87,Garden!$B$4:$D$19,3)</f>
        <v>21</v>
      </c>
      <c r="O87" s="78">
        <f>MIN(4,ROUNDUP(VLOOKUP(A87,Background!$C$3:$D$52,2)/5,0))</f>
        <v>4</v>
      </c>
      <c r="P87" s="195">
        <f t="shared" si="6"/>
        <v>28</v>
      </c>
      <c r="Q87" s="35">
        <f t="shared" si="8"/>
        <v>84</v>
      </c>
      <c r="S87" s="80">
        <f>B86+MAX(Overview!C86*T86,(B86-B85)*1.01)</f>
        <v>1011805</v>
      </c>
      <c r="T87" s="260">
        <f t="shared" si="9"/>
        <v>5</v>
      </c>
    </row>
    <row r="88" spans="1:20">
      <c r="A88" s="258">
        <f t="shared" si="5"/>
        <v>85</v>
      </c>
      <c r="B88" s="16">
        <f t="shared" si="7"/>
        <v>1043500</v>
      </c>
      <c r="C88" s="36"/>
      <c r="D88" s="37"/>
      <c r="E88" s="37"/>
      <c r="F88" s="37"/>
      <c r="G88" s="37"/>
      <c r="H88" s="37"/>
      <c r="I88" s="37"/>
      <c r="J88" s="37"/>
      <c r="K88" s="37"/>
      <c r="L88" s="35"/>
      <c r="M88" s="36">
        <f>VLOOKUP(A88,Plots!$B$4:$E$39,4)</f>
        <v>110</v>
      </c>
      <c r="N88" s="35">
        <f>VLOOKUP(A88,Garden!$B$4:$D$19,3)</f>
        <v>21</v>
      </c>
      <c r="O88" s="78">
        <f>MIN(4,ROUNDUP(VLOOKUP(A88,Background!$C$3:$D$52,2)/5,0))</f>
        <v>4</v>
      </c>
      <c r="P88" s="195">
        <f t="shared" si="6"/>
        <v>29</v>
      </c>
      <c r="Q88" s="35">
        <f t="shared" si="8"/>
        <v>85</v>
      </c>
      <c r="S88" s="80">
        <f>B87+MAX(Overview!C87*T87,(B87-B86)*1.01)</f>
        <v>1043310</v>
      </c>
      <c r="T88" s="260">
        <f t="shared" si="9"/>
        <v>5</v>
      </c>
    </row>
    <row r="89" spans="1:20">
      <c r="A89" s="258">
        <f t="shared" si="5"/>
        <v>86</v>
      </c>
      <c r="B89" s="16">
        <f t="shared" si="7"/>
        <v>1075500</v>
      </c>
      <c r="C89" s="36"/>
      <c r="D89" s="37"/>
      <c r="E89" s="37"/>
      <c r="F89" s="37"/>
      <c r="G89" s="37"/>
      <c r="H89" s="37"/>
      <c r="I89" s="37"/>
      <c r="J89" s="37"/>
      <c r="K89" s="37"/>
      <c r="L89" s="35"/>
      <c r="M89" s="36">
        <f>VLOOKUP(A89,Plots!$B$4:$E$39,4)</f>
        <v>110</v>
      </c>
      <c r="N89" s="35">
        <f>VLOOKUP(A89,Garden!$B$4:$D$19,3)</f>
        <v>21</v>
      </c>
      <c r="O89" s="78">
        <f>MIN(4,ROUNDUP(VLOOKUP(A89,Background!$C$3:$D$52,2)/5,0))</f>
        <v>4</v>
      </c>
      <c r="P89" s="195">
        <f t="shared" si="6"/>
        <v>29</v>
      </c>
      <c r="Q89" s="35">
        <f t="shared" si="8"/>
        <v>86</v>
      </c>
      <c r="S89" s="80">
        <f>B88+MAX(Overview!C88*T88,(B88-B87)*1.01)</f>
        <v>1075315</v>
      </c>
      <c r="T89" s="260">
        <f t="shared" si="9"/>
        <v>5</v>
      </c>
    </row>
    <row r="90" spans="1:20">
      <c r="A90" s="258">
        <f t="shared" si="5"/>
        <v>87</v>
      </c>
      <c r="B90" s="16">
        <f t="shared" si="7"/>
        <v>1108000</v>
      </c>
      <c r="C90" s="36"/>
      <c r="D90" s="37"/>
      <c r="E90" s="37"/>
      <c r="F90" s="37"/>
      <c r="G90" s="37"/>
      <c r="H90" s="37"/>
      <c r="I90" s="37"/>
      <c r="J90" s="37"/>
      <c r="K90" s="37"/>
      <c r="L90" s="35"/>
      <c r="M90" s="36">
        <f>VLOOKUP(A90,Plots!$B$4:$E$39,4)</f>
        <v>110</v>
      </c>
      <c r="N90" s="35">
        <f>VLOOKUP(A90,Garden!$B$4:$D$19,3)</f>
        <v>22</v>
      </c>
      <c r="O90" s="78">
        <f>MIN(4,ROUNDUP(VLOOKUP(A90,Background!$C$3:$D$52,2)/5,0))</f>
        <v>4</v>
      </c>
      <c r="P90" s="195">
        <f t="shared" si="6"/>
        <v>29</v>
      </c>
      <c r="Q90" s="35">
        <f t="shared" si="8"/>
        <v>87</v>
      </c>
      <c r="S90" s="80">
        <f>B89+MAX(Overview!C89*T89,(B89-B88)*1.01)</f>
        <v>1107820</v>
      </c>
      <c r="T90" s="260">
        <f t="shared" si="9"/>
        <v>5</v>
      </c>
    </row>
    <row r="91" spans="1:20">
      <c r="A91" s="258">
        <f t="shared" si="5"/>
        <v>88</v>
      </c>
      <c r="B91" s="16">
        <f t="shared" si="7"/>
        <v>1141000</v>
      </c>
      <c r="C91" s="36"/>
      <c r="D91" s="37"/>
      <c r="E91" s="37"/>
      <c r="F91" s="37"/>
      <c r="G91" s="37"/>
      <c r="H91" s="37"/>
      <c r="I91" s="37"/>
      <c r="J91" s="37"/>
      <c r="K91" s="37"/>
      <c r="L91" s="35"/>
      <c r="M91" s="36">
        <f>VLOOKUP(A91,Plots!$B$4:$E$39,4)</f>
        <v>110</v>
      </c>
      <c r="N91" s="35">
        <f>VLOOKUP(A91,Garden!$B$4:$D$19,3)</f>
        <v>22</v>
      </c>
      <c r="O91" s="78">
        <f>MIN(4,ROUNDUP(VLOOKUP(A91,Background!$C$3:$D$52,2)/5,0))</f>
        <v>4</v>
      </c>
      <c r="P91" s="195">
        <f t="shared" si="6"/>
        <v>30</v>
      </c>
      <c r="Q91" s="35">
        <f t="shared" si="8"/>
        <v>88</v>
      </c>
      <c r="S91" s="80">
        <f>B90+MAX(Overview!C90*T90,(B90-B89)*1.01)</f>
        <v>1140825</v>
      </c>
      <c r="T91" s="260">
        <f t="shared" si="9"/>
        <v>5</v>
      </c>
    </row>
    <row r="92" spans="1:20">
      <c r="A92" s="258">
        <f t="shared" si="5"/>
        <v>89</v>
      </c>
      <c r="B92" s="16">
        <f t="shared" si="7"/>
        <v>1174500</v>
      </c>
      <c r="C92" s="36"/>
      <c r="D92" s="37"/>
      <c r="E92" s="37"/>
      <c r="F92" s="37"/>
      <c r="G92" s="37"/>
      <c r="H92" s="37"/>
      <c r="I92" s="37"/>
      <c r="J92" s="37"/>
      <c r="K92" s="37"/>
      <c r="L92" s="35"/>
      <c r="M92" s="36">
        <f>VLOOKUP(A92,Plots!$B$4:$E$39,4)</f>
        <v>114</v>
      </c>
      <c r="N92" s="35">
        <f>VLOOKUP(A92,Garden!$B$4:$D$19,3)</f>
        <v>22</v>
      </c>
      <c r="O92" s="78">
        <f>MIN(4,ROUNDUP(VLOOKUP(A92,Background!$C$3:$D$52,2)/5,0))</f>
        <v>4</v>
      </c>
      <c r="P92" s="195">
        <f t="shared" si="6"/>
        <v>30</v>
      </c>
      <c r="Q92" s="35">
        <f t="shared" si="8"/>
        <v>89</v>
      </c>
      <c r="S92" s="80">
        <f>B91+MAX(Overview!C91*T91,(B91-B90)*1.01)</f>
        <v>1174330</v>
      </c>
      <c r="T92" s="260">
        <f t="shared" si="9"/>
        <v>5</v>
      </c>
    </row>
    <row r="93" spans="1:20">
      <c r="A93" s="258">
        <f t="shared" si="5"/>
        <v>90</v>
      </c>
      <c r="B93" s="16">
        <f t="shared" si="7"/>
        <v>1208500</v>
      </c>
      <c r="C93" s="36"/>
      <c r="D93" s="37"/>
      <c r="E93" s="37"/>
      <c r="F93" s="37"/>
      <c r="G93" s="37"/>
      <c r="H93" s="37"/>
      <c r="I93" s="37"/>
      <c r="J93" s="37"/>
      <c r="K93" s="37"/>
      <c r="L93" s="35"/>
      <c r="M93" s="36">
        <f>VLOOKUP(A93,Plots!$B$4:$E$39,4)</f>
        <v>114</v>
      </c>
      <c r="N93" s="35">
        <f>VLOOKUP(A93,Garden!$B$4:$D$19,3)</f>
        <v>22</v>
      </c>
      <c r="O93" s="78">
        <f>MIN(4,ROUNDUP(VLOOKUP(A93,Background!$C$3:$D$52,2)/5,0))</f>
        <v>4</v>
      </c>
      <c r="P93" s="195">
        <f t="shared" si="6"/>
        <v>30</v>
      </c>
      <c r="Q93" s="35">
        <f t="shared" si="8"/>
        <v>90</v>
      </c>
      <c r="S93" s="80">
        <f>B92+MAX(Overview!C92*T92,(B92-B91)*1.01)</f>
        <v>1208335</v>
      </c>
      <c r="T93" s="260">
        <f t="shared" si="9"/>
        <v>5</v>
      </c>
    </row>
    <row r="94" spans="1:20">
      <c r="A94" s="258">
        <f t="shared" si="5"/>
        <v>91</v>
      </c>
      <c r="B94" s="16">
        <f t="shared" si="7"/>
        <v>1243000</v>
      </c>
      <c r="C94" s="36"/>
      <c r="D94" s="37"/>
      <c r="E94" s="37"/>
      <c r="F94" s="37"/>
      <c r="G94" s="37"/>
      <c r="H94" s="37"/>
      <c r="I94" s="37"/>
      <c r="J94" s="37"/>
      <c r="K94" s="37"/>
      <c r="L94" s="35"/>
      <c r="M94" s="36">
        <f>VLOOKUP(A94,Plots!$B$4:$E$39,4)</f>
        <v>114</v>
      </c>
      <c r="N94" s="35">
        <f>VLOOKUP(A94,Garden!$B$4:$D$19,3)</f>
        <v>22</v>
      </c>
      <c r="O94" s="78">
        <f>MIN(4,ROUNDUP(VLOOKUP(A94,Background!$C$3:$D$52,2)/5,0))</f>
        <v>4</v>
      </c>
      <c r="P94" s="195">
        <f t="shared" si="6"/>
        <v>31</v>
      </c>
      <c r="Q94" s="35">
        <f t="shared" si="8"/>
        <v>91</v>
      </c>
      <c r="S94" s="80">
        <f>B93+MAX(Overview!C93*T93,(B93-B92)*1.01)</f>
        <v>1242840</v>
      </c>
      <c r="T94" s="260">
        <f t="shared" si="9"/>
        <v>5</v>
      </c>
    </row>
    <row r="95" spans="1:20">
      <c r="A95" s="258">
        <f t="shared" si="5"/>
        <v>92</v>
      </c>
      <c r="B95" s="16">
        <f t="shared" si="7"/>
        <v>1278000</v>
      </c>
      <c r="C95" s="36"/>
      <c r="D95" s="37"/>
      <c r="E95" s="37"/>
      <c r="F95" s="37"/>
      <c r="G95" s="37"/>
      <c r="H95" s="37"/>
      <c r="I95" s="37"/>
      <c r="J95" s="37"/>
      <c r="K95" s="37"/>
      <c r="L95" s="35"/>
      <c r="M95" s="36">
        <f>VLOOKUP(A95,Plots!$B$4:$E$39,4)</f>
        <v>118</v>
      </c>
      <c r="N95" s="35">
        <f>VLOOKUP(A95,Garden!$B$4:$D$19,3)</f>
        <v>22</v>
      </c>
      <c r="O95" s="78">
        <f>MIN(4,ROUNDUP(VLOOKUP(A95,Background!$C$3:$D$52,2)/5,0))</f>
        <v>4</v>
      </c>
      <c r="P95" s="195">
        <f t="shared" si="6"/>
        <v>31</v>
      </c>
      <c r="Q95" s="35">
        <f t="shared" si="8"/>
        <v>92</v>
      </c>
      <c r="S95" s="80">
        <f>B94+MAX(Overview!C94*T94,(B94-B93)*1.01)</f>
        <v>1277845</v>
      </c>
      <c r="T95" s="260">
        <f t="shared" si="9"/>
        <v>5</v>
      </c>
    </row>
    <row r="96" spans="1:20">
      <c r="A96" s="258">
        <f t="shared" si="5"/>
        <v>93</v>
      </c>
      <c r="B96" s="16">
        <f t="shared" si="7"/>
        <v>1313500</v>
      </c>
      <c r="C96" s="36"/>
      <c r="D96" s="37"/>
      <c r="E96" s="37"/>
      <c r="F96" s="37"/>
      <c r="G96" s="37"/>
      <c r="H96" s="37"/>
      <c r="I96" s="37"/>
      <c r="J96" s="37"/>
      <c r="K96" s="37"/>
      <c r="L96" s="35"/>
      <c r="M96" s="36">
        <f>VLOOKUP(A96,Plots!$B$4:$E$39,4)</f>
        <v>118</v>
      </c>
      <c r="N96" s="35">
        <f>VLOOKUP(A96,Garden!$B$4:$D$19,3)</f>
        <v>22</v>
      </c>
      <c r="O96" s="78">
        <f>MIN(4,ROUNDUP(VLOOKUP(A96,Background!$C$3:$D$52,2)/5,0))</f>
        <v>4</v>
      </c>
      <c r="P96" s="195">
        <f t="shared" si="6"/>
        <v>31</v>
      </c>
      <c r="Q96" s="35">
        <f t="shared" si="8"/>
        <v>93</v>
      </c>
      <c r="S96" s="80">
        <f>B95+MAX(Overview!C95*T95,(B95-B94)*1.01)</f>
        <v>1313350</v>
      </c>
      <c r="T96" s="260">
        <f t="shared" si="9"/>
        <v>5</v>
      </c>
    </row>
    <row r="97" spans="1:20">
      <c r="A97" s="258">
        <f t="shared" si="5"/>
        <v>94</v>
      </c>
      <c r="B97" s="16">
        <f t="shared" si="7"/>
        <v>1349500</v>
      </c>
      <c r="C97" s="36"/>
      <c r="D97" s="37"/>
      <c r="E97" s="37"/>
      <c r="F97" s="37"/>
      <c r="G97" s="37"/>
      <c r="H97" s="37"/>
      <c r="I97" s="37"/>
      <c r="J97" s="37"/>
      <c r="K97" s="37"/>
      <c r="L97" s="35"/>
      <c r="M97" s="36">
        <f>VLOOKUP(A97,Plots!$B$4:$E$39,4)</f>
        <v>118</v>
      </c>
      <c r="N97" s="35">
        <f>VLOOKUP(A97,Garden!$B$4:$D$19,3)</f>
        <v>23</v>
      </c>
      <c r="O97" s="78">
        <f>MIN(4,ROUNDUP(VLOOKUP(A97,Background!$C$3:$D$52,2)/5,0))</f>
        <v>4</v>
      </c>
      <c r="P97" s="195">
        <f t="shared" si="6"/>
        <v>32</v>
      </c>
      <c r="Q97" s="35">
        <f t="shared" si="8"/>
        <v>94</v>
      </c>
      <c r="S97" s="80">
        <f>B96+MAX(Overview!C96*T96,(B96-B95)*1.01)</f>
        <v>1349355</v>
      </c>
      <c r="T97" s="260">
        <f t="shared" si="9"/>
        <v>5</v>
      </c>
    </row>
    <row r="98" spans="1:20">
      <c r="A98" s="258">
        <f t="shared" si="5"/>
        <v>95</v>
      </c>
      <c r="B98" s="16">
        <f t="shared" si="7"/>
        <v>1386000</v>
      </c>
      <c r="C98" s="36"/>
      <c r="D98" s="37"/>
      <c r="E98" s="37"/>
      <c r="F98" s="37"/>
      <c r="G98" s="37"/>
      <c r="H98" s="37"/>
      <c r="I98" s="37"/>
      <c r="J98" s="37"/>
      <c r="K98" s="37"/>
      <c r="L98" s="35"/>
      <c r="M98" s="36">
        <f>VLOOKUP(A98,Plots!$B$4:$E$39,4)</f>
        <v>118</v>
      </c>
      <c r="N98" s="35">
        <f>VLOOKUP(A98,Garden!$B$4:$D$19,3)</f>
        <v>23</v>
      </c>
      <c r="O98" s="78">
        <f>MIN(4,ROUNDUP(VLOOKUP(A98,Background!$C$3:$D$52,2)/5,0))</f>
        <v>4</v>
      </c>
      <c r="P98" s="195">
        <f t="shared" si="6"/>
        <v>32</v>
      </c>
      <c r="Q98" s="35">
        <f t="shared" si="8"/>
        <v>95</v>
      </c>
      <c r="S98" s="80">
        <f>B97+MAX(Overview!C97*T97,(B97-B96)*1.01)</f>
        <v>1385860</v>
      </c>
      <c r="T98" s="260">
        <f t="shared" si="9"/>
        <v>5</v>
      </c>
    </row>
    <row r="99" spans="1:20">
      <c r="A99" s="258">
        <f t="shared" si="5"/>
        <v>96</v>
      </c>
      <c r="B99" s="16">
        <f t="shared" si="7"/>
        <v>1423000</v>
      </c>
      <c r="C99" s="36"/>
      <c r="D99" s="37"/>
      <c r="E99" s="37"/>
      <c r="F99" s="37"/>
      <c r="G99" s="37"/>
      <c r="H99" s="37"/>
      <c r="I99" s="37"/>
      <c r="J99" s="37"/>
      <c r="K99" s="37"/>
      <c r="L99" s="35"/>
      <c r="M99" s="36">
        <f>VLOOKUP(A99,Plots!$B$4:$E$39,4)</f>
        <v>122</v>
      </c>
      <c r="N99" s="35">
        <f>VLOOKUP(A99,Garden!$B$4:$D$19,3)</f>
        <v>23</v>
      </c>
      <c r="O99" s="78">
        <f>MIN(4,ROUNDUP(VLOOKUP(A99,Background!$C$3:$D$52,2)/5,0))</f>
        <v>4</v>
      </c>
      <c r="P99" s="195">
        <f t="shared" si="6"/>
        <v>32</v>
      </c>
      <c r="Q99" s="35">
        <f t="shared" si="8"/>
        <v>96</v>
      </c>
      <c r="S99" s="80">
        <f>B98+MAX(Overview!C98*T98,(B98-B97)*1.01)</f>
        <v>1422865</v>
      </c>
      <c r="T99" s="260">
        <f t="shared" si="9"/>
        <v>5</v>
      </c>
    </row>
    <row r="100" spans="1:20">
      <c r="A100" s="258">
        <f t="shared" si="5"/>
        <v>97</v>
      </c>
      <c r="B100" s="16">
        <f t="shared" si="7"/>
        <v>1460500</v>
      </c>
      <c r="C100" s="36"/>
      <c r="D100" s="37"/>
      <c r="E100" s="37"/>
      <c r="F100" s="37"/>
      <c r="G100" s="37"/>
      <c r="H100" s="37"/>
      <c r="I100" s="37"/>
      <c r="J100" s="37"/>
      <c r="K100" s="37"/>
      <c r="L100" s="35"/>
      <c r="M100" s="36">
        <f>VLOOKUP(A100,Plots!$B$4:$E$39,4)</f>
        <v>122</v>
      </c>
      <c r="N100" s="35">
        <f>VLOOKUP(A100,Garden!$B$4:$D$19,3)</f>
        <v>23</v>
      </c>
      <c r="O100" s="78">
        <f>MIN(4,ROUNDUP(VLOOKUP(A100,Background!$C$3:$D$52,2)/5,0))</f>
        <v>4</v>
      </c>
      <c r="P100" s="195">
        <f t="shared" si="6"/>
        <v>33</v>
      </c>
      <c r="Q100" s="35">
        <f t="shared" si="8"/>
        <v>97</v>
      </c>
      <c r="S100" s="80">
        <f>B99+MAX(Overview!C99*T99,(B99-B98)*1.01)</f>
        <v>1460370</v>
      </c>
      <c r="T100" s="260">
        <f t="shared" si="9"/>
        <v>5</v>
      </c>
    </row>
    <row r="101" spans="1:20">
      <c r="A101" s="258">
        <f t="shared" si="5"/>
        <v>98</v>
      </c>
      <c r="B101" s="16">
        <f t="shared" si="7"/>
        <v>1498500</v>
      </c>
      <c r="C101" s="36"/>
      <c r="D101" s="37"/>
      <c r="E101" s="37"/>
      <c r="F101" s="37"/>
      <c r="G101" s="37"/>
      <c r="H101" s="37"/>
      <c r="I101" s="37"/>
      <c r="J101" s="37"/>
      <c r="K101" s="37"/>
      <c r="L101" s="35"/>
      <c r="M101" s="36">
        <f>VLOOKUP(A101,Plots!$B$4:$E$39,4)</f>
        <v>122</v>
      </c>
      <c r="N101" s="35">
        <f>VLOOKUP(A101,Garden!$B$4:$D$19,3)</f>
        <v>23</v>
      </c>
      <c r="O101" s="78">
        <f>MIN(4,ROUNDUP(VLOOKUP(A101,Background!$C$3:$D$52,2)/5,0))</f>
        <v>4</v>
      </c>
      <c r="P101" s="195">
        <f t="shared" si="6"/>
        <v>33</v>
      </c>
      <c r="Q101" s="35">
        <f t="shared" si="8"/>
        <v>98</v>
      </c>
      <c r="S101" s="80">
        <f>B100+MAX(Overview!C100*T100,(B100-B99)*1.01)</f>
        <v>1498375</v>
      </c>
      <c r="T101" s="260">
        <f t="shared" si="9"/>
        <v>5</v>
      </c>
    </row>
    <row r="102" spans="1:20">
      <c r="A102" s="258">
        <f t="shared" si="5"/>
        <v>99</v>
      </c>
      <c r="B102" s="16">
        <f t="shared" si="7"/>
        <v>1537000</v>
      </c>
      <c r="C102" s="36"/>
      <c r="D102" s="37"/>
      <c r="E102" s="37"/>
      <c r="F102" s="37"/>
      <c r="G102" s="37"/>
      <c r="H102" s="37"/>
      <c r="I102" s="37"/>
      <c r="J102" s="37"/>
      <c r="K102" s="37"/>
      <c r="L102" s="35"/>
      <c r="M102" s="36">
        <f>VLOOKUP(A102,Plots!$B$4:$E$39,4)</f>
        <v>126</v>
      </c>
      <c r="N102" s="35">
        <f>VLOOKUP(A102,Garden!$B$4:$D$19,3)</f>
        <v>23</v>
      </c>
      <c r="O102" s="78">
        <f>MIN(4,ROUNDUP(VLOOKUP(A102,Background!$C$3:$D$52,2)/5,0))</f>
        <v>4</v>
      </c>
      <c r="P102" s="195">
        <f t="shared" si="6"/>
        <v>33</v>
      </c>
      <c r="Q102" s="35">
        <f t="shared" si="8"/>
        <v>99</v>
      </c>
      <c r="S102" s="80">
        <f>B101+MAX(Overview!C101*T101,(B101-B100)*1.01)</f>
        <v>1536880</v>
      </c>
      <c r="T102" s="260">
        <f t="shared" si="9"/>
        <v>5</v>
      </c>
    </row>
    <row r="103" spans="1:20">
      <c r="A103" s="258">
        <f t="shared" si="5"/>
        <v>100</v>
      </c>
      <c r="B103" s="16">
        <f t="shared" si="7"/>
        <v>1576000</v>
      </c>
      <c r="C103" s="36"/>
      <c r="D103" s="37"/>
      <c r="E103" s="37"/>
      <c r="F103" s="37"/>
      <c r="G103" s="37"/>
      <c r="H103" s="37"/>
      <c r="I103" s="37"/>
      <c r="J103" s="37"/>
      <c r="K103" s="37"/>
      <c r="L103" s="35"/>
      <c r="M103" s="36">
        <f>VLOOKUP(A103,Plots!$B$4:$E$39,4)</f>
        <v>126</v>
      </c>
      <c r="N103" s="35">
        <f>VLOOKUP(A103,Garden!$B$4:$D$19,3)</f>
        <v>23</v>
      </c>
      <c r="O103" s="78">
        <f>MIN(4,ROUNDUP(VLOOKUP(A103,Background!$C$3:$D$52,2)/5,0))</f>
        <v>4</v>
      </c>
      <c r="P103" s="195">
        <f t="shared" si="6"/>
        <v>34</v>
      </c>
      <c r="Q103" s="35">
        <f t="shared" si="8"/>
        <v>100</v>
      </c>
      <c r="S103" s="80">
        <f>B102+MAX(Overview!C102*T102,(B102-B101)*1.01)</f>
        <v>1575885</v>
      </c>
      <c r="T103" s="260">
        <f t="shared" si="9"/>
        <v>5</v>
      </c>
    </row>
    <row r="104" spans="1:20">
      <c r="A104" s="258">
        <f t="shared" si="5"/>
        <v>101</v>
      </c>
      <c r="B104" s="16">
        <f t="shared" si="7"/>
        <v>1615500</v>
      </c>
      <c r="C104" s="36"/>
      <c r="D104" s="37"/>
      <c r="E104" s="37"/>
      <c r="F104" s="37"/>
      <c r="G104" s="37"/>
      <c r="H104" s="37"/>
      <c r="I104" s="37"/>
      <c r="J104" s="37"/>
      <c r="K104" s="37"/>
      <c r="L104" s="35"/>
      <c r="M104" s="36">
        <f>VLOOKUP(A104,Plots!$B$4:$E$39,4)</f>
        <v>126</v>
      </c>
      <c r="N104" s="35">
        <f>VLOOKUP(A104,Garden!$B$4:$D$19,3)</f>
        <v>24</v>
      </c>
      <c r="O104" s="78">
        <f>MIN(4,ROUNDUP(VLOOKUP(A104,Background!$C$3:$D$52,2)/5,0))</f>
        <v>4</v>
      </c>
      <c r="P104" s="195">
        <f t="shared" si="6"/>
        <v>34</v>
      </c>
      <c r="Q104" s="35">
        <f t="shared" si="8"/>
        <v>101</v>
      </c>
      <c r="S104" s="80">
        <f>B103+MAX(Overview!C103*T103,(B103-B102)*1.01)</f>
        <v>1615390</v>
      </c>
      <c r="T104" s="260">
        <f t="shared" si="9"/>
        <v>5</v>
      </c>
    </row>
    <row r="105" spans="1:20">
      <c r="A105" s="258">
        <f t="shared" si="5"/>
        <v>102</v>
      </c>
      <c r="B105" s="16">
        <f t="shared" si="7"/>
        <v>1655500</v>
      </c>
      <c r="C105" s="36"/>
      <c r="D105" s="37"/>
      <c r="E105" s="37"/>
      <c r="F105" s="37"/>
      <c r="G105" s="37"/>
      <c r="H105" s="37"/>
      <c r="I105" s="37"/>
      <c r="J105" s="37"/>
      <c r="K105" s="37"/>
      <c r="L105" s="35"/>
      <c r="M105" s="36">
        <f>VLOOKUP(A105,Plots!$B$4:$E$39,4)</f>
        <v>126</v>
      </c>
      <c r="N105" s="35">
        <f>VLOOKUP(A105,Garden!$B$4:$D$19,3)</f>
        <v>24</v>
      </c>
      <c r="O105" s="78">
        <f>MIN(4,ROUNDUP(VLOOKUP(A105,Background!$C$3:$D$52,2)/5,0))</f>
        <v>4</v>
      </c>
      <c r="P105" s="195">
        <f t="shared" si="6"/>
        <v>34</v>
      </c>
      <c r="Q105" s="35">
        <f t="shared" si="8"/>
        <v>102</v>
      </c>
      <c r="S105" s="80">
        <f>B104+MAX(Overview!C104*T104,(B104-B103)*1.01)</f>
        <v>1655395</v>
      </c>
      <c r="T105" s="260">
        <f t="shared" si="9"/>
        <v>5</v>
      </c>
    </row>
    <row r="106" spans="1:20">
      <c r="A106" s="258">
        <f t="shared" si="5"/>
        <v>103</v>
      </c>
      <c r="B106" s="16">
        <f t="shared" si="7"/>
        <v>1696000</v>
      </c>
      <c r="C106" s="36"/>
      <c r="D106" s="37"/>
      <c r="E106" s="37"/>
      <c r="F106" s="37"/>
      <c r="G106" s="37"/>
      <c r="H106" s="37"/>
      <c r="I106" s="37"/>
      <c r="J106" s="37"/>
      <c r="K106" s="37"/>
      <c r="L106" s="35"/>
      <c r="M106" s="36">
        <f>VLOOKUP(A106,Plots!$B$4:$E$39,4)</f>
        <v>130</v>
      </c>
      <c r="N106" s="35">
        <f>VLOOKUP(A106,Garden!$B$4:$D$19,3)</f>
        <v>24</v>
      </c>
      <c r="O106" s="78">
        <f>MIN(4,ROUNDUP(VLOOKUP(A106,Background!$C$3:$D$52,2)/5,0))</f>
        <v>4</v>
      </c>
      <c r="P106" s="195">
        <f t="shared" si="6"/>
        <v>35</v>
      </c>
      <c r="Q106" s="35">
        <f t="shared" si="8"/>
        <v>103</v>
      </c>
      <c r="S106" s="80">
        <f>B105+MAX(Overview!C105*T105,(B105-B104)*1.01)</f>
        <v>1695900</v>
      </c>
      <c r="T106" s="260">
        <f t="shared" si="9"/>
        <v>5</v>
      </c>
    </row>
    <row r="107" spans="1:20">
      <c r="A107" s="258">
        <f t="shared" si="5"/>
        <v>104</v>
      </c>
      <c r="B107" s="16">
        <f t="shared" si="7"/>
        <v>1737000</v>
      </c>
      <c r="C107" s="36"/>
      <c r="D107" s="37"/>
      <c r="E107" s="37"/>
      <c r="F107" s="37"/>
      <c r="G107" s="37"/>
      <c r="H107" s="37"/>
      <c r="I107" s="37"/>
      <c r="J107" s="37"/>
      <c r="K107" s="37"/>
      <c r="L107" s="35"/>
      <c r="M107" s="36">
        <f>VLOOKUP(A107,Plots!$B$4:$E$39,4)</f>
        <v>130</v>
      </c>
      <c r="N107" s="35">
        <f>VLOOKUP(A107,Garden!$B$4:$D$19,3)</f>
        <v>24</v>
      </c>
      <c r="O107" s="78">
        <f>MIN(4,ROUNDUP(VLOOKUP(A107,Background!$C$3:$D$52,2)/5,0))</f>
        <v>4</v>
      </c>
      <c r="P107" s="195">
        <f t="shared" si="6"/>
        <v>35</v>
      </c>
      <c r="Q107" s="35">
        <f t="shared" si="8"/>
        <v>104</v>
      </c>
      <c r="S107" s="80">
        <f>B106+MAX(Overview!C106*T106,(B106-B105)*1.01)</f>
        <v>1736905</v>
      </c>
      <c r="T107" s="260">
        <f t="shared" si="9"/>
        <v>5</v>
      </c>
    </row>
    <row r="108" spans="1:20">
      <c r="A108" s="258">
        <f t="shared" si="5"/>
        <v>105</v>
      </c>
      <c r="B108" s="16">
        <f t="shared" si="7"/>
        <v>1778500</v>
      </c>
      <c r="C108" s="36"/>
      <c r="D108" s="37"/>
      <c r="E108" s="37"/>
      <c r="F108" s="37"/>
      <c r="G108" s="37"/>
      <c r="H108" s="37"/>
      <c r="I108" s="37"/>
      <c r="J108" s="37"/>
      <c r="K108" s="37"/>
      <c r="L108" s="35"/>
      <c r="M108" s="36">
        <f>VLOOKUP(A108,Plots!$B$4:$E$39,4)</f>
        <v>130</v>
      </c>
      <c r="N108" s="35">
        <f>VLOOKUP(A108,Garden!$B$4:$D$19,3)</f>
        <v>24</v>
      </c>
      <c r="O108" s="78">
        <f>MIN(4,ROUNDUP(VLOOKUP(A108,Background!$C$3:$D$52,2)/5,0))</f>
        <v>4</v>
      </c>
      <c r="P108" s="195">
        <f t="shared" si="6"/>
        <v>35</v>
      </c>
      <c r="Q108" s="35">
        <f t="shared" si="8"/>
        <v>105</v>
      </c>
      <c r="S108" s="80">
        <f>B107+MAX(Overview!C107*T107,(B107-B106)*1.01)</f>
        <v>1778410</v>
      </c>
      <c r="T108" s="260">
        <f t="shared" si="9"/>
        <v>5</v>
      </c>
    </row>
    <row r="109" spans="1:20">
      <c r="A109" s="258">
        <f t="shared" si="5"/>
        <v>106</v>
      </c>
      <c r="B109" s="16">
        <f t="shared" si="7"/>
        <v>1820500</v>
      </c>
      <c r="C109" s="36"/>
      <c r="D109" s="37"/>
      <c r="E109" s="37"/>
      <c r="F109" s="37"/>
      <c r="G109" s="37"/>
      <c r="H109" s="37"/>
      <c r="I109" s="37"/>
      <c r="J109" s="37"/>
      <c r="K109" s="37"/>
      <c r="L109" s="35"/>
      <c r="M109" s="36">
        <f>VLOOKUP(A109,Plots!$B$4:$E$39,4)</f>
        <v>134</v>
      </c>
      <c r="N109" s="35">
        <f>VLOOKUP(A109,Garden!$B$4:$D$19,3)</f>
        <v>24</v>
      </c>
      <c r="O109" s="78">
        <f>MIN(4,ROUNDUP(VLOOKUP(A109,Background!$C$3:$D$52,2)/5,0))</f>
        <v>4</v>
      </c>
      <c r="P109" s="195">
        <f t="shared" si="6"/>
        <v>36</v>
      </c>
      <c r="Q109" s="35">
        <f t="shared" si="8"/>
        <v>106</v>
      </c>
      <c r="S109" s="80">
        <f>B108+MAX(Overview!C108*T108,(B108-B107)*1.01)</f>
        <v>1820415</v>
      </c>
      <c r="T109" s="260">
        <f t="shared" si="9"/>
        <v>5</v>
      </c>
    </row>
    <row r="110" spans="1:20">
      <c r="A110" s="258">
        <f t="shared" si="5"/>
        <v>107</v>
      </c>
      <c r="B110" s="16">
        <f t="shared" si="7"/>
        <v>1863000</v>
      </c>
      <c r="C110" s="36"/>
      <c r="D110" s="37"/>
      <c r="E110" s="37"/>
      <c r="F110" s="37"/>
      <c r="G110" s="37"/>
      <c r="H110" s="37"/>
      <c r="I110" s="37"/>
      <c r="J110" s="37"/>
      <c r="K110" s="37"/>
      <c r="L110" s="35"/>
      <c r="M110" s="36">
        <f>VLOOKUP(A110,Plots!$B$4:$E$39,4)</f>
        <v>134</v>
      </c>
      <c r="N110" s="35">
        <f>VLOOKUP(A110,Garden!$B$4:$D$19,3)</f>
        <v>24</v>
      </c>
      <c r="O110" s="78">
        <f>MIN(4,ROUNDUP(VLOOKUP(A110,Background!$C$3:$D$52,2)/5,0))</f>
        <v>4</v>
      </c>
      <c r="P110" s="195">
        <f t="shared" si="6"/>
        <v>36</v>
      </c>
      <c r="Q110" s="35">
        <f t="shared" si="8"/>
        <v>107</v>
      </c>
      <c r="S110" s="80">
        <f>B109+MAX(Overview!C109*T109,(B109-B108)*1.01)</f>
        <v>1862920</v>
      </c>
      <c r="T110" s="260">
        <f t="shared" si="9"/>
        <v>5</v>
      </c>
    </row>
    <row r="111" spans="1:20">
      <c r="A111" s="258">
        <f t="shared" si="5"/>
        <v>108</v>
      </c>
      <c r="B111" s="16">
        <f t="shared" si="7"/>
        <v>1906000</v>
      </c>
      <c r="C111" s="36"/>
      <c r="D111" s="37"/>
      <c r="E111" s="37"/>
      <c r="F111" s="37"/>
      <c r="G111" s="37"/>
      <c r="H111" s="37"/>
      <c r="I111" s="37"/>
      <c r="J111" s="37"/>
      <c r="K111" s="37"/>
      <c r="L111" s="35"/>
      <c r="M111" s="36">
        <f>VLOOKUP(A111,Plots!$B$4:$E$39,4)</f>
        <v>134</v>
      </c>
      <c r="N111" s="35">
        <f>VLOOKUP(A111,Garden!$B$4:$D$19,3)</f>
        <v>24</v>
      </c>
      <c r="O111" s="78">
        <f>MIN(4,ROUNDUP(VLOOKUP(A111,Background!$C$3:$D$52,2)/5,0))</f>
        <v>4</v>
      </c>
      <c r="P111" s="195">
        <f t="shared" si="6"/>
        <v>36</v>
      </c>
      <c r="Q111" s="35">
        <f t="shared" si="8"/>
        <v>108</v>
      </c>
      <c r="S111" s="80">
        <f>B110+MAX(Overview!C110*T110,(B110-B109)*1.01)</f>
        <v>1905925</v>
      </c>
      <c r="T111" s="260">
        <f t="shared" si="9"/>
        <v>5</v>
      </c>
    </row>
    <row r="112" spans="1:20">
      <c r="A112" s="258">
        <f t="shared" si="5"/>
        <v>109</v>
      </c>
      <c r="B112" s="16">
        <f t="shared" si="7"/>
        <v>1949500</v>
      </c>
      <c r="C112" s="36"/>
      <c r="D112" s="37"/>
      <c r="E112" s="37"/>
      <c r="F112" s="37"/>
      <c r="G112" s="37"/>
      <c r="H112" s="37"/>
      <c r="I112" s="37"/>
      <c r="J112" s="37"/>
      <c r="K112" s="37"/>
      <c r="L112" s="35"/>
      <c r="M112" s="36">
        <f>VLOOKUP(A112,Plots!$B$4:$E$39,4)</f>
        <v>134</v>
      </c>
      <c r="N112" s="35">
        <f>VLOOKUP(A112,Garden!$B$4:$D$19,3)</f>
        <v>24</v>
      </c>
      <c r="O112" s="78">
        <f>MIN(4,ROUNDUP(VLOOKUP(A112,Background!$C$3:$D$52,2)/5,0))</f>
        <v>4</v>
      </c>
      <c r="P112" s="195">
        <f t="shared" si="6"/>
        <v>37</v>
      </c>
      <c r="Q112" s="35">
        <f t="shared" si="8"/>
        <v>109</v>
      </c>
      <c r="S112" s="80">
        <f>B111+MAX(Overview!C111*T111,(B111-B110)*1.01)</f>
        <v>1949430</v>
      </c>
      <c r="T112" s="260">
        <f t="shared" si="9"/>
        <v>5</v>
      </c>
    </row>
    <row r="113" spans="1:20">
      <c r="A113" s="258">
        <f t="shared" si="5"/>
        <v>110</v>
      </c>
      <c r="B113" s="16">
        <f t="shared" si="7"/>
        <v>1993500</v>
      </c>
      <c r="C113" s="36"/>
      <c r="D113" s="37"/>
      <c r="E113" s="37"/>
      <c r="F113" s="37"/>
      <c r="G113" s="37"/>
      <c r="H113" s="37"/>
      <c r="I113" s="37"/>
      <c r="J113" s="37"/>
      <c r="K113" s="37"/>
      <c r="L113" s="35"/>
      <c r="M113" s="36">
        <f>VLOOKUP(A113,Plots!$B$4:$E$39,4)</f>
        <v>138</v>
      </c>
      <c r="N113" s="35">
        <f>VLOOKUP(A113,Garden!$B$4:$D$19,3)</f>
        <v>24</v>
      </c>
      <c r="O113" s="78">
        <f>MIN(4,ROUNDUP(VLOOKUP(A113,Background!$C$3:$D$52,2)/5,0))</f>
        <v>4</v>
      </c>
      <c r="P113" s="195">
        <f t="shared" si="6"/>
        <v>37</v>
      </c>
      <c r="Q113" s="35">
        <f t="shared" si="8"/>
        <v>110</v>
      </c>
      <c r="S113" s="80">
        <f>B112+MAX(Overview!C112*T112,(B112-B111)*1.01)</f>
        <v>1993435</v>
      </c>
      <c r="T113" s="260">
        <f t="shared" si="9"/>
        <v>5</v>
      </c>
    </row>
    <row r="114" spans="1:20">
      <c r="A114" s="258">
        <f t="shared" si="5"/>
        <v>111</v>
      </c>
      <c r="B114" s="16">
        <f t="shared" si="7"/>
        <v>2038000</v>
      </c>
      <c r="C114" s="36"/>
      <c r="D114" s="37"/>
      <c r="E114" s="37"/>
      <c r="F114" s="37"/>
      <c r="G114" s="37"/>
      <c r="H114" s="37"/>
      <c r="I114" s="37"/>
      <c r="J114" s="37"/>
      <c r="K114" s="37"/>
      <c r="L114" s="35"/>
      <c r="M114" s="36">
        <f>VLOOKUP(A114,Plots!$B$4:$E$39,4)</f>
        <v>138</v>
      </c>
      <c r="N114" s="35">
        <f>VLOOKUP(A114,Garden!$B$4:$D$19,3)</f>
        <v>24</v>
      </c>
      <c r="O114" s="78">
        <f>MIN(4,ROUNDUP(VLOOKUP(A114,Background!$C$3:$D$52,2)/5,0))</f>
        <v>4</v>
      </c>
      <c r="P114" s="195">
        <f t="shared" si="6"/>
        <v>37</v>
      </c>
      <c r="Q114" s="35">
        <f t="shared" si="8"/>
        <v>111</v>
      </c>
      <c r="S114" s="80">
        <f>B113+MAX(Overview!C113*T113,(B113-B112)*1.01)</f>
        <v>2037940</v>
      </c>
      <c r="T114" s="260">
        <f t="shared" si="9"/>
        <v>5</v>
      </c>
    </row>
    <row r="115" spans="1:20">
      <c r="A115" s="258">
        <f t="shared" si="5"/>
        <v>112</v>
      </c>
      <c r="B115" s="16">
        <f t="shared" si="7"/>
        <v>2083000</v>
      </c>
      <c r="C115" s="36"/>
      <c r="D115" s="37"/>
      <c r="E115" s="37"/>
      <c r="F115" s="37"/>
      <c r="G115" s="37"/>
      <c r="H115" s="37"/>
      <c r="I115" s="37"/>
      <c r="J115" s="37"/>
      <c r="K115" s="37"/>
      <c r="L115" s="35"/>
      <c r="M115" s="36">
        <f>VLOOKUP(A115,Plots!$B$4:$E$39,4)</f>
        <v>138</v>
      </c>
      <c r="N115" s="35">
        <f>VLOOKUP(A115,Garden!$B$4:$D$19,3)</f>
        <v>24</v>
      </c>
      <c r="O115" s="78">
        <f>MIN(4,ROUNDUP(VLOOKUP(A115,Background!$C$3:$D$52,2)/5,0))</f>
        <v>4</v>
      </c>
      <c r="P115" s="195">
        <f t="shared" si="6"/>
        <v>38</v>
      </c>
      <c r="Q115" s="35">
        <f t="shared" si="8"/>
        <v>112</v>
      </c>
      <c r="S115" s="80">
        <f>B114+MAX(Overview!C114*T114,(B114-B113)*1.01)</f>
        <v>2082945</v>
      </c>
      <c r="T115" s="260">
        <f t="shared" si="9"/>
        <v>5</v>
      </c>
    </row>
    <row r="116" spans="1:20">
      <c r="A116" s="258">
        <f t="shared" si="5"/>
        <v>113</v>
      </c>
      <c r="B116" s="16">
        <f t="shared" si="7"/>
        <v>2128500</v>
      </c>
      <c r="C116" s="36"/>
      <c r="D116" s="37"/>
      <c r="E116" s="37"/>
      <c r="F116" s="37"/>
      <c r="G116" s="37"/>
      <c r="H116" s="37"/>
      <c r="I116" s="37"/>
      <c r="J116" s="37"/>
      <c r="K116" s="37"/>
      <c r="L116" s="35"/>
      <c r="M116" s="36">
        <f>VLOOKUP(A116,Plots!$B$4:$E$39,4)</f>
        <v>142</v>
      </c>
      <c r="N116" s="35">
        <f>VLOOKUP(A116,Garden!$B$4:$D$19,3)</f>
        <v>24</v>
      </c>
      <c r="O116" s="78">
        <f>MIN(4,ROUNDUP(VLOOKUP(A116,Background!$C$3:$D$52,2)/5,0))</f>
        <v>4</v>
      </c>
      <c r="P116" s="195">
        <f t="shared" si="6"/>
        <v>38</v>
      </c>
      <c r="Q116" s="35">
        <f t="shared" si="8"/>
        <v>113</v>
      </c>
      <c r="S116" s="80">
        <f>B115+MAX(Overview!C115*T115,(B115-B114)*1.01)</f>
        <v>2128450</v>
      </c>
      <c r="T116" s="260">
        <f t="shared" si="9"/>
        <v>5</v>
      </c>
    </row>
    <row r="117" spans="1:20">
      <c r="A117" s="258">
        <f t="shared" si="5"/>
        <v>114</v>
      </c>
      <c r="B117" s="16">
        <f t="shared" si="7"/>
        <v>2174500</v>
      </c>
      <c r="C117" s="36"/>
      <c r="D117" s="37"/>
      <c r="E117" s="37"/>
      <c r="F117" s="37"/>
      <c r="G117" s="37"/>
      <c r="H117" s="37"/>
      <c r="I117" s="37"/>
      <c r="J117" s="37"/>
      <c r="K117" s="37"/>
      <c r="L117" s="35"/>
      <c r="M117" s="36">
        <f>VLOOKUP(A117,Plots!$B$4:$E$39,4)</f>
        <v>142</v>
      </c>
      <c r="N117" s="35">
        <f>VLOOKUP(A117,Garden!$B$4:$D$19,3)</f>
        <v>24</v>
      </c>
      <c r="O117" s="78">
        <f>MIN(4,ROUNDUP(VLOOKUP(A117,Background!$C$3:$D$52,2)/5,0))</f>
        <v>4</v>
      </c>
      <c r="P117" s="195">
        <f t="shared" si="6"/>
        <v>38</v>
      </c>
      <c r="Q117" s="35">
        <f t="shared" si="8"/>
        <v>114</v>
      </c>
      <c r="S117" s="80">
        <f>B116+MAX(Overview!C116*T116,(B116-B115)*1.01)</f>
        <v>2174455</v>
      </c>
      <c r="T117" s="260">
        <f t="shared" si="9"/>
        <v>5</v>
      </c>
    </row>
    <row r="118" spans="1:20">
      <c r="A118" s="258">
        <f t="shared" si="5"/>
        <v>115</v>
      </c>
      <c r="B118" s="16">
        <f t="shared" si="7"/>
        <v>2221000</v>
      </c>
      <c r="C118" s="36"/>
      <c r="D118" s="37"/>
      <c r="E118" s="37"/>
      <c r="F118" s="37"/>
      <c r="G118" s="37"/>
      <c r="H118" s="37"/>
      <c r="I118" s="37"/>
      <c r="J118" s="37"/>
      <c r="K118" s="37"/>
      <c r="L118" s="35"/>
      <c r="M118" s="36">
        <f>VLOOKUP(A118,Plots!$B$4:$E$39,4)</f>
        <v>142</v>
      </c>
      <c r="N118" s="35">
        <f>VLOOKUP(A118,Garden!$B$4:$D$19,3)</f>
        <v>24</v>
      </c>
      <c r="O118" s="78">
        <f>MIN(4,ROUNDUP(VLOOKUP(A118,Background!$C$3:$D$52,2)/5,0))</f>
        <v>4</v>
      </c>
      <c r="P118" s="195">
        <f t="shared" si="6"/>
        <v>39</v>
      </c>
      <c r="Q118" s="35">
        <f t="shared" si="8"/>
        <v>115</v>
      </c>
      <c r="S118" s="80">
        <f>B117+MAX(Overview!C117*T117,(B117-B116)*1.01)</f>
        <v>2220960</v>
      </c>
      <c r="T118" s="260">
        <f t="shared" si="9"/>
        <v>5</v>
      </c>
    </row>
    <row r="119" spans="1:20">
      <c r="A119" s="258">
        <f t="shared" si="5"/>
        <v>116</v>
      </c>
      <c r="B119" s="16">
        <f t="shared" si="7"/>
        <v>2268000</v>
      </c>
      <c r="C119" s="36"/>
      <c r="D119" s="37"/>
      <c r="E119" s="37"/>
      <c r="F119" s="37"/>
      <c r="G119" s="37"/>
      <c r="H119" s="37"/>
      <c r="I119" s="37"/>
      <c r="J119" s="37"/>
      <c r="K119" s="37"/>
      <c r="L119" s="35"/>
      <c r="M119" s="36">
        <f>VLOOKUP(A119,Plots!$B$4:$E$39,4)</f>
        <v>142</v>
      </c>
      <c r="N119" s="35">
        <f>VLOOKUP(A119,Garden!$B$4:$D$19,3)</f>
        <v>24</v>
      </c>
      <c r="O119" s="78">
        <f>MIN(4,ROUNDUP(VLOOKUP(A119,Background!$C$3:$D$52,2)/5,0))</f>
        <v>4</v>
      </c>
      <c r="P119" s="195">
        <f t="shared" si="6"/>
        <v>39</v>
      </c>
      <c r="Q119" s="35">
        <f t="shared" si="8"/>
        <v>116</v>
      </c>
      <c r="S119" s="80">
        <f>B118+MAX(Overview!C118*T118,(B118-B117)*1.01)</f>
        <v>2267965</v>
      </c>
      <c r="T119" s="260">
        <f t="shared" si="9"/>
        <v>5</v>
      </c>
    </row>
    <row r="120" spans="1:20">
      <c r="A120" s="258">
        <f t="shared" si="5"/>
        <v>117</v>
      </c>
      <c r="B120" s="16">
        <f t="shared" si="7"/>
        <v>2315500</v>
      </c>
      <c r="C120" s="36"/>
      <c r="D120" s="37"/>
      <c r="E120" s="37"/>
      <c r="F120" s="37"/>
      <c r="G120" s="37"/>
      <c r="H120" s="37"/>
      <c r="I120" s="37"/>
      <c r="J120" s="37"/>
      <c r="K120" s="37"/>
      <c r="L120" s="35"/>
      <c r="M120" s="36">
        <f>VLOOKUP(A120,Plots!$B$4:$E$39,4)</f>
        <v>146</v>
      </c>
      <c r="N120" s="35">
        <f>VLOOKUP(A120,Garden!$B$4:$D$19,3)</f>
        <v>24</v>
      </c>
      <c r="O120" s="78">
        <f>MIN(4,ROUNDUP(VLOOKUP(A120,Background!$C$3:$D$52,2)/5,0))</f>
        <v>4</v>
      </c>
      <c r="P120" s="195">
        <f t="shared" si="6"/>
        <v>39</v>
      </c>
      <c r="Q120" s="35">
        <f t="shared" si="8"/>
        <v>117</v>
      </c>
      <c r="S120" s="80">
        <f>B119+MAX(Overview!C119*T119,(B119-B118)*1.01)</f>
        <v>2315470</v>
      </c>
      <c r="T120" s="260">
        <f t="shared" si="9"/>
        <v>5</v>
      </c>
    </row>
    <row r="121" spans="1:20">
      <c r="A121" s="258">
        <f t="shared" si="5"/>
        <v>118</v>
      </c>
      <c r="B121" s="16">
        <f t="shared" si="7"/>
        <v>2363500</v>
      </c>
      <c r="C121" s="36"/>
      <c r="D121" s="37"/>
      <c r="E121" s="37"/>
      <c r="F121" s="37"/>
      <c r="G121" s="37"/>
      <c r="H121" s="37"/>
      <c r="I121" s="37"/>
      <c r="J121" s="37"/>
      <c r="K121" s="37"/>
      <c r="L121" s="35"/>
      <c r="M121" s="36">
        <f>VLOOKUP(A121,Plots!$B$4:$E$39,4)</f>
        <v>146</v>
      </c>
      <c r="N121" s="35">
        <f>VLOOKUP(A121,Garden!$B$4:$D$19,3)</f>
        <v>24</v>
      </c>
      <c r="O121" s="78">
        <f>MIN(4,ROUNDUP(VLOOKUP(A121,Background!$C$3:$D$52,2)/5,0))</f>
        <v>4</v>
      </c>
      <c r="P121" s="195">
        <f t="shared" si="6"/>
        <v>40</v>
      </c>
      <c r="Q121" s="35">
        <f t="shared" si="8"/>
        <v>118</v>
      </c>
      <c r="S121" s="80">
        <f>B120+MAX(Overview!C120*T120,(B120-B119)*1.01)</f>
        <v>2363475</v>
      </c>
      <c r="T121" s="260">
        <f t="shared" si="9"/>
        <v>5</v>
      </c>
    </row>
    <row r="122" spans="1:20">
      <c r="A122" s="258">
        <f t="shared" si="5"/>
        <v>119</v>
      </c>
      <c r="B122" s="16">
        <f t="shared" si="7"/>
        <v>2412000</v>
      </c>
      <c r="C122" s="36"/>
      <c r="D122" s="37"/>
      <c r="E122" s="37"/>
      <c r="F122" s="37"/>
      <c r="G122" s="37"/>
      <c r="H122" s="37"/>
      <c r="I122" s="37"/>
      <c r="J122" s="37"/>
      <c r="K122" s="37"/>
      <c r="L122" s="35"/>
      <c r="M122" s="36">
        <f>VLOOKUP(A122,Plots!$B$4:$E$39,4)</f>
        <v>146</v>
      </c>
      <c r="N122" s="35">
        <f>VLOOKUP(A122,Garden!$B$4:$D$19,3)</f>
        <v>24</v>
      </c>
      <c r="O122" s="78">
        <f>MIN(4,ROUNDUP(VLOOKUP(A122,Background!$C$3:$D$52,2)/5,0))</f>
        <v>4</v>
      </c>
      <c r="P122" s="195">
        <f t="shared" si="6"/>
        <v>40</v>
      </c>
      <c r="Q122" s="35">
        <f t="shared" si="8"/>
        <v>119</v>
      </c>
      <c r="S122" s="80">
        <f>B121+MAX(Overview!C121*T121,(B121-B120)*1.01)</f>
        <v>2411980</v>
      </c>
      <c r="T122" s="260">
        <f t="shared" si="9"/>
        <v>5</v>
      </c>
    </row>
    <row r="123" spans="1:20">
      <c r="A123" s="258">
        <f t="shared" si="5"/>
        <v>120</v>
      </c>
      <c r="B123" s="16">
        <f t="shared" si="7"/>
        <v>2461000</v>
      </c>
      <c r="C123" s="36"/>
      <c r="D123" s="37"/>
      <c r="E123" s="37"/>
      <c r="F123" s="37"/>
      <c r="G123" s="37"/>
      <c r="H123" s="37"/>
      <c r="I123" s="37"/>
      <c r="J123" s="37"/>
      <c r="K123" s="37"/>
      <c r="L123" s="35"/>
      <c r="M123" s="36">
        <f>VLOOKUP(A123,Plots!$B$4:$E$39,4)</f>
        <v>150</v>
      </c>
      <c r="N123" s="35">
        <f>VLOOKUP(A123,Garden!$B$4:$D$19,3)</f>
        <v>24</v>
      </c>
      <c r="O123" s="78">
        <f>MIN(4,ROUNDUP(VLOOKUP(A123,Background!$C$3:$D$52,2)/5,0))</f>
        <v>4</v>
      </c>
      <c r="P123" s="195">
        <f t="shared" si="6"/>
        <v>40</v>
      </c>
      <c r="Q123" s="35">
        <f t="shared" si="8"/>
        <v>120</v>
      </c>
      <c r="S123" s="80">
        <f>B122+MAX(Overview!C122*T122,(B122-B121)*1.01)</f>
        <v>2460985</v>
      </c>
      <c r="T123" s="260">
        <f t="shared" si="9"/>
        <v>5</v>
      </c>
    </row>
    <row r="124" spans="1:20">
      <c r="A124" s="258">
        <f t="shared" si="5"/>
        <v>121</v>
      </c>
      <c r="B124" s="16">
        <f t="shared" si="7"/>
        <v>2510500</v>
      </c>
      <c r="C124" s="36"/>
      <c r="D124" s="37"/>
      <c r="E124" s="37"/>
      <c r="F124" s="37"/>
      <c r="G124" s="37"/>
      <c r="H124" s="37"/>
      <c r="I124" s="37"/>
      <c r="J124" s="37"/>
      <c r="K124" s="37"/>
      <c r="L124" s="35"/>
      <c r="M124" s="36">
        <f>VLOOKUP(A124,Plots!$B$4:$E$39,4)</f>
        <v>150</v>
      </c>
      <c r="N124" s="35">
        <f>VLOOKUP(A124,Garden!$B$4:$D$19,3)</f>
        <v>24</v>
      </c>
      <c r="O124" s="78">
        <f>MIN(4,ROUNDUP(VLOOKUP(A124,Background!$C$3:$D$52,2)/5,0))</f>
        <v>4</v>
      </c>
      <c r="P124" s="195">
        <f t="shared" si="6"/>
        <v>41</v>
      </c>
      <c r="Q124" s="35">
        <f t="shared" si="8"/>
        <v>121</v>
      </c>
      <c r="S124" s="80">
        <f>B123+MAX(Overview!C123*T123,(B123-B122)*1.01)</f>
        <v>2510490</v>
      </c>
      <c r="T124" s="260">
        <f t="shared" si="9"/>
        <v>5</v>
      </c>
    </row>
    <row r="125" spans="1:20">
      <c r="A125" s="258">
        <f t="shared" si="5"/>
        <v>122</v>
      </c>
      <c r="B125" s="16">
        <f t="shared" si="7"/>
        <v>2560500</v>
      </c>
      <c r="C125" s="36"/>
      <c r="D125" s="37"/>
      <c r="E125" s="37"/>
      <c r="F125" s="37"/>
      <c r="G125" s="37"/>
      <c r="H125" s="37"/>
      <c r="I125" s="37"/>
      <c r="J125" s="37"/>
      <c r="K125" s="37"/>
      <c r="L125" s="35"/>
      <c r="M125" s="36">
        <f>VLOOKUP(A125,Plots!$B$4:$E$39,4)</f>
        <v>150</v>
      </c>
      <c r="N125" s="35">
        <f>VLOOKUP(A125,Garden!$B$4:$D$19,3)</f>
        <v>24</v>
      </c>
      <c r="O125" s="78">
        <f>MIN(4,ROUNDUP(VLOOKUP(A125,Background!$C$3:$D$52,2)/5,0))</f>
        <v>4</v>
      </c>
      <c r="P125" s="195">
        <f t="shared" si="6"/>
        <v>41</v>
      </c>
      <c r="Q125" s="35">
        <f t="shared" si="8"/>
        <v>122</v>
      </c>
      <c r="S125" s="80">
        <f>B124+MAX(Overview!C124*T124,(B124-B123)*1.01)</f>
        <v>2560495</v>
      </c>
      <c r="T125" s="260">
        <f t="shared" si="9"/>
        <v>5</v>
      </c>
    </row>
    <row r="126" spans="1:20">
      <c r="A126" s="258">
        <f t="shared" si="5"/>
        <v>123</v>
      </c>
      <c r="B126" s="16">
        <f t="shared" si="7"/>
        <v>2611000</v>
      </c>
      <c r="C126" s="36"/>
      <c r="D126" s="37"/>
      <c r="E126" s="37"/>
      <c r="F126" s="37"/>
      <c r="G126" s="37"/>
      <c r="H126" s="37"/>
      <c r="I126" s="37"/>
      <c r="J126" s="37"/>
      <c r="K126" s="37"/>
      <c r="L126" s="35"/>
      <c r="M126" s="36">
        <f>VLOOKUP(A126,Plots!$B$4:$E$39,4)</f>
        <v>150</v>
      </c>
      <c r="N126" s="35">
        <f>VLOOKUP(A126,Garden!$B$4:$D$19,3)</f>
        <v>24</v>
      </c>
      <c r="O126" s="78">
        <f>MIN(4,ROUNDUP(VLOOKUP(A126,Background!$C$3:$D$52,2)/5,0))</f>
        <v>4</v>
      </c>
      <c r="P126" s="195">
        <f t="shared" si="6"/>
        <v>41</v>
      </c>
      <c r="Q126" s="35">
        <f t="shared" si="8"/>
        <v>123</v>
      </c>
      <c r="S126" s="80">
        <f>B125+MAX(Overview!C125*T125,(B125-B124)*1.01)</f>
        <v>2611000</v>
      </c>
      <c r="T126" s="260">
        <f t="shared" si="9"/>
        <v>5</v>
      </c>
    </row>
    <row r="127" spans="1:20">
      <c r="A127" s="258">
        <f t="shared" si="5"/>
        <v>124</v>
      </c>
      <c r="B127" s="16">
        <f t="shared" si="7"/>
        <v>2662500</v>
      </c>
      <c r="C127" s="36"/>
      <c r="D127" s="37"/>
      <c r="E127" s="37"/>
      <c r="F127" s="37"/>
      <c r="G127" s="37"/>
      <c r="H127" s="37"/>
      <c r="I127" s="37"/>
      <c r="J127" s="37"/>
      <c r="K127" s="37"/>
      <c r="L127" s="35"/>
      <c r="M127" s="36">
        <f>VLOOKUP(A127,Plots!$B$4:$E$39,4)</f>
        <v>150</v>
      </c>
      <c r="N127" s="35">
        <f>VLOOKUP(A127,Garden!$B$4:$D$19,3)</f>
        <v>24</v>
      </c>
      <c r="O127" s="78">
        <f>MIN(4,ROUNDUP(VLOOKUP(A127,Background!$C$3:$D$52,2)/5,0))</f>
        <v>4</v>
      </c>
      <c r="P127" s="195">
        <f t="shared" si="6"/>
        <v>42</v>
      </c>
      <c r="Q127" s="35">
        <f t="shared" si="8"/>
        <v>124</v>
      </c>
      <c r="S127" s="80">
        <f>B126+MAX(Overview!C126*T126,(B126-B125)*1.01)</f>
        <v>2662005</v>
      </c>
      <c r="T127" s="260">
        <f t="shared" si="9"/>
        <v>5</v>
      </c>
    </row>
    <row r="128" spans="1:20">
      <c r="A128" s="258">
        <f t="shared" si="5"/>
        <v>125</v>
      </c>
      <c r="B128" s="16">
        <f t="shared" si="7"/>
        <v>2715000</v>
      </c>
      <c r="C128" s="36"/>
      <c r="D128" s="37"/>
      <c r="E128" s="37"/>
      <c r="F128" s="37"/>
      <c r="G128" s="37"/>
      <c r="H128" s="37"/>
      <c r="I128" s="37"/>
      <c r="J128" s="37"/>
      <c r="K128" s="37"/>
      <c r="L128" s="35"/>
      <c r="M128" s="36">
        <f>VLOOKUP(A128,Plots!$B$4:$E$39,4)</f>
        <v>150</v>
      </c>
      <c r="N128" s="35">
        <f>VLOOKUP(A128,Garden!$B$4:$D$19,3)</f>
        <v>24</v>
      </c>
      <c r="O128" s="78">
        <f>MIN(4,ROUNDUP(VLOOKUP(A128,Background!$C$3:$D$52,2)/5,0))</f>
        <v>4</v>
      </c>
      <c r="P128" s="195">
        <f t="shared" si="6"/>
        <v>42</v>
      </c>
      <c r="Q128" s="35">
        <f t="shared" si="8"/>
        <v>125</v>
      </c>
      <c r="S128" s="80">
        <f>B127+MAX(Overview!C127*T127,(B127-B126)*1.01)</f>
        <v>2714515</v>
      </c>
      <c r="T128" s="260">
        <f t="shared" si="9"/>
        <v>5</v>
      </c>
    </row>
    <row r="129" spans="1:20">
      <c r="A129" s="258">
        <f t="shared" si="5"/>
        <v>126</v>
      </c>
      <c r="B129" s="16">
        <f t="shared" si="7"/>
        <v>2768500</v>
      </c>
      <c r="C129" s="36"/>
      <c r="D129" s="37"/>
      <c r="E129" s="37"/>
      <c r="F129" s="37"/>
      <c r="G129" s="37"/>
      <c r="H129" s="37"/>
      <c r="I129" s="37"/>
      <c r="J129" s="37"/>
      <c r="K129" s="37"/>
      <c r="L129" s="35"/>
      <c r="M129" s="36">
        <f>VLOOKUP(A129,Plots!$B$4:$E$39,4)</f>
        <v>150</v>
      </c>
      <c r="N129" s="35">
        <f>VLOOKUP(A129,Garden!$B$4:$D$19,3)</f>
        <v>24</v>
      </c>
      <c r="O129" s="78">
        <f>MIN(4,ROUNDUP(VLOOKUP(A129,Background!$C$3:$D$52,2)/5,0))</f>
        <v>4</v>
      </c>
      <c r="P129" s="195">
        <f t="shared" si="6"/>
        <v>42</v>
      </c>
      <c r="Q129" s="35">
        <f t="shared" si="8"/>
        <v>126</v>
      </c>
      <c r="S129" s="80">
        <f>B128+MAX(Overview!C128*T128,(B128-B127)*1.01)</f>
        <v>2768025</v>
      </c>
      <c r="T129" s="260">
        <f t="shared" si="9"/>
        <v>5</v>
      </c>
    </row>
    <row r="130" spans="1:20">
      <c r="A130" s="258">
        <f t="shared" si="5"/>
        <v>127</v>
      </c>
      <c r="B130" s="16">
        <f t="shared" si="7"/>
        <v>2823000</v>
      </c>
      <c r="C130" s="36"/>
      <c r="D130" s="37"/>
      <c r="E130" s="37"/>
      <c r="F130" s="37"/>
      <c r="G130" s="37"/>
      <c r="H130" s="37"/>
      <c r="I130" s="37"/>
      <c r="J130" s="37"/>
      <c r="K130" s="37"/>
      <c r="L130" s="35"/>
      <c r="M130" s="36">
        <f>VLOOKUP(A130,Plots!$B$4:$E$39,4)</f>
        <v>150</v>
      </c>
      <c r="N130" s="35">
        <f>VLOOKUP(A130,Garden!$B$4:$D$19,3)</f>
        <v>24</v>
      </c>
      <c r="O130" s="78">
        <f>MIN(4,ROUNDUP(VLOOKUP(A130,Background!$C$3:$D$52,2)/5,0))</f>
        <v>4</v>
      </c>
      <c r="P130" s="195">
        <f t="shared" si="6"/>
        <v>43</v>
      </c>
      <c r="Q130" s="35">
        <f t="shared" si="8"/>
        <v>127</v>
      </c>
      <c r="S130" s="80">
        <f>B129+MAX(Overview!C129*T129,(B129-B128)*1.01)</f>
        <v>2822535</v>
      </c>
      <c r="T130" s="260">
        <f t="shared" si="9"/>
        <v>5</v>
      </c>
    </row>
    <row r="131" spans="1:20">
      <c r="A131" s="258">
        <f t="shared" si="5"/>
        <v>128</v>
      </c>
      <c r="B131" s="16">
        <f t="shared" si="7"/>
        <v>2878500</v>
      </c>
      <c r="C131" s="36"/>
      <c r="D131" s="37"/>
      <c r="E131" s="37"/>
      <c r="F131" s="37"/>
      <c r="G131" s="37"/>
      <c r="H131" s="37"/>
      <c r="I131" s="37"/>
      <c r="J131" s="37"/>
      <c r="K131" s="37"/>
      <c r="L131" s="35"/>
      <c r="M131" s="36">
        <f>VLOOKUP(A131,Plots!$B$4:$E$39,4)</f>
        <v>150</v>
      </c>
      <c r="N131" s="35">
        <f>VLOOKUP(A131,Garden!$B$4:$D$19,3)</f>
        <v>24</v>
      </c>
      <c r="O131" s="78">
        <f>MIN(4,ROUNDUP(VLOOKUP(A131,Background!$C$3:$D$52,2)/5,0))</f>
        <v>4</v>
      </c>
      <c r="P131" s="195">
        <f t="shared" si="6"/>
        <v>43</v>
      </c>
      <c r="Q131" s="35">
        <f t="shared" si="8"/>
        <v>128</v>
      </c>
      <c r="S131" s="80">
        <f>B130+MAX(Overview!C130*T130,(B130-B129)*1.01)</f>
        <v>2878045</v>
      </c>
      <c r="T131" s="260">
        <f t="shared" si="9"/>
        <v>5</v>
      </c>
    </row>
    <row r="132" spans="1:20">
      <c r="A132" s="258">
        <f t="shared" si="5"/>
        <v>129</v>
      </c>
      <c r="B132" s="16">
        <f t="shared" si="7"/>
        <v>2935000</v>
      </c>
      <c r="C132" s="36"/>
      <c r="D132" s="37"/>
      <c r="E132" s="37"/>
      <c r="F132" s="37"/>
      <c r="G132" s="37"/>
      <c r="H132" s="37"/>
      <c r="I132" s="37"/>
      <c r="J132" s="37"/>
      <c r="K132" s="37"/>
      <c r="L132" s="35"/>
      <c r="M132" s="36">
        <f>VLOOKUP(A132,Plots!$B$4:$E$39,4)</f>
        <v>150</v>
      </c>
      <c r="N132" s="35">
        <f>VLOOKUP(A132,Garden!$B$4:$D$19,3)</f>
        <v>24</v>
      </c>
      <c r="O132" s="78">
        <f>MIN(4,ROUNDUP(VLOOKUP(A132,Background!$C$3:$D$52,2)/5,0))</f>
        <v>4</v>
      </c>
      <c r="P132" s="195">
        <f t="shared" si="6"/>
        <v>43</v>
      </c>
      <c r="Q132" s="35">
        <f t="shared" si="8"/>
        <v>129</v>
      </c>
      <c r="S132" s="80">
        <f>B131+MAX(Overview!C131*T131,(B131-B130)*1.01)</f>
        <v>2934555</v>
      </c>
      <c r="T132" s="260">
        <f t="shared" si="9"/>
        <v>5</v>
      </c>
    </row>
    <row r="133" spans="1:20">
      <c r="A133" s="258">
        <f t="shared" ref="A133:A196" si="10">IF(ISNUMBER(A132),A132,0)+1</f>
        <v>130</v>
      </c>
      <c r="B133" s="16">
        <f t="shared" si="7"/>
        <v>2992500</v>
      </c>
      <c r="C133" s="36"/>
      <c r="D133" s="37"/>
      <c r="E133" s="37"/>
      <c r="F133" s="37"/>
      <c r="G133" s="37"/>
      <c r="H133" s="37"/>
      <c r="I133" s="37"/>
      <c r="J133" s="37"/>
      <c r="K133" s="37"/>
      <c r="L133" s="35"/>
      <c r="M133" s="36">
        <f>VLOOKUP(A133,Plots!$B$4:$E$39,4)</f>
        <v>150</v>
      </c>
      <c r="N133" s="35">
        <f>VLOOKUP(A133,Garden!$B$4:$D$19,3)</f>
        <v>24</v>
      </c>
      <c r="O133" s="78">
        <f>MIN(4,ROUNDUP(VLOOKUP(A133,Background!$C$3:$D$52,2)/5,0))</f>
        <v>4</v>
      </c>
      <c r="P133" s="195">
        <f t="shared" ref="P133:P196" si="11">MIN(50,ROUNDUP(A133/3,0),M133)</f>
        <v>44</v>
      </c>
      <c r="Q133" s="35">
        <f t="shared" si="8"/>
        <v>130</v>
      </c>
      <c r="S133" s="80">
        <f>B132+MAX(Overview!C132*T132,(B132-B131)*1.01)</f>
        <v>2992065</v>
      </c>
      <c r="T133" s="260">
        <f t="shared" si="9"/>
        <v>5</v>
      </c>
    </row>
    <row r="134" spans="1:20">
      <c r="A134" s="258">
        <f t="shared" si="10"/>
        <v>131</v>
      </c>
      <c r="B134" s="16">
        <f t="shared" ref="B134:B197" si="12">IF(S134&lt;10000,ROUND(S134,0),IF(S134&lt;100000,ROUNDUP(S134/100,0)*100,ROUNDUP(S134/500,0)*500))</f>
        <v>3051000</v>
      </c>
      <c r="C134" s="36"/>
      <c r="D134" s="37"/>
      <c r="E134" s="37"/>
      <c r="F134" s="37"/>
      <c r="G134" s="37"/>
      <c r="H134" s="37"/>
      <c r="I134" s="37"/>
      <c r="J134" s="37"/>
      <c r="K134" s="37"/>
      <c r="L134" s="35"/>
      <c r="M134" s="36">
        <f>VLOOKUP(A134,Plots!$B$4:$E$39,4)</f>
        <v>150</v>
      </c>
      <c r="N134" s="35">
        <f>VLOOKUP(A134,Garden!$B$4:$D$19,3)</f>
        <v>24</v>
      </c>
      <c r="O134" s="78">
        <f>MIN(4,ROUNDUP(VLOOKUP(A134,Background!$C$3:$D$52,2)/5,0))</f>
        <v>4</v>
      </c>
      <c r="P134" s="195">
        <f t="shared" si="11"/>
        <v>44</v>
      </c>
      <c r="Q134" s="35">
        <f t="shared" si="8"/>
        <v>131</v>
      </c>
      <c r="S134" s="80">
        <f>B133+MAX(Overview!C133*T133,(B133-B132)*1.01)</f>
        <v>3050575</v>
      </c>
      <c r="T134" s="260">
        <f t="shared" si="9"/>
        <v>5</v>
      </c>
    </row>
    <row r="135" spans="1:20">
      <c r="A135" s="258">
        <f t="shared" si="10"/>
        <v>132</v>
      </c>
      <c r="B135" s="16">
        <f t="shared" si="12"/>
        <v>3110500</v>
      </c>
      <c r="C135" s="36"/>
      <c r="D135" s="37"/>
      <c r="E135" s="37"/>
      <c r="F135" s="37"/>
      <c r="G135" s="37"/>
      <c r="H135" s="37"/>
      <c r="I135" s="37"/>
      <c r="J135" s="37"/>
      <c r="K135" s="37"/>
      <c r="L135" s="35"/>
      <c r="M135" s="36">
        <f>VLOOKUP(A135,Plots!$B$4:$E$39,4)</f>
        <v>150</v>
      </c>
      <c r="N135" s="35">
        <f>VLOOKUP(A135,Garden!$B$4:$D$19,3)</f>
        <v>24</v>
      </c>
      <c r="O135" s="78">
        <f>MIN(4,ROUNDUP(VLOOKUP(A135,Background!$C$3:$D$52,2)/5,0))</f>
        <v>4</v>
      </c>
      <c r="P135" s="195">
        <f t="shared" si="11"/>
        <v>44</v>
      </c>
      <c r="Q135" s="35">
        <f t="shared" si="8"/>
        <v>132</v>
      </c>
      <c r="S135" s="80">
        <f>B134+MAX(Overview!C134*T134,(B134-B133)*1.01)</f>
        <v>3110085</v>
      </c>
      <c r="T135" s="260">
        <f t="shared" si="9"/>
        <v>5</v>
      </c>
    </row>
    <row r="136" spans="1:20">
      <c r="A136" s="258">
        <f t="shared" si="10"/>
        <v>133</v>
      </c>
      <c r="B136" s="16">
        <f t="shared" si="12"/>
        <v>3171000</v>
      </c>
      <c r="C136" s="36"/>
      <c r="D136" s="37"/>
      <c r="E136" s="37"/>
      <c r="F136" s="37"/>
      <c r="G136" s="37"/>
      <c r="H136" s="37"/>
      <c r="I136" s="37"/>
      <c r="J136" s="37"/>
      <c r="K136" s="37"/>
      <c r="L136" s="35"/>
      <c r="M136" s="36">
        <f>VLOOKUP(A136,Plots!$B$4:$E$39,4)</f>
        <v>150</v>
      </c>
      <c r="N136" s="35">
        <f>VLOOKUP(A136,Garden!$B$4:$D$19,3)</f>
        <v>24</v>
      </c>
      <c r="O136" s="78">
        <f>MIN(4,ROUNDUP(VLOOKUP(A136,Background!$C$3:$D$52,2)/5,0))</f>
        <v>4</v>
      </c>
      <c r="P136" s="195">
        <f t="shared" si="11"/>
        <v>45</v>
      </c>
      <c r="Q136" s="35">
        <f t="shared" si="8"/>
        <v>133</v>
      </c>
      <c r="S136" s="80">
        <f>B135+MAX(Overview!C135*T135,(B135-B134)*1.01)</f>
        <v>3170595</v>
      </c>
      <c r="T136" s="260">
        <f t="shared" si="9"/>
        <v>5</v>
      </c>
    </row>
    <row r="137" spans="1:20">
      <c r="A137" s="258">
        <f t="shared" si="10"/>
        <v>134</v>
      </c>
      <c r="B137" s="16">
        <f t="shared" si="12"/>
        <v>3232500</v>
      </c>
      <c r="C137" s="36"/>
      <c r="D137" s="37"/>
      <c r="E137" s="37"/>
      <c r="F137" s="37"/>
      <c r="G137" s="37"/>
      <c r="H137" s="37"/>
      <c r="I137" s="37"/>
      <c r="J137" s="37"/>
      <c r="K137" s="37"/>
      <c r="L137" s="35"/>
      <c r="M137" s="36">
        <f>VLOOKUP(A137,Plots!$B$4:$E$39,4)</f>
        <v>150</v>
      </c>
      <c r="N137" s="35">
        <f>VLOOKUP(A137,Garden!$B$4:$D$19,3)</f>
        <v>24</v>
      </c>
      <c r="O137" s="78">
        <f>MIN(4,ROUNDUP(VLOOKUP(A137,Background!$C$3:$D$52,2)/5,0))</f>
        <v>4</v>
      </c>
      <c r="P137" s="195">
        <f t="shared" si="11"/>
        <v>45</v>
      </c>
      <c r="Q137" s="35">
        <f t="shared" ref="Q137:Q200" si="13">MAX(4,MIN(A137,M137))</f>
        <v>134</v>
      </c>
      <c r="S137" s="80">
        <f>B136+MAX(Overview!C136*T136,(B136-B135)*1.01)</f>
        <v>3232105</v>
      </c>
      <c r="T137" s="260">
        <f t="shared" ref="T137:T200" si="14">MIN(5,MAX(0.1+T136,T136*1.1))</f>
        <v>5</v>
      </c>
    </row>
    <row r="138" spans="1:20">
      <c r="A138" s="258">
        <f t="shared" si="10"/>
        <v>135</v>
      </c>
      <c r="B138" s="16">
        <f t="shared" si="12"/>
        <v>3295000</v>
      </c>
      <c r="C138" s="36"/>
      <c r="D138" s="37"/>
      <c r="E138" s="37"/>
      <c r="F138" s="37"/>
      <c r="G138" s="37"/>
      <c r="H138" s="37"/>
      <c r="I138" s="37"/>
      <c r="J138" s="37"/>
      <c r="K138" s="37"/>
      <c r="L138" s="35"/>
      <c r="M138" s="36">
        <f>VLOOKUP(A138,Plots!$B$4:$E$39,4)</f>
        <v>150</v>
      </c>
      <c r="N138" s="35">
        <f>VLOOKUP(A138,Garden!$B$4:$D$19,3)</f>
        <v>24</v>
      </c>
      <c r="O138" s="78">
        <f>MIN(4,ROUNDUP(VLOOKUP(A138,Background!$C$3:$D$52,2)/5,0))</f>
        <v>4</v>
      </c>
      <c r="P138" s="195">
        <f t="shared" si="11"/>
        <v>45</v>
      </c>
      <c r="Q138" s="35">
        <f t="shared" si="13"/>
        <v>135</v>
      </c>
      <c r="S138" s="80">
        <f>B137+MAX(Overview!C137*T137,(B137-B136)*1.01)</f>
        <v>3294615</v>
      </c>
      <c r="T138" s="260">
        <f t="shared" si="14"/>
        <v>5</v>
      </c>
    </row>
    <row r="139" spans="1:20">
      <c r="A139" s="258">
        <f t="shared" si="10"/>
        <v>136</v>
      </c>
      <c r="B139" s="16">
        <f t="shared" si="12"/>
        <v>3358500</v>
      </c>
      <c r="C139" s="36"/>
      <c r="D139" s="37"/>
      <c r="E139" s="37"/>
      <c r="F139" s="37"/>
      <c r="G139" s="37"/>
      <c r="H139" s="37"/>
      <c r="I139" s="37"/>
      <c r="J139" s="37"/>
      <c r="K139" s="37"/>
      <c r="L139" s="35"/>
      <c r="M139" s="36">
        <f>VLOOKUP(A139,Plots!$B$4:$E$39,4)</f>
        <v>150</v>
      </c>
      <c r="N139" s="35">
        <f>VLOOKUP(A139,Garden!$B$4:$D$19,3)</f>
        <v>24</v>
      </c>
      <c r="O139" s="78">
        <f>MIN(4,ROUNDUP(VLOOKUP(A139,Background!$C$3:$D$52,2)/5,0))</f>
        <v>4</v>
      </c>
      <c r="P139" s="195">
        <f t="shared" si="11"/>
        <v>46</v>
      </c>
      <c r="Q139" s="35">
        <f t="shared" si="13"/>
        <v>136</v>
      </c>
      <c r="S139" s="80">
        <f>B138+MAX(Overview!C138*T138,(B138-B137)*1.01)</f>
        <v>3358125</v>
      </c>
      <c r="T139" s="260">
        <f t="shared" si="14"/>
        <v>5</v>
      </c>
    </row>
    <row r="140" spans="1:20">
      <c r="A140" s="258">
        <f t="shared" si="10"/>
        <v>137</v>
      </c>
      <c r="B140" s="16">
        <f t="shared" si="12"/>
        <v>3423000</v>
      </c>
      <c r="C140" s="36"/>
      <c r="D140" s="37"/>
      <c r="E140" s="37"/>
      <c r="F140" s="37"/>
      <c r="G140" s="37"/>
      <c r="H140" s="37"/>
      <c r="I140" s="37"/>
      <c r="J140" s="37"/>
      <c r="K140" s="37"/>
      <c r="L140" s="35"/>
      <c r="M140" s="36">
        <f>VLOOKUP(A140,Plots!$B$4:$E$39,4)</f>
        <v>150</v>
      </c>
      <c r="N140" s="35">
        <f>VLOOKUP(A140,Garden!$B$4:$D$19,3)</f>
        <v>24</v>
      </c>
      <c r="O140" s="78">
        <f>MIN(4,ROUNDUP(VLOOKUP(A140,Background!$C$3:$D$52,2)/5,0))</f>
        <v>4</v>
      </c>
      <c r="P140" s="195">
        <f t="shared" si="11"/>
        <v>46</v>
      </c>
      <c r="Q140" s="35">
        <f t="shared" si="13"/>
        <v>137</v>
      </c>
      <c r="S140" s="80">
        <f>B139+MAX(Overview!C139*T139,(B139-B138)*1.01)</f>
        <v>3422635</v>
      </c>
      <c r="T140" s="260">
        <f t="shared" si="14"/>
        <v>5</v>
      </c>
    </row>
    <row r="141" spans="1:20">
      <c r="A141" s="258">
        <f t="shared" si="10"/>
        <v>138</v>
      </c>
      <c r="B141" s="16">
        <f t="shared" si="12"/>
        <v>3488500</v>
      </c>
      <c r="C141" s="36"/>
      <c r="D141" s="37"/>
      <c r="E141" s="37"/>
      <c r="F141" s="37"/>
      <c r="G141" s="37"/>
      <c r="H141" s="37"/>
      <c r="I141" s="37"/>
      <c r="J141" s="37"/>
      <c r="K141" s="37"/>
      <c r="L141" s="35"/>
      <c r="M141" s="36">
        <f>VLOOKUP(A141,Plots!$B$4:$E$39,4)</f>
        <v>150</v>
      </c>
      <c r="N141" s="35">
        <f>VLOOKUP(A141,Garden!$B$4:$D$19,3)</f>
        <v>24</v>
      </c>
      <c r="O141" s="78">
        <f>MIN(4,ROUNDUP(VLOOKUP(A141,Background!$C$3:$D$52,2)/5,0))</f>
        <v>4</v>
      </c>
      <c r="P141" s="195">
        <f t="shared" si="11"/>
        <v>46</v>
      </c>
      <c r="Q141" s="35">
        <f t="shared" si="13"/>
        <v>138</v>
      </c>
      <c r="S141" s="80">
        <f>B140+MAX(Overview!C140*T140,(B140-B139)*1.01)</f>
        <v>3488145</v>
      </c>
      <c r="T141" s="260">
        <f t="shared" si="14"/>
        <v>5</v>
      </c>
    </row>
    <row r="142" spans="1:20">
      <c r="A142" s="258">
        <f t="shared" si="10"/>
        <v>139</v>
      </c>
      <c r="B142" s="16">
        <f t="shared" si="12"/>
        <v>3555000</v>
      </c>
      <c r="C142" s="36"/>
      <c r="D142" s="37"/>
      <c r="E142" s="37"/>
      <c r="F142" s="37"/>
      <c r="G142" s="37"/>
      <c r="H142" s="37"/>
      <c r="I142" s="37"/>
      <c r="J142" s="37"/>
      <c r="K142" s="37"/>
      <c r="L142" s="35"/>
      <c r="M142" s="36">
        <f>VLOOKUP(A142,Plots!$B$4:$E$39,4)</f>
        <v>150</v>
      </c>
      <c r="N142" s="35">
        <f>VLOOKUP(A142,Garden!$B$4:$D$19,3)</f>
        <v>24</v>
      </c>
      <c r="O142" s="78">
        <f>MIN(4,ROUNDUP(VLOOKUP(A142,Background!$C$3:$D$52,2)/5,0))</f>
        <v>4</v>
      </c>
      <c r="P142" s="195">
        <f t="shared" si="11"/>
        <v>47</v>
      </c>
      <c r="Q142" s="35">
        <f t="shared" si="13"/>
        <v>139</v>
      </c>
      <c r="S142" s="80">
        <f>B141+MAX(Overview!C141*T141,(B141-B140)*1.01)</f>
        <v>3554655</v>
      </c>
      <c r="T142" s="260">
        <f t="shared" si="14"/>
        <v>5</v>
      </c>
    </row>
    <row r="143" spans="1:20">
      <c r="A143" s="258">
        <f t="shared" si="10"/>
        <v>140</v>
      </c>
      <c r="B143" s="16">
        <f t="shared" si="12"/>
        <v>3622500</v>
      </c>
      <c r="C143" s="36"/>
      <c r="D143" s="37"/>
      <c r="E143" s="37"/>
      <c r="F143" s="37"/>
      <c r="G143" s="37"/>
      <c r="H143" s="37"/>
      <c r="I143" s="37"/>
      <c r="J143" s="37"/>
      <c r="K143" s="37"/>
      <c r="L143" s="35"/>
      <c r="M143" s="36">
        <f>VLOOKUP(A143,Plots!$B$4:$E$39,4)</f>
        <v>150</v>
      </c>
      <c r="N143" s="35">
        <f>VLOOKUP(A143,Garden!$B$4:$D$19,3)</f>
        <v>24</v>
      </c>
      <c r="O143" s="78">
        <f>MIN(4,ROUNDUP(VLOOKUP(A143,Background!$C$3:$D$52,2)/5,0))</f>
        <v>4</v>
      </c>
      <c r="P143" s="195">
        <f t="shared" si="11"/>
        <v>47</v>
      </c>
      <c r="Q143" s="35">
        <f t="shared" si="13"/>
        <v>140</v>
      </c>
      <c r="S143" s="80">
        <f>B142+MAX(Overview!C142*T142,(B142-B141)*1.01)</f>
        <v>3622165</v>
      </c>
      <c r="T143" s="260">
        <f t="shared" si="14"/>
        <v>5</v>
      </c>
    </row>
    <row r="144" spans="1:20">
      <c r="A144" s="258">
        <f t="shared" si="10"/>
        <v>141</v>
      </c>
      <c r="B144" s="16">
        <f t="shared" si="12"/>
        <v>3691000</v>
      </c>
      <c r="C144" s="36"/>
      <c r="D144" s="37"/>
      <c r="E144" s="37"/>
      <c r="F144" s="37"/>
      <c r="G144" s="37"/>
      <c r="H144" s="37"/>
      <c r="I144" s="37"/>
      <c r="J144" s="37"/>
      <c r="K144" s="37"/>
      <c r="L144" s="35"/>
      <c r="M144" s="36">
        <f>VLOOKUP(A144,Plots!$B$4:$E$39,4)</f>
        <v>150</v>
      </c>
      <c r="N144" s="35">
        <f>VLOOKUP(A144,Garden!$B$4:$D$19,3)</f>
        <v>24</v>
      </c>
      <c r="O144" s="78">
        <f>MIN(4,ROUNDUP(VLOOKUP(A144,Background!$C$3:$D$52,2)/5,0))</f>
        <v>4</v>
      </c>
      <c r="P144" s="195">
        <f t="shared" si="11"/>
        <v>47</v>
      </c>
      <c r="Q144" s="35">
        <f t="shared" si="13"/>
        <v>141</v>
      </c>
      <c r="S144" s="80">
        <f>B143+MAX(Overview!C143*T143,(B143-B142)*1.01)</f>
        <v>3690675</v>
      </c>
      <c r="T144" s="260">
        <f t="shared" si="14"/>
        <v>5</v>
      </c>
    </row>
    <row r="145" spans="1:20">
      <c r="A145" s="258">
        <f t="shared" si="10"/>
        <v>142</v>
      </c>
      <c r="B145" s="16">
        <f t="shared" si="12"/>
        <v>3760500</v>
      </c>
      <c r="C145" s="36"/>
      <c r="D145" s="37"/>
      <c r="E145" s="37"/>
      <c r="F145" s="37"/>
      <c r="G145" s="37"/>
      <c r="H145" s="37"/>
      <c r="I145" s="37"/>
      <c r="J145" s="37"/>
      <c r="K145" s="37"/>
      <c r="L145" s="35"/>
      <c r="M145" s="36">
        <f>VLOOKUP(A145,Plots!$B$4:$E$39,4)</f>
        <v>150</v>
      </c>
      <c r="N145" s="35">
        <f>VLOOKUP(A145,Garden!$B$4:$D$19,3)</f>
        <v>24</v>
      </c>
      <c r="O145" s="78">
        <f>MIN(4,ROUNDUP(VLOOKUP(A145,Background!$C$3:$D$52,2)/5,0))</f>
        <v>4</v>
      </c>
      <c r="P145" s="195">
        <f t="shared" si="11"/>
        <v>48</v>
      </c>
      <c r="Q145" s="35">
        <f t="shared" si="13"/>
        <v>142</v>
      </c>
      <c r="S145" s="80">
        <f>B144+MAX(Overview!C144*T144,(B144-B143)*1.01)</f>
        <v>3760185</v>
      </c>
      <c r="T145" s="260">
        <f t="shared" si="14"/>
        <v>5</v>
      </c>
    </row>
    <row r="146" spans="1:20">
      <c r="A146" s="258">
        <f t="shared" si="10"/>
        <v>143</v>
      </c>
      <c r="B146" s="16">
        <f t="shared" si="12"/>
        <v>3831000</v>
      </c>
      <c r="C146" s="36"/>
      <c r="D146" s="37"/>
      <c r="E146" s="37"/>
      <c r="F146" s="37"/>
      <c r="G146" s="37"/>
      <c r="H146" s="37"/>
      <c r="I146" s="37"/>
      <c r="J146" s="37"/>
      <c r="K146" s="37"/>
      <c r="L146" s="35"/>
      <c r="M146" s="36">
        <f>VLOOKUP(A146,Plots!$B$4:$E$39,4)</f>
        <v>150</v>
      </c>
      <c r="N146" s="35">
        <f>VLOOKUP(A146,Garden!$B$4:$D$19,3)</f>
        <v>24</v>
      </c>
      <c r="O146" s="78">
        <f>MIN(4,ROUNDUP(VLOOKUP(A146,Background!$C$3:$D$52,2)/5,0))</f>
        <v>4</v>
      </c>
      <c r="P146" s="195">
        <f t="shared" si="11"/>
        <v>48</v>
      </c>
      <c r="Q146" s="35">
        <f t="shared" si="13"/>
        <v>143</v>
      </c>
      <c r="S146" s="80">
        <f>B145+MAX(Overview!C145*T145,(B145-B144)*1.01)</f>
        <v>3830695</v>
      </c>
      <c r="T146" s="260">
        <f t="shared" si="14"/>
        <v>5</v>
      </c>
    </row>
    <row r="147" spans="1:20">
      <c r="A147" s="258">
        <f t="shared" si="10"/>
        <v>144</v>
      </c>
      <c r="B147" s="16">
        <f t="shared" si="12"/>
        <v>3902500</v>
      </c>
      <c r="C147" s="36"/>
      <c r="D147" s="37"/>
      <c r="E147" s="37"/>
      <c r="F147" s="37"/>
      <c r="G147" s="37"/>
      <c r="H147" s="37"/>
      <c r="I147" s="37"/>
      <c r="J147" s="37"/>
      <c r="K147" s="37"/>
      <c r="L147" s="35"/>
      <c r="M147" s="36">
        <f>VLOOKUP(A147,Plots!$B$4:$E$39,4)</f>
        <v>150</v>
      </c>
      <c r="N147" s="35">
        <f>VLOOKUP(A147,Garden!$B$4:$D$19,3)</f>
        <v>24</v>
      </c>
      <c r="O147" s="78">
        <f>MIN(4,ROUNDUP(VLOOKUP(A147,Background!$C$3:$D$52,2)/5,0))</f>
        <v>4</v>
      </c>
      <c r="P147" s="195">
        <f t="shared" si="11"/>
        <v>48</v>
      </c>
      <c r="Q147" s="35">
        <f t="shared" si="13"/>
        <v>144</v>
      </c>
      <c r="S147" s="80">
        <f>B146+MAX(Overview!C146*T146,(B146-B145)*1.01)</f>
        <v>3902205</v>
      </c>
      <c r="T147" s="260">
        <f t="shared" si="14"/>
        <v>5</v>
      </c>
    </row>
    <row r="148" spans="1:20">
      <c r="A148" s="258">
        <f t="shared" si="10"/>
        <v>145</v>
      </c>
      <c r="B148" s="16">
        <f t="shared" si="12"/>
        <v>3975000</v>
      </c>
      <c r="C148" s="36"/>
      <c r="D148" s="37"/>
      <c r="E148" s="37"/>
      <c r="F148" s="37"/>
      <c r="G148" s="37"/>
      <c r="H148" s="37"/>
      <c r="I148" s="37"/>
      <c r="J148" s="37"/>
      <c r="K148" s="37"/>
      <c r="L148" s="35"/>
      <c r="M148" s="36">
        <f>VLOOKUP(A148,Plots!$B$4:$E$39,4)</f>
        <v>150</v>
      </c>
      <c r="N148" s="35">
        <f>VLOOKUP(A148,Garden!$B$4:$D$19,3)</f>
        <v>24</v>
      </c>
      <c r="O148" s="78">
        <f>MIN(4,ROUNDUP(VLOOKUP(A148,Background!$C$3:$D$52,2)/5,0))</f>
        <v>4</v>
      </c>
      <c r="P148" s="195">
        <f t="shared" si="11"/>
        <v>49</v>
      </c>
      <c r="Q148" s="35">
        <f t="shared" si="13"/>
        <v>145</v>
      </c>
      <c r="S148" s="80">
        <f>B147+MAX(Overview!C147*T147,(B147-B146)*1.01)</f>
        <v>3974715</v>
      </c>
      <c r="T148" s="260">
        <f t="shared" si="14"/>
        <v>5</v>
      </c>
    </row>
    <row r="149" spans="1:20">
      <c r="A149" s="258">
        <f t="shared" si="10"/>
        <v>146</v>
      </c>
      <c r="B149" s="16">
        <f t="shared" si="12"/>
        <v>4048500</v>
      </c>
      <c r="C149" s="36"/>
      <c r="D149" s="37"/>
      <c r="E149" s="37"/>
      <c r="F149" s="37"/>
      <c r="G149" s="37"/>
      <c r="H149" s="37"/>
      <c r="I149" s="37"/>
      <c r="J149" s="37"/>
      <c r="K149" s="37"/>
      <c r="L149" s="35"/>
      <c r="M149" s="36">
        <f>VLOOKUP(A149,Plots!$B$4:$E$39,4)</f>
        <v>150</v>
      </c>
      <c r="N149" s="35">
        <f>VLOOKUP(A149,Garden!$B$4:$D$19,3)</f>
        <v>24</v>
      </c>
      <c r="O149" s="78">
        <f>MIN(4,ROUNDUP(VLOOKUP(A149,Background!$C$3:$D$52,2)/5,0))</f>
        <v>4</v>
      </c>
      <c r="P149" s="195">
        <f t="shared" si="11"/>
        <v>49</v>
      </c>
      <c r="Q149" s="35">
        <f t="shared" si="13"/>
        <v>146</v>
      </c>
      <c r="S149" s="80">
        <f>B148+MAX(Overview!C148*T148,(B148-B147)*1.01)</f>
        <v>4048225</v>
      </c>
      <c r="T149" s="260">
        <f t="shared" si="14"/>
        <v>5</v>
      </c>
    </row>
    <row r="150" spans="1:20">
      <c r="A150" s="258">
        <f t="shared" si="10"/>
        <v>147</v>
      </c>
      <c r="B150" s="16">
        <f t="shared" si="12"/>
        <v>4123000</v>
      </c>
      <c r="C150" s="36"/>
      <c r="D150" s="37"/>
      <c r="E150" s="37"/>
      <c r="F150" s="37"/>
      <c r="G150" s="37"/>
      <c r="H150" s="37"/>
      <c r="I150" s="37"/>
      <c r="J150" s="37"/>
      <c r="K150" s="37"/>
      <c r="L150" s="35"/>
      <c r="M150" s="36">
        <f>VLOOKUP(A150,Plots!$B$4:$E$39,4)</f>
        <v>150</v>
      </c>
      <c r="N150" s="35">
        <f>VLOOKUP(A150,Garden!$B$4:$D$19,3)</f>
        <v>24</v>
      </c>
      <c r="O150" s="78">
        <f>MIN(4,ROUNDUP(VLOOKUP(A150,Background!$C$3:$D$52,2)/5,0))</f>
        <v>4</v>
      </c>
      <c r="P150" s="195">
        <f t="shared" si="11"/>
        <v>49</v>
      </c>
      <c r="Q150" s="35">
        <f t="shared" si="13"/>
        <v>147</v>
      </c>
      <c r="S150" s="80">
        <f>B149+MAX(Overview!C149*T149,(B149-B148)*1.01)</f>
        <v>4122735</v>
      </c>
      <c r="T150" s="260">
        <f t="shared" si="14"/>
        <v>5</v>
      </c>
    </row>
    <row r="151" spans="1:20">
      <c r="A151" s="258">
        <f t="shared" si="10"/>
        <v>148</v>
      </c>
      <c r="B151" s="16">
        <f t="shared" si="12"/>
        <v>4198500</v>
      </c>
      <c r="C151" s="36"/>
      <c r="D151" s="37"/>
      <c r="E151" s="37"/>
      <c r="F151" s="37"/>
      <c r="G151" s="37"/>
      <c r="H151" s="37"/>
      <c r="I151" s="37"/>
      <c r="J151" s="37"/>
      <c r="K151" s="37"/>
      <c r="L151" s="35"/>
      <c r="M151" s="36">
        <f>VLOOKUP(A151,Plots!$B$4:$E$39,4)</f>
        <v>150</v>
      </c>
      <c r="N151" s="35">
        <f>VLOOKUP(A151,Garden!$B$4:$D$19,3)</f>
        <v>24</v>
      </c>
      <c r="O151" s="78">
        <f>MIN(4,ROUNDUP(VLOOKUP(A151,Background!$C$3:$D$52,2)/5,0))</f>
        <v>4</v>
      </c>
      <c r="P151" s="195">
        <f t="shared" si="11"/>
        <v>50</v>
      </c>
      <c r="Q151" s="35">
        <f t="shared" si="13"/>
        <v>148</v>
      </c>
      <c r="S151" s="80">
        <f>B150+MAX(Overview!C150*T150,(B150-B149)*1.01)</f>
        <v>4198245</v>
      </c>
      <c r="T151" s="260">
        <f t="shared" si="14"/>
        <v>5</v>
      </c>
    </row>
    <row r="152" spans="1:20">
      <c r="A152" s="258">
        <f t="shared" si="10"/>
        <v>149</v>
      </c>
      <c r="B152" s="16">
        <f t="shared" si="12"/>
        <v>4275000</v>
      </c>
      <c r="C152" s="36"/>
      <c r="D152" s="37"/>
      <c r="E152" s="37"/>
      <c r="F152" s="37"/>
      <c r="G152" s="37"/>
      <c r="H152" s="37"/>
      <c r="I152" s="37"/>
      <c r="J152" s="37"/>
      <c r="K152" s="37"/>
      <c r="L152" s="35"/>
      <c r="M152" s="36">
        <f>VLOOKUP(A152,Plots!$B$4:$E$39,4)</f>
        <v>150</v>
      </c>
      <c r="N152" s="35">
        <f>VLOOKUP(A152,Garden!$B$4:$D$19,3)</f>
        <v>24</v>
      </c>
      <c r="O152" s="78">
        <f>MIN(4,ROUNDUP(VLOOKUP(A152,Background!$C$3:$D$52,2)/5,0))</f>
        <v>4</v>
      </c>
      <c r="P152" s="195">
        <f t="shared" si="11"/>
        <v>50</v>
      </c>
      <c r="Q152" s="35">
        <f t="shared" si="13"/>
        <v>149</v>
      </c>
      <c r="S152" s="80">
        <f>B151+MAX(Overview!C151*T151,(B151-B150)*1.01)</f>
        <v>4274755</v>
      </c>
      <c r="T152" s="260">
        <f t="shared" si="14"/>
        <v>5</v>
      </c>
    </row>
    <row r="153" spans="1:20">
      <c r="A153" s="258">
        <f t="shared" si="10"/>
        <v>150</v>
      </c>
      <c r="B153" s="16">
        <f t="shared" si="12"/>
        <v>4352500</v>
      </c>
      <c r="C153" s="36"/>
      <c r="D153" s="37"/>
      <c r="E153" s="37"/>
      <c r="F153" s="37"/>
      <c r="G153" s="37"/>
      <c r="H153" s="37"/>
      <c r="I153" s="37"/>
      <c r="J153" s="37"/>
      <c r="K153" s="37"/>
      <c r="L153" s="35"/>
      <c r="M153" s="36">
        <f>VLOOKUP(A153,Plots!$B$4:$E$39,4)</f>
        <v>150</v>
      </c>
      <c r="N153" s="35">
        <f>VLOOKUP(A153,Garden!$B$4:$D$19,3)</f>
        <v>24</v>
      </c>
      <c r="O153" s="78">
        <f>MIN(4,ROUNDUP(VLOOKUP(A153,Background!$C$3:$D$52,2)/5,0))</f>
        <v>4</v>
      </c>
      <c r="P153" s="195">
        <f t="shared" si="11"/>
        <v>50</v>
      </c>
      <c r="Q153" s="35">
        <f t="shared" si="13"/>
        <v>150</v>
      </c>
      <c r="S153" s="80">
        <f>B152+MAX(Overview!C152*T152,(B152-B151)*1.01)</f>
        <v>4352265</v>
      </c>
      <c r="T153" s="260">
        <f t="shared" si="14"/>
        <v>5</v>
      </c>
    </row>
    <row r="154" spans="1:20">
      <c r="A154" s="258">
        <f t="shared" si="10"/>
        <v>151</v>
      </c>
      <c r="B154" s="16">
        <f t="shared" si="12"/>
        <v>4431000</v>
      </c>
      <c r="C154" s="36"/>
      <c r="D154" s="37"/>
      <c r="E154" s="37"/>
      <c r="F154" s="37"/>
      <c r="G154" s="37"/>
      <c r="H154" s="37"/>
      <c r="I154" s="37"/>
      <c r="J154" s="37"/>
      <c r="K154" s="37"/>
      <c r="L154" s="35"/>
      <c r="M154" s="36">
        <f>VLOOKUP(A154,Plots!$B$4:$E$39,4)</f>
        <v>150</v>
      </c>
      <c r="N154" s="35">
        <f>VLOOKUP(A154,Garden!$B$4:$D$19,3)</f>
        <v>24</v>
      </c>
      <c r="O154" s="78">
        <f>MIN(4,ROUNDUP(VLOOKUP(A154,Background!$C$3:$D$52,2)/5,0))</f>
        <v>4</v>
      </c>
      <c r="P154" s="195">
        <f t="shared" si="11"/>
        <v>50</v>
      </c>
      <c r="Q154" s="35">
        <f t="shared" si="13"/>
        <v>150</v>
      </c>
      <c r="S154" s="80">
        <f>B153+MAX(Overview!C153*T153,(B153-B152)*1.01)</f>
        <v>4430775</v>
      </c>
      <c r="T154" s="260">
        <f t="shared" si="14"/>
        <v>5</v>
      </c>
    </row>
    <row r="155" spans="1:20">
      <c r="A155" s="258">
        <f t="shared" si="10"/>
        <v>152</v>
      </c>
      <c r="B155" s="16">
        <f t="shared" si="12"/>
        <v>4510500</v>
      </c>
      <c r="C155" s="36"/>
      <c r="D155" s="37"/>
      <c r="E155" s="37"/>
      <c r="F155" s="37"/>
      <c r="G155" s="37"/>
      <c r="H155" s="37"/>
      <c r="I155" s="37"/>
      <c r="J155" s="37"/>
      <c r="K155" s="37"/>
      <c r="L155" s="35"/>
      <c r="M155" s="36">
        <f>VLOOKUP(A155,Plots!$B$4:$E$39,4)</f>
        <v>150</v>
      </c>
      <c r="N155" s="35">
        <f>VLOOKUP(A155,Garden!$B$4:$D$19,3)</f>
        <v>24</v>
      </c>
      <c r="O155" s="78">
        <f>MIN(4,ROUNDUP(VLOOKUP(A155,Background!$C$3:$D$52,2)/5,0))</f>
        <v>4</v>
      </c>
      <c r="P155" s="195">
        <f t="shared" si="11"/>
        <v>50</v>
      </c>
      <c r="Q155" s="35">
        <f t="shared" si="13"/>
        <v>150</v>
      </c>
      <c r="S155" s="80">
        <f>B154+MAX(Overview!C154*T154,(B154-B153)*1.01)</f>
        <v>4510285</v>
      </c>
      <c r="T155" s="260">
        <f t="shared" si="14"/>
        <v>5</v>
      </c>
    </row>
    <row r="156" spans="1:20">
      <c r="A156" s="258">
        <f t="shared" si="10"/>
        <v>153</v>
      </c>
      <c r="B156" s="16">
        <f t="shared" si="12"/>
        <v>4591000</v>
      </c>
      <c r="C156" s="36"/>
      <c r="D156" s="37"/>
      <c r="E156" s="37"/>
      <c r="F156" s="37"/>
      <c r="G156" s="37"/>
      <c r="H156" s="37"/>
      <c r="I156" s="37"/>
      <c r="J156" s="37"/>
      <c r="K156" s="37"/>
      <c r="L156" s="35"/>
      <c r="M156" s="36">
        <f>VLOOKUP(A156,Plots!$B$4:$E$39,4)</f>
        <v>150</v>
      </c>
      <c r="N156" s="35">
        <f>VLOOKUP(A156,Garden!$B$4:$D$19,3)</f>
        <v>24</v>
      </c>
      <c r="O156" s="78">
        <f>MIN(4,ROUNDUP(VLOOKUP(A156,Background!$C$3:$D$52,2)/5,0))</f>
        <v>4</v>
      </c>
      <c r="P156" s="195">
        <f t="shared" si="11"/>
        <v>50</v>
      </c>
      <c r="Q156" s="35">
        <f t="shared" si="13"/>
        <v>150</v>
      </c>
      <c r="S156" s="80">
        <f>B155+MAX(Overview!C155*T155,(B155-B154)*1.01)</f>
        <v>4590795</v>
      </c>
      <c r="T156" s="260">
        <f t="shared" si="14"/>
        <v>5</v>
      </c>
    </row>
    <row r="157" spans="1:20">
      <c r="A157" s="258">
        <f t="shared" si="10"/>
        <v>154</v>
      </c>
      <c r="B157" s="16">
        <f t="shared" si="12"/>
        <v>4672500</v>
      </c>
      <c r="C157" s="36"/>
      <c r="D157" s="37"/>
      <c r="E157" s="37"/>
      <c r="F157" s="37"/>
      <c r="G157" s="37"/>
      <c r="H157" s="37"/>
      <c r="I157" s="37"/>
      <c r="J157" s="37"/>
      <c r="K157" s="37"/>
      <c r="L157" s="35"/>
      <c r="M157" s="36">
        <f>VLOOKUP(A157,Plots!$B$4:$E$39,4)</f>
        <v>150</v>
      </c>
      <c r="N157" s="35">
        <f>VLOOKUP(A157,Garden!$B$4:$D$19,3)</f>
        <v>24</v>
      </c>
      <c r="O157" s="78">
        <f>MIN(4,ROUNDUP(VLOOKUP(A157,Background!$C$3:$D$52,2)/5,0))</f>
        <v>4</v>
      </c>
      <c r="P157" s="195">
        <f t="shared" si="11"/>
        <v>50</v>
      </c>
      <c r="Q157" s="35">
        <f t="shared" si="13"/>
        <v>150</v>
      </c>
      <c r="S157" s="80">
        <f>B156+MAX(Overview!C156*T156,(B156-B155)*1.01)</f>
        <v>4672305</v>
      </c>
      <c r="T157" s="260">
        <f t="shared" si="14"/>
        <v>5</v>
      </c>
    </row>
    <row r="158" spans="1:20">
      <c r="A158" s="258">
        <f t="shared" si="10"/>
        <v>155</v>
      </c>
      <c r="B158" s="16">
        <f t="shared" si="12"/>
        <v>4755000</v>
      </c>
      <c r="C158" s="36"/>
      <c r="D158" s="37"/>
      <c r="E158" s="37"/>
      <c r="F158" s="37"/>
      <c r="G158" s="37"/>
      <c r="H158" s="37"/>
      <c r="I158" s="37"/>
      <c r="J158" s="37"/>
      <c r="K158" s="37"/>
      <c r="L158" s="35"/>
      <c r="M158" s="36">
        <f>VLOOKUP(A158,Plots!$B$4:$E$39,4)</f>
        <v>150</v>
      </c>
      <c r="N158" s="35">
        <f>VLOOKUP(A158,Garden!$B$4:$D$19,3)</f>
        <v>24</v>
      </c>
      <c r="O158" s="78">
        <f>MIN(4,ROUNDUP(VLOOKUP(A158,Background!$C$3:$D$52,2)/5,0))</f>
        <v>4</v>
      </c>
      <c r="P158" s="195">
        <f t="shared" si="11"/>
        <v>50</v>
      </c>
      <c r="Q158" s="35">
        <f t="shared" si="13"/>
        <v>150</v>
      </c>
      <c r="S158" s="80">
        <f>B157+MAX(Overview!C157*T157,(B157-B156)*1.01)</f>
        <v>4754815</v>
      </c>
      <c r="T158" s="260">
        <f t="shared" si="14"/>
        <v>5</v>
      </c>
    </row>
    <row r="159" spans="1:20">
      <c r="A159" s="258">
        <f t="shared" si="10"/>
        <v>156</v>
      </c>
      <c r="B159" s="16">
        <f t="shared" si="12"/>
        <v>4838500</v>
      </c>
      <c r="C159" s="36"/>
      <c r="D159" s="37"/>
      <c r="E159" s="37"/>
      <c r="F159" s="37"/>
      <c r="G159" s="37"/>
      <c r="H159" s="37"/>
      <c r="I159" s="37"/>
      <c r="J159" s="37"/>
      <c r="K159" s="37"/>
      <c r="L159" s="35"/>
      <c r="M159" s="36">
        <f>VLOOKUP(A159,Plots!$B$4:$E$39,4)</f>
        <v>150</v>
      </c>
      <c r="N159" s="35">
        <f>VLOOKUP(A159,Garden!$B$4:$D$19,3)</f>
        <v>24</v>
      </c>
      <c r="O159" s="78">
        <f>MIN(4,ROUNDUP(VLOOKUP(A159,Background!$C$3:$D$52,2)/5,0))</f>
        <v>4</v>
      </c>
      <c r="P159" s="195">
        <f t="shared" si="11"/>
        <v>50</v>
      </c>
      <c r="Q159" s="35">
        <f t="shared" si="13"/>
        <v>150</v>
      </c>
      <c r="S159" s="80">
        <f>B158+MAX(Overview!C158*T158,(B158-B157)*1.01)</f>
        <v>4838325</v>
      </c>
      <c r="T159" s="260">
        <f t="shared" si="14"/>
        <v>5</v>
      </c>
    </row>
    <row r="160" spans="1:20">
      <c r="A160" s="258">
        <f t="shared" si="10"/>
        <v>157</v>
      </c>
      <c r="B160" s="16">
        <f t="shared" si="12"/>
        <v>4923000</v>
      </c>
      <c r="C160" s="36"/>
      <c r="D160" s="37"/>
      <c r="E160" s="37"/>
      <c r="F160" s="37"/>
      <c r="G160" s="37"/>
      <c r="H160" s="37"/>
      <c r="I160" s="37"/>
      <c r="J160" s="37"/>
      <c r="K160" s="37"/>
      <c r="L160" s="35"/>
      <c r="M160" s="36">
        <f>VLOOKUP(A160,Plots!$B$4:$E$39,4)</f>
        <v>150</v>
      </c>
      <c r="N160" s="35">
        <f>VLOOKUP(A160,Garden!$B$4:$D$19,3)</f>
        <v>24</v>
      </c>
      <c r="O160" s="78">
        <f>MIN(4,ROUNDUP(VLOOKUP(A160,Background!$C$3:$D$52,2)/5,0))</f>
        <v>4</v>
      </c>
      <c r="P160" s="195">
        <f t="shared" si="11"/>
        <v>50</v>
      </c>
      <c r="Q160" s="35">
        <f t="shared" si="13"/>
        <v>150</v>
      </c>
      <c r="S160" s="80">
        <f>B159+MAX(Overview!C159*T159,(B159-B158)*1.01)</f>
        <v>4922835</v>
      </c>
      <c r="T160" s="260">
        <f t="shared" si="14"/>
        <v>5</v>
      </c>
    </row>
    <row r="161" spans="1:20">
      <c r="A161" s="258">
        <f t="shared" si="10"/>
        <v>158</v>
      </c>
      <c r="B161" s="16">
        <f t="shared" si="12"/>
        <v>5008500</v>
      </c>
      <c r="C161" s="36"/>
      <c r="D161" s="37"/>
      <c r="E161" s="37"/>
      <c r="F161" s="37"/>
      <c r="G161" s="37"/>
      <c r="H161" s="37"/>
      <c r="I161" s="37"/>
      <c r="J161" s="37"/>
      <c r="K161" s="37"/>
      <c r="L161" s="35"/>
      <c r="M161" s="36">
        <f>VLOOKUP(A161,Plots!$B$4:$E$39,4)</f>
        <v>150</v>
      </c>
      <c r="N161" s="35">
        <f>VLOOKUP(A161,Garden!$B$4:$D$19,3)</f>
        <v>24</v>
      </c>
      <c r="O161" s="78">
        <f>MIN(4,ROUNDUP(VLOOKUP(A161,Background!$C$3:$D$52,2)/5,0))</f>
        <v>4</v>
      </c>
      <c r="P161" s="195">
        <f t="shared" si="11"/>
        <v>50</v>
      </c>
      <c r="Q161" s="35">
        <f t="shared" si="13"/>
        <v>150</v>
      </c>
      <c r="S161" s="80">
        <f>B160+MAX(Overview!C160*T160,(B160-B159)*1.01)</f>
        <v>5008345</v>
      </c>
      <c r="T161" s="260">
        <f t="shared" si="14"/>
        <v>5</v>
      </c>
    </row>
    <row r="162" spans="1:20">
      <c r="A162" s="258">
        <f t="shared" si="10"/>
        <v>159</v>
      </c>
      <c r="B162" s="16">
        <f t="shared" si="12"/>
        <v>5095000</v>
      </c>
      <c r="C162" s="36"/>
      <c r="D162" s="37"/>
      <c r="E162" s="37"/>
      <c r="F162" s="37"/>
      <c r="G162" s="37"/>
      <c r="H162" s="37"/>
      <c r="I162" s="37"/>
      <c r="J162" s="37"/>
      <c r="K162" s="37"/>
      <c r="L162" s="35"/>
      <c r="M162" s="36">
        <f>VLOOKUP(A162,Plots!$B$4:$E$39,4)</f>
        <v>150</v>
      </c>
      <c r="N162" s="35">
        <f>VLOOKUP(A162,Garden!$B$4:$D$19,3)</f>
        <v>24</v>
      </c>
      <c r="O162" s="78">
        <f>MIN(4,ROUNDUP(VLOOKUP(A162,Background!$C$3:$D$52,2)/5,0))</f>
        <v>4</v>
      </c>
      <c r="P162" s="195">
        <f t="shared" si="11"/>
        <v>50</v>
      </c>
      <c r="Q162" s="35">
        <f t="shared" si="13"/>
        <v>150</v>
      </c>
      <c r="S162" s="80">
        <f>B161+MAX(Overview!C161*T161,(B161-B160)*1.01)</f>
        <v>5094855</v>
      </c>
      <c r="T162" s="260">
        <f t="shared" si="14"/>
        <v>5</v>
      </c>
    </row>
    <row r="163" spans="1:20">
      <c r="A163" s="258">
        <f t="shared" si="10"/>
        <v>160</v>
      </c>
      <c r="B163" s="16">
        <f t="shared" si="12"/>
        <v>5182500</v>
      </c>
      <c r="C163" s="36"/>
      <c r="D163" s="37"/>
      <c r="E163" s="37"/>
      <c r="F163" s="37"/>
      <c r="G163" s="37"/>
      <c r="H163" s="37"/>
      <c r="I163" s="37"/>
      <c r="J163" s="37"/>
      <c r="K163" s="37"/>
      <c r="L163" s="35"/>
      <c r="M163" s="36">
        <f>VLOOKUP(A163,Plots!$B$4:$E$39,4)</f>
        <v>150</v>
      </c>
      <c r="N163" s="35">
        <f>VLOOKUP(A163,Garden!$B$4:$D$19,3)</f>
        <v>24</v>
      </c>
      <c r="O163" s="78">
        <f>MIN(4,ROUNDUP(VLOOKUP(A163,Background!$C$3:$D$52,2)/5,0))</f>
        <v>4</v>
      </c>
      <c r="P163" s="195">
        <f t="shared" si="11"/>
        <v>50</v>
      </c>
      <c r="Q163" s="35">
        <f t="shared" si="13"/>
        <v>150</v>
      </c>
      <c r="S163" s="80">
        <f>B162+MAX(Overview!C162*T162,(B162-B161)*1.01)</f>
        <v>5182365</v>
      </c>
      <c r="T163" s="260">
        <f t="shared" si="14"/>
        <v>5</v>
      </c>
    </row>
    <row r="164" spans="1:20">
      <c r="A164" s="258">
        <f t="shared" si="10"/>
        <v>161</v>
      </c>
      <c r="B164" s="16">
        <f t="shared" si="12"/>
        <v>5271000</v>
      </c>
      <c r="C164" s="36"/>
      <c r="D164" s="37"/>
      <c r="E164" s="37"/>
      <c r="F164" s="37"/>
      <c r="G164" s="37"/>
      <c r="H164" s="37"/>
      <c r="I164" s="37"/>
      <c r="J164" s="37"/>
      <c r="K164" s="37"/>
      <c r="L164" s="35"/>
      <c r="M164" s="36">
        <f>VLOOKUP(A164,Plots!$B$4:$E$39,4)</f>
        <v>150</v>
      </c>
      <c r="N164" s="35">
        <f>VLOOKUP(A164,Garden!$B$4:$D$19,3)</f>
        <v>24</v>
      </c>
      <c r="O164" s="78">
        <f>MIN(4,ROUNDUP(VLOOKUP(A164,Background!$C$3:$D$52,2)/5,0))</f>
        <v>4</v>
      </c>
      <c r="P164" s="195">
        <f t="shared" si="11"/>
        <v>50</v>
      </c>
      <c r="Q164" s="35">
        <f t="shared" si="13"/>
        <v>150</v>
      </c>
      <c r="S164" s="80">
        <f>B163+MAX(Overview!C163*T163,(B163-B162)*1.01)</f>
        <v>5270875</v>
      </c>
      <c r="T164" s="260">
        <f t="shared" si="14"/>
        <v>5</v>
      </c>
    </row>
    <row r="165" spans="1:20">
      <c r="A165" s="258">
        <f t="shared" si="10"/>
        <v>162</v>
      </c>
      <c r="B165" s="16">
        <f t="shared" si="12"/>
        <v>5360500</v>
      </c>
      <c r="C165" s="36"/>
      <c r="D165" s="37"/>
      <c r="E165" s="37"/>
      <c r="F165" s="37"/>
      <c r="G165" s="37"/>
      <c r="H165" s="37"/>
      <c r="I165" s="37"/>
      <c r="J165" s="37"/>
      <c r="K165" s="37"/>
      <c r="L165" s="35"/>
      <c r="M165" s="36">
        <f>VLOOKUP(A165,Plots!$B$4:$E$39,4)</f>
        <v>150</v>
      </c>
      <c r="N165" s="35">
        <f>VLOOKUP(A165,Garden!$B$4:$D$19,3)</f>
        <v>24</v>
      </c>
      <c r="O165" s="78">
        <f>MIN(4,ROUNDUP(VLOOKUP(A165,Background!$C$3:$D$52,2)/5,0))</f>
        <v>4</v>
      </c>
      <c r="P165" s="195">
        <f t="shared" si="11"/>
        <v>50</v>
      </c>
      <c r="Q165" s="35">
        <f t="shared" si="13"/>
        <v>150</v>
      </c>
      <c r="S165" s="80">
        <f>B164+MAX(Overview!C164*T164,(B164-B163)*1.01)</f>
        <v>5360385</v>
      </c>
      <c r="T165" s="260">
        <f t="shared" si="14"/>
        <v>5</v>
      </c>
    </row>
    <row r="166" spans="1:20">
      <c r="A166" s="258">
        <f t="shared" si="10"/>
        <v>163</v>
      </c>
      <c r="B166" s="16">
        <f t="shared" si="12"/>
        <v>5451000</v>
      </c>
      <c r="C166" s="36"/>
      <c r="D166" s="37"/>
      <c r="E166" s="37"/>
      <c r="F166" s="37"/>
      <c r="G166" s="37"/>
      <c r="H166" s="37"/>
      <c r="I166" s="37"/>
      <c r="J166" s="37"/>
      <c r="K166" s="37"/>
      <c r="L166" s="35"/>
      <c r="M166" s="36">
        <f>VLOOKUP(A166,Plots!$B$4:$E$39,4)</f>
        <v>150</v>
      </c>
      <c r="N166" s="35">
        <f>VLOOKUP(A166,Garden!$B$4:$D$19,3)</f>
        <v>24</v>
      </c>
      <c r="O166" s="78">
        <f>MIN(4,ROUNDUP(VLOOKUP(A166,Background!$C$3:$D$52,2)/5,0))</f>
        <v>4</v>
      </c>
      <c r="P166" s="195">
        <f t="shared" si="11"/>
        <v>50</v>
      </c>
      <c r="Q166" s="35">
        <f t="shared" si="13"/>
        <v>150</v>
      </c>
      <c r="S166" s="80">
        <f>B165+MAX(Overview!C165*T165,(B165-B164)*1.01)</f>
        <v>5450895</v>
      </c>
      <c r="T166" s="260">
        <f t="shared" si="14"/>
        <v>5</v>
      </c>
    </row>
    <row r="167" spans="1:20">
      <c r="A167" s="258">
        <f t="shared" si="10"/>
        <v>164</v>
      </c>
      <c r="B167" s="16">
        <f t="shared" si="12"/>
        <v>5542500</v>
      </c>
      <c r="C167" s="36"/>
      <c r="D167" s="37"/>
      <c r="E167" s="37"/>
      <c r="F167" s="37"/>
      <c r="G167" s="37"/>
      <c r="H167" s="37"/>
      <c r="I167" s="37"/>
      <c r="J167" s="37"/>
      <c r="K167" s="37"/>
      <c r="L167" s="35"/>
      <c r="M167" s="36">
        <f>VLOOKUP(A167,Plots!$B$4:$E$39,4)</f>
        <v>150</v>
      </c>
      <c r="N167" s="35">
        <f>VLOOKUP(A167,Garden!$B$4:$D$19,3)</f>
        <v>24</v>
      </c>
      <c r="O167" s="78">
        <f>MIN(4,ROUNDUP(VLOOKUP(A167,Background!$C$3:$D$52,2)/5,0))</f>
        <v>4</v>
      </c>
      <c r="P167" s="195">
        <f t="shared" si="11"/>
        <v>50</v>
      </c>
      <c r="Q167" s="35">
        <f t="shared" si="13"/>
        <v>150</v>
      </c>
      <c r="S167" s="80">
        <f>B166+MAX(Overview!C166*T166,(B166-B165)*1.01)</f>
        <v>5542405</v>
      </c>
      <c r="T167" s="260">
        <f t="shared" si="14"/>
        <v>5</v>
      </c>
    </row>
    <row r="168" spans="1:20">
      <c r="A168" s="258">
        <f t="shared" si="10"/>
        <v>165</v>
      </c>
      <c r="B168" s="16">
        <f t="shared" si="12"/>
        <v>5635000</v>
      </c>
      <c r="C168" s="36"/>
      <c r="D168" s="37"/>
      <c r="E168" s="37"/>
      <c r="F168" s="37"/>
      <c r="G168" s="37"/>
      <c r="H168" s="37"/>
      <c r="I168" s="37"/>
      <c r="J168" s="37"/>
      <c r="K168" s="37"/>
      <c r="L168" s="35"/>
      <c r="M168" s="36">
        <f>VLOOKUP(A168,Plots!$B$4:$E$39,4)</f>
        <v>150</v>
      </c>
      <c r="N168" s="35">
        <f>VLOOKUP(A168,Garden!$B$4:$D$19,3)</f>
        <v>24</v>
      </c>
      <c r="O168" s="78">
        <f>MIN(4,ROUNDUP(VLOOKUP(A168,Background!$C$3:$D$52,2)/5,0))</f>
        <v>4</v>
      </c>
      <c r="P168" s="195">
        <f t="shared" si="11"/>
        <v>50</v>
      </c>
      <c r="Q168" s="35">
        <f t="shared" si="13"/>
        <v>150</v>
      </c>
      <c r="S168" s="80">
        <f>B167+MAX(Overview!C167*T167,(B167-B166)*1.01)</f>
        <v>5634915</v>
      </c>
      <c r="T168" s="260">
        <f t="shared" si="14"/>
        <v>5</v>
      </c>
    </row>
    <row r="169" spans="1:20">
      <c r="A169" s="258">
        <f t="shared" si="10"/>
        <v>166</v>
      </c>
      <c r="B169" s="16">
        <f t="shared" si="12"/>
        <v>5728500</v>
      </c>
      <c r="C169" s="36"/>
      <c r="D169" s="37"/>
      <c r="E169" s="37"/>
      <c r="F169" s="37"/>
      <c r="G169" s="37"/>
      <c r="H169" s="37"/>
      <c r="I169" s="37"/>
      <c r="J169" s="37"/>
      <c r="K169" s="37"/>
      <c r="L169" s="35"/>
      <c r="M169" s="36">
        <f>VLOOKUP(A169,Plots!$B$4:$E$39,4)</f>
        <v>150</v>
      </c>
      <c r="N169" s="35">
        <f>VLOOKUP(A169,Garden!$B$4:$D$19,3)</f>
        <v>24</v>
      </c>
      <c r="O169" s="78">
        <f>MIN(4,ROUNDUP(VLOOKUP(A169,Background!$C$3:$D$52,2)/5,0))</f>
        <v>4</v>
      </c>
      <c r="P169" s="195">
        <f t="shared" si="11"/>
        <v>50</v>
      </c>
      <c r="Q169" s="35">
        <f t="shared" si="13"/>
        <v>150</v>
      </c>
      <c r="S169" s="80">
        <f>B168+MAX(Overview!C168*T168,(B168-B167)*1.01)</f>
        <v>5728425</v>
      </c>
      <c r="T169" s="260">
        <f t="shared" si="14"/>
        <v>5</v>
      </c>
    </row>
    <row r="170" spans="1:20">
      <c r="A170" s="258">
        <f t="shared" si="10"/>
        <v>167</v>
      </c>
      <c r="B170" s="16">
        <f t="shared" si="12"/>
        <v>5823000</v>
      </c>
      <c r="C170" s="36"/>
      <c r="D170" s="37"/>
      <c r="E170" s="37"/>
      <c r="F170" s="37"/>
      <c r="G170" s="37"/>
      <c r="H170" s="37"/>
      <c r="I170" s="37"/>
      <c r="J170" s="37"/>
      <c r="K170" s="37"/>
      <c r="L170" s="35"/>
      <c r="M170" s="36">
        <f>VLOOKUP(A170,Plots!$B$4:$E$39,4)</f>
        <v>150</v>
      </c>
      <c r="N170" s="35">
        <f>VLOOKUP(A170,Garden!$B$4:$D$19,3)</f>
        <v>24</v>
      </c>
      <c r="O170" s="78">
        <f>MIN(4,ROUNDUP(VLOOKUP(A170,Background!$C$3:$D$52,2)/5,0))</f>
        <v>4</v>
      </c>
      <c r="P170" s="195">
        <f t="shared" si="11"/>
        <v>50</v>
      </c>
      <c r="Q170" s="35">
        <f t="shared" si="13"/>
        <v>150</v>
      </c>
      <c r="S170" s="80">
        <f>B169+MAX(Overview!C169*T169,(B169-B168)*1.01)</f>
        <v>5822935</v>
      </c>
      <c r="T170" s="260">
        <f t="shared" si="14"/>
        <v>5</v>
      </c>
    </row>
    <row r="171" spans="1:20">
      <c r="A171" s="258">
        <f t="shared" si="10"/>
        <v>168</v>
      </c>
      <c r="B171" s="16">
        <f t="shared" si="12"/>
        <v>5918500</v>
      </c>
      <c r="C171" s="36"/>
      <c r="D171" s="37"/>
      <c r="E171" s="37"/>
      <c r="F171" s="37"/>
      <c r="G171" s="37"/>
      <c r="H171" s="37"/>
      <c r="I171" s="37"/>
      <c r="J171" s="37"/>
      <c r="K171" s="37"/>
      <c r="L171" s="35"/>
      <c r="M171" s="36">
        <f>VLOOKUP(A171,Plots!$B$4:$E$39,4)</f>
        <v>150</v>
      </c>
      <c r="N171" s="35">
        <f>VLOOKUP(A171,Garden!$B$4:$D$19,3)</f>
        <v>24</v>
      </c>
      <c r="O171" s="78">
        <f>MIN(4,ROUNDUP(VLOOKUP(A171,Background!$C$3:$D$52,2)/5,0))</f>
        <v>4</v>
      </c>
      <c r="P171" s="195">
        <f t="shared" si="11"/>
        <v>50</v>
      </c>
      <c r="Q171" s="35">
        <f t="shared" si="13"/>
        <v>150</v>
      </c>
      <c r="S171" s="80">
        <f>B170+MAX(Overview!C170*T170,(B170-B169)*1.01)</f>
        <v>5918445</v>
      </c>
      <c r="T171" s="260">
        <f t="shared" si="14"/>
        <v>5</v>
      </c>
    </row>
    <row r="172" spans="1:20">
      <c r="A172" s="258">
        <f t="shared" si="10"/>
        <v>169</v>
      </c>
      <c r="B172" s="16">
        <f t="shared" si="12"/>
        <v>6015000</v>
      </c>
      <c r="C172" s="36"/>
      <c r="D172" s="37"/>
      <c r="E172" s="37"/>
      <c r="F172" s="37"/>
      <c r="G172" s="37"/>
      <c r="H172" s="37"/>
      <c r="I172" s="37"/>
      <c r="J172" s="37"/>
      <c r="K172" s="37"/>
      <c r="L172" s="35"/>
      <c r="M172" s="36">
        <f>VLOOKUP(A172,Plots!$B$4:$E$39,4)</f>
        <v>150</v>
      </c>
      <c r="N172" s="35">
        <f>VLOOKUP(A172,Garden!$B$4:$D$19,3)</f>
        <v>24</v>
      </c>
      <c r="O172" s="78">
        <f>MIN(4,ROUNDUP(VLOOKUP(A172,Background!$C$3:$D$52,2)/5,0))</f>
        <v>4</v>
      </c>
      <c r="P172" s="195">
        <f t="shared" si="11"/>
        <v>50</v>
      </c>
      <c r="Q172" s="35">
        <f t="shared" si="13"/>
        <v>150</v>
      </c>
      <c r="S172" s="80">
        <f>B171+MAX(Overview!C171*T171,(B171-B170)*1.01)</f>
        <v>6014955</v>
      </c>
      <c r="T172" s="260">
        <f t="shared" si="14"/>
        <v>5</v>
      </c>
    </row>
    <row r="173" spans="1:20">
      <c r="A173" s="258">
        <f t="shared" si="10"/>
        <v>170</v>
      </c>
      <c r="B173" s="16">
        <f t="shared" si="12"/>
        <v>6112500</v>
      </c>
      <c r="C173" s="36"/>
      <c r="D173" s="37"/>
      <c r="E173" s="37"/>
      <c r="F173" s="37"/>
      <c r="G173" s="37"/>
      <c r="H173" s="37"/>
      <c r="I173" s="37"/>
      <c r="J173" s="37"/>
      <c r="K173" s="37"/>
      <c r="L173" s="35"/>
      <c r="M173" s="36">
        <f>VLOOKUP(A173,Plots!$B$4:$E$39,4)</f>
        <v>150</v>
      </c>
      <c r="N173" s="35">
        <f>VLOOKUP(A173,Garden!$B$4:$D$19,3)</f>
        <v>24</v>
      </c>
      <c r="O173" s="78">
        <f>MIN(4,ROUNDUP(VLOOKUP(A173,Background!$C$3:$D$52,2)/5,0))</f>
        <v>4</v>
      </c>
      <c r="P173" s="195">
        <f t="shared" si="11"/>
        <v>50</v>
      </c>
      <c r="Q173" s="35">
        <f t="shared" si="13"/>
        <v>150</v>
      </c>
      <c r="S173" s="80">
        <f>B172+MAX(Overview!C172*T172,(B172-B171)*1.01)</f>
        <v>6112465</v>
      </c>
      <c r="T173" s="260">
        <f t="shared" si="14"/>
        <v>5</v>
      </c>
    </row>
    <row r="174" spans="1:20">
      <c r="A174" s="258">
        <f t="shared" si="10"/>
        <v>171</v>
      </c>
      <c r="B174" s="16">
        <f t="shared" si="12"/>
        <v>6211000</v>
      </c>
      <c r="C174" s="36"/>
      <c r="D174" s="37"/>
      <c r="E174" s="37"/>
      <c r="F174" s="37"/>
      <c r="G174" s="37"/>
      <c r="H174" s="37"/>
      <c r="I174" s="37"/>
      <c r="J174" s="37"/>
      <c r="K174" s="37"/>
      <c r="L174" s="35"/>
      <c r="M174" s="36">
        <f>VLOOKUP(A174,Plots!$B$4:$E$39,4)</f>
        <v>150</v>
      </c>
      <c r="N174" s="35">
        <f>VLOOKUP(A174,Garden!$B$4:$D$19,3)</f>
        <v>24</v>
      </c>
      <c r="O174" s="78">
        <f>MIN(4,ROUNDUP(VLOOKUP(A174,Background!$C$3:$D$52,2)/5,0))</f>
        <v>4</v>
      </c>
      <c r="P174" s="195">
        <f t="shared" si="11"/>
        <v>50</v>
      </c>
      <c r="Q174" s="35">
        <f t="shared" si="13"/>
        <v>150</v>
      </c>
      <c r="S174" s="80">
        <f>B173+MAX(Overview!C173*T173,(B173-B172)*1.01)</f>
        <v>6210975</v>
      </c>
      <c r="T174" s="260">
        <f t="shared" si="14"/>
        <v>5</v>
      </c>
    </row>
    <row r="175" spans="1:20">
      <c r="A175" s="258">
        <f t="shared" si="10"/>
        <v>172</v>
      </c>
      <c r="B175" s="16">
        <f t="shared" si="12"/>
        <v>6310500</v>
      </c>
      <c r="C175" s="36"/>
      <c r="D175" s="37"/>
      <c r="E175" s="37"/>
      <c r="F175" s="37"/>
      <c r="G175" s="37"/>
      <c r="H175" s="37"/>
      <c r="I175" s="37"/>
      <c r="J175" s="37"/>
      <c r="K175" s="37"/>
      <c r="L175" s="35"/>
      <c r="M175" s="36">
        <f>VLOOKUP(A175,Plots!$B$4:$E$39,4)</f>
        <v>150</v>
      </c>
      <c r="N175" s="35">
        <f>VLOOKUP(A175,Garden!$B$4:$D$19,3)</f>
        <v>24</v>
      </c>
      <c r="O175" s="78">
        <f>MIN(4,ROUNDUP(VLOOKUP(A175,Background!$C$3:$D$52,2)/5,0))</f>
        <v>4</v>
      </c>
      <c r="P175" s="195">
        <f t="shared" si="11"/>
        <v>50</v>
      </c>
      <c r="Q175" s="35">
        <f t="shared" si="13"/>
        <v>150</v>
      </c>
      <c r="S175" s="80">
        <f>B174+MAX(Overview!C174*T174,(B174-B173)*1.01)</f>
        <v>6310485</v>
      </c>
      <c r="T175" s="260">
        <f t="shared" si="14"/>
        <v>5</v>
      </c>
    </row>
    <row r="176" spans="1:20">
      <c r="A176" s="258">
        <f t="shared" si="10"/>
        <v>173</v>
      </c>
      <c r="B176" s="16">
        <f t="shared" si="12"/>
        <v>6411000</v>
      </c>
      <c r="C176" s="36"/>
      <c r="D176" s="37"/>
      <c r="E176" s="37"/>
      <c r="F176" s="37"/>
      <c r="G176" s="37"/>
      <c r="H176" s="37"/>
      <c r="I176" s="37"/>
      <c r="J176" s="37"/>
      <c r="K176" s="37"/>
      <c r="L176" s="35"/>
      <c r="M176" s="36">
        <f>VLOOKUP(A176,Plots!$B$4:$E$39,4)</f>
        <v>150</v>
      </c>
      <c r="N176" s="35">
        <f>VLOOKUP(A176,Garden!$B$4:$D$19,3)</f>
        <v>24</v>
      </c>
      <c r="O176" s="78">
        <f>MIN(4,ROUNDUP(VLOOKUP(A176,Background!$C$3:$D$52,2)/5,0))</f>
        <v>4</v>
      </c>
      <c r="P176" s="195">
        <f t="shared" si="11"/>
        <v>50</v>
      </c>
      <c r="Q176" s="35">
        <f t="shared" si="13"/>
        <v>150</v>
      </c>
      <c r="S176" s="80">
        <f>B175+MAX(Overview!C175*T175,(B175-B174)*1.01)</f>
        <v>6410995</v>
      </c>
      <c r="T176" s="260">
        <f t="shared" si="14"/>
        <v>5</v>
      </c>
    </row>
    <row r="177" spans="1:20">
      <c r="A177" s="258">
        <f t="shared" si="10"/>
        <v>174</v>
      </c>
      <c r="B177" s="16">
        <f t="shared" si="12"/>
        <v>6513000</v>
      </c>
      <c r="C177" s="36"/>
      <c r="D177" s="37"/>
      <c r="E177" s="37"/>
      <c r="F177" s="37"/>
      <c r="G177" s="37"/>
      <c r="H177" s="37"/>
      <c r="I177" s="37"/>
      <c r="J177" s="37"/>
      <c r="K177" s="37"/>
      <c r="L177" s="35"/>
      <c r="M177" s="36">
        <f>VLOOKUP(A177,Plots!$B$4:$E$39,4)</f>
        <v>150</v>
      </c>
      <c r="N177" s="35">
        <f>VLOOKUP(A177,Garden!$B$4:$D$19,3)</f>
        <v>24</v>
      </c>
      <c r="O177" s="78">
        <f>MIN(4,ROUNDUP(VLOOKUP(A177,Background!$C$3:$D$52,2)/5,0))</f>
        <v>4</v>
      </c>
      <c r="P177" s="195">
        <f t="shared" si="11"/>
        <v>50</v>
      </c>
      <c r="Q177" s="35">
        <f t="shared" si="13"/>
        <v>150</v>
      </c>
      <c r="S177" s="80">
        <f>B176+MAX(Overview!C176*T176,(B176-B175)*1.01)</f>
        <v>6512505</v>
      </c>
      <c r="T177" s="260">
        <f t="shared" si="14"/>
        <v>5</v>
      </c>
    </row>
    <row r="178" spans="1:20">
      <c r="A178" s="258">
        <f t="shared" si="10"/>
        <v>175</v>
      </c>
      <c r="B178" s="16">
        <f t="shared" si="12"/>
        <v>6616500</v>
      </c>
      <c r="C178" s="36"/>
      <c r="D178" s="37"/>
      <c r="E178" s="37"/>
      <c r="F178" s="37"/>
      <c r="G178" s="37"/>
      <c r="H178" s="37"/>
      <c r="I178" s="37"/>
      <c r="J178" s="37"/>
      <c r="K178" s="37"/>
      <c r="L178" s="35"/>
      <c r="M178" s="36">
        <f>VLOOKUP(A178,Plots!$B$4:$E$39,4)</f>
        <v>150</v>
      </c>
      <c r="N178" s="35">
        <f>VLOOKUP(A178,Garden!$B$4:$D$19,3)</f>
        <v>24</v>
      </c>
      <c r="O178" s="78">
        <f>MIN(4,ROUNDUP(VLOOKUP(A178,Background!$C$3:$D$52,2)/5,0))</f>
        <v>4</v>
      </c>
      <c r="P178" s="195">
        <f t="shared" si="11"/>
        <v>50</v>
      </c>
      <c r="Q178" s="35">
        <f t="shared" si="13"/>
        <v>150</v>
      </c>
      <c r="S178" s="80">
        <f>B177+MAX(Overview!C177*T177,(B177-B176)*1.01)</f>
        <v>6616020</v>
      </c>
      <c r="T178" s="260">
        <f t="shared" si="14"/>
        <v>5</v>
      </c>
    </row>
    <row r="179" spans="1:20">
      <c r="A179" s="258">
        <f t="shared" si="10"/>
        <v>176</v>
      </c>
      <c r="B179" s="16">
        <f t="shared" si="12"/>
        <v>6721500</v>
      </c>
      <c r="C179" s="36"/>
      <c r="D179" s="37"/>
      <c r="E179" s="37"/>
      <c r="F179" s="37"/>
      <c r="G179" s="37"/>
      <c r="H179" s="37"/>
      <c r="I179" s="37"/>
      <c r="J179" s="37"/>
      <c r="K179" s="37"/>
      <c r="L179" s="35"/>
      <c r="M179" s="36">
        <f>VLOOKUP(A179,Plots!$B$4:$E$39,4)</f>
        <v>150</v>
      </c>
      <c r="N179" s="35">
        <f>VLOOKUP(A179,Garden!$B$4:$D$19,3)</f>
        <v>24</v>
      </c>
      <c r="O179" s="78">
        <f>MIN(4,ROUNDUP(VLOOKUP(A179,Background!$C$3:$D$52,2)/5,0))</f>
        <v>4</v>
      </c>
      <c r="P179" s="195">
        <f t="shared" si="11"/>
        <v>50</v>
      </c>
      <c r="Q179" s="35">
        <f t="shared" si="13"/>
        <v>150</v>
      </c>
      <c r="S179" s="80">
        <f>B178+MAX(Overview!C178*T178,(B178-B177)*1.01)</f>
        <v>6721035</v>
      </c>
      <c r="T179" s="260">
        <f t="shared" si="14"/>
        <v>5</v>
      </c>
    </row>
    <row r="180" spans="1:20">
      <c r="A180" s="258">
        <f t="shared" si="10"/>
        <v>177</v>
      </c>
      <c r="B180" s="16">
        <f t="shared" si="12"/>
        <v>6828000</v>
      </c>
      <c r="C180" s="36"/>
      <c r="D180" s="37"/>
      <c r="E180" s="37"/>
      <c r="F180" s="37"/>
      <c r="G180" s="37"/>
      <c r="H180" s="37"/>
      <c r="I180" s="37"/>
      <c r="J180" s="37"/>
      <c r="K180" s="37"/>
      <c r="L180" s="35"/>
      <c r="M180" s="36">
        <f>VLOOKUP(A180,Plots!$B$4:$E$39,4)</f>
        <v>150</v>
      </c>
      <c r="N180" s="35">
        <f>VLOOKUP(A180,Garden!$B$4:$D$19,3)</f>
        <v>24</v>
      </c>
      <c r="O180" s="78">
        <f>MIN(4,ROUNDUP(VLOOKUP(A180,Background!$C$3:$D$52,2)/5,0))</f>
        <v>4</v>
      </c>
      <c r="P180" s="195">
        <f t="shared" si="11"/>
        <v>50</v>
      </c>
      <c r="Q180" s="35">
        <f t="shared" si="13"/>
        <v>150</v>
      </c>
      <c r="S180" s="80">
        <f>B179+MAX(Overview!C179*T179,(B179-B178)*1.01)</f>
        <v>6827550</v>
      </c>
      <c r="T180" s="260">
        <f t="shared" si="14"/>
        <v>5</v>
      </c>
    </row>
    <row r="181" spans="1:20">
      <c r="A181" s="258">
        <f t="shared" si="10"/>
        <v>178</v>
      </c>
      <c r="B181" s="16">
        <f t="shared" si="12"/>
        <v>6936000</v>
      </c>
      <c r="C181" s="36"/>
      <c r="D181" s="37"/>
      <c r="E181" s="37"/>
      <c r="F181" s="37"/>
      <c r="G181" s="37"/>
      <c r="H181" s="37"/>
      <c r="I181" s="37"/>
      <c r="J181" s="37"/>
      <c r="K181" s="37"/>
      <c r="L181" s="35"/>
      <c r="M181" s="36">
        <f>VLOOKUP(A181,Plots!$B$4:$E$39,4)</f>
        <v>150</v>
      </c>
      <c r="N181" s="35">
        <f>VLOOKUP(A181,Garden!$B$4:$D$19,3)</f>
        <v>24</v>
      </c>
      <c r="O181" s="78">
        <f>MIN(4,ROUNDUP(VLOOKUP(A181,Background!$C$3:$D$52,2)/5,0))</f>
        <v>4</v>
      </c>
      <c r="P181" s="195">
        <f t="shared" si="11"/>
        <v>50</v>
      </c>
      <c r="Q181" s="35">
        <f t="shared" si="13"/>
        <v>150</v>
      </c>
      <c r="S181" s="80">
        <f>B180+MAX(Overview!C180*T180,(B180-B179)*1.01)</f>
        <v>6935565</v>
      </c>
      <c r="T181" s="260">
        <f t="shared" si="14"/>
        <v>5</v>
      </c>
    </row>
    <row r="182" spans="1:20">
      <c r="A182" s="258">
        <f t="shared" si="10"/>
        <v>179</v>
      </c>
      <c r="B182" s="16">
        <f t="shared" si="12"/>
        <v>7045500</v>
      </c>
      <c r="C182" s="36"/>
      <c r="D182" s="37"/>
      <c r="E182" s="37"/>
      <c r="F182" s="37"/>
      <c r="G182" s="37"/>
      <c r="H182" s="37"/>
      <c r="I182" s="37"/>
      <c r="J182" s="37"/>
      <c r="K182" s="37"/>
      <c r="L182" s="35"/>
      <c r="M182" s="36">
        <f>VLOOKUP(A182,Plots!$B$4:$E$39,4)</f>
        <v>150</v>
      </c>
      <c r="N182" s="35">
        <f>VLOOKUP(A182,Garden!$B$4:$D$19,3)</f>
        <v>24</v>
      </c>
      <c r="O182" s="78">
        <f>MIN(4,ROUNDUP(VLOOKUP(A182,Background!$C$3:$D$52,2)/5,0))</f>
        <v>4</v>
      </c>
      <c r="P182" s="195">
        <f t="shared" si="11"/>
        <v>50</v>
      </c>
      <c r="Q182" s="35">
        <f t="shared" si="13"/>
        <v>150</v>
      </c>
      <c r="S182" s="80">
        <f>B181+MAX(Overview!C181*T181,(B181-B180)*1.01)</f>
        <v>7045080</v>
      </c>
      <c r="T182" s="260">
        <f t="shared" si="14"/>
        <v>5</v>
      </c>
    </row>
    <row r="183" spans="1:20">
      <c r="A183" s="258">
        <f t="shared" si="10"/>
        <v>180</v>
      </c>
      <c r="B183" s="16">
        <f t="shared" si="12"/>
        <v>7156500</v>
      </c>
      <c r="C183" s="36"/>
      <c r="D183" s="37"/>
      <c r="E183" s="37"/>
      <c r="F183" s="37"/>
      <c r="G183" s="37"/>
      <c r="H183" s="37"/>
      <c r="I183" s="37"/>
      <c r="J183" s="37"/>
      <c r="K183" s="37"/>
      <c r="L183" s="35"/>
      <c r="M183" s="36">
        <f>VLOOKUP(A183,Plots!$B$4:$E$39,4)</f>
        <v>150</v>
      </c>
      <c r="N183" s="35">
        <f>VLOOKUP(A183,Garden!$B$4:$D$19,3)</f>
        <v>24</v>
      </c>
      <c r="O183" s="78">
        <f>MIN(4,ROUNDUP(VLOOKUP(A183,Background!$C$3:$D$52,2)/5,0))</f>
        <v>4</v>
      </c>
      <c r="P183" s="195">
        <f t="shared" si="11"/>
        <v>50</v>
      </c>
      <c r="Q183" s="35">
        <f t="shared" si="13"/>
        <v>150</v>
      </c>
      <c r="S183" s="80">
        <f>B182+MAX(Overview!C182*T182,(B182-B181)*1.01)</f>
        <v>7156095</v>
      </c>
      <c r="T183" s="260">
        <f t="shared" si="14"/>
        <v>5</v>
      </c>
    </row>
    <row r="184" spans="1:20">
      <c r="A184" s="258">
        <f t="shared" si="10"/>
        <v>181</v>
      </c>
      <c r="B184" s="16">
        <f t="shared" si="12"/>
        <v>7269000</v>
      </c>
      <c r="C184" s="36"/>
      <c r="D184" s="37"/>
      <c r="E184" s="37"/>
      <c r="F184" s="37"/>
      <c r="G184" s="37"/>
      <c r="H184" s="37"/>
      <c r="I184" s="37"/>
      <c r="J184" s="37"/>
      <c r="K184" s="37"/>
      <c r="L184" s="35"/>
      <c r="M184" s="36">
        <f>VLOOKUP(A184,Plots!$B$4:$E$39,4)</f>
        <v>150</v>
      </c>
      <c r="N184" s="35">
        <f>VLOOKUP(A184,Garden!$B$4:$D$19,3)</f>
        <v>24</v>
      </c>
      <c r="O184" s="78">
        <f>MIN(4,ROUNDUP(VLOOKUP(A184,Background!$C$3:$D$52,2)/5,0))</f>
        <v>4</v>
      </c>
      <c r="P184" s="195">
        <f t="shared" si="11"/>
        <v>50</v>
      </c>
      <c r="Q184" s="35">
        <f t="shared" si="13"/>
        <v>150</v>
      </c>
      <c r="S184" s="80">
        <f>B183+MAX(Overview!C183*T183,(B183-B182)*1.01)</f>
        <v>7268610</v>
      </c>
      <c r="T184" s="260">
        <f t="shared" si="14"/>
        <v>5</v>
      </c>
    </row>
    <row r="185" spans="1:20">
      <c r="A185" s="258">
        <f t="shared" si="10"/>
        <v>182</v>
      </c>
      <c r="B185" s="16">
        <f t="shared" si="12"/>
        <v>7383000</v>
      </c>
      <c r="C185" s="36"/>
      <c r="D185" s="37"/>
      <c r="E185" s="37"/>
      <c r="F185" s="37"/>
      <c r="G185" s="37"/>
      <c r="H185" s="37"/>
      <c r="I185" s="37"/>
      <c r="J185" s="37"/>
      <c r="K185" s="37"/>
      <c r="L185" s="35"/>
      <c r="M185" s="36">
        <f>VLOOKUP(A185,Plots!$B$4:$E$39,4)</f>
        <v>150</v>
      </c>
      <c r="N185" s="35">
        <f>VLOOKUP(A185,Garden!$B$4:$D$19,3)</f>
        <v>24</v>
      </c>
      <c r="O185" s="78">
        <f>MIN(4,ROUNDUP(VLOOKUP(A185,Background!$C$3:$D$52,2)/5,0))</f>
        <v>4</v>
      </c>
      <c r="P185" s="195">
        <f t="shared" si="11"/>
        <v>50</v>
      </c>
      <c r="Q185" s="35">
        <f t="shared" si="13"/>
        <v>150</v>
      </c>
      <c r="S185" s="80">
        <f>B184+MAX(Overview!C184*T184,(B184-B183)*1.01)</f>
        <v>7382625</v>
      </c>
      <c r="T185" s="260">
        <f t="shared" si="14"/>
        <v>5</v>
      </c>
    </row>
    <row r="186" spans="1:20">
      <c r="A186" s="258">
        <f t="shared" si="10"/>
        <v>183</v>
      </c>
      <c r="B186" s="16">
        <f t="shared" si="12"/>
        <v>7498500</v>
      </c>
      <c r="C186" s="36"/>
      <c r="D186" s="37"/>
      <c r="E186" s="37"/>
      <c r="F186" s="37"/>
      <c r="G186" s="37"/>
      <c r="H186" s="37"/>
      <c r="I186" s="37"/>
      <c r="J186" s="37"/>
      <c r="K186" s="37"/>
      <c r="L186" s="35"/>
      <c r="M186" s="36">
        <f>VLOOKUP(A186,Plots!$B$4:$E$39,4)</f>
        <v>150</v>
      </c>
      <c r="N186" s="35">
        <f>VLOOKUP(A186,Garden!$B$4:$D$19,3)</f>
        <v>24</v>
      </c>
      <c r="O186" s="78">
        <f>MIN(4,ROUNDUP(VLOOKUP(A186,Background!$C$3:$D$52,2)/5,0))</f>
        <v>4</v>
      </c>
      <c r="P186" s="195">
        <f t="shared" si="11"/>
        <v>50</v>
      </c>
      <c r="Q186" s="35">
        <f t="shared" si="13"/>
        <v>150</v>
      </c>
      <c r="S186" s="80">
        <f>B185+MAX(Overview!C185*T185,(B185-B184)*1.01)</f>
        <v>7498140</v>
      </c>
      <c r="T186" s="260">
        <f t="shared" si="14"/>
        <v>5</v>
      </c>
    </row>
    <row r="187" spans="1:20">
      <c r="A187" s="258">
        <f t="shared" si="10"/>
        <v>184</v>
      </c>
      <c r="B187" s="16">
        <f t="shared" si="12"/>
        <v>7615500</v>
      </c>
      <c r="C187" s="36"/>
      <c r="D187" s="37"/>
      <c r="E187" s="37"/>
      <c r="F187" s="37"/>
      <c r="G187" s="37"/>
      <c r="H187" s="37"/>
      <c r="I187" s="37"/>
      <c r="J187" s="37"/>
      <c r="K187" s="37"/>
      <c r="L187" s="35"/>
      <c r="M187" s="36">
        <f>VLOOKUP(A187,Plots!$B$4:$E$39,4)</f>
        <v>150</v>
      </c>
      <c r="N187" s="35">
        <f>VLOOKUP(A187,Garden!$B$4:$D$19,3)</f>
        <v>24</v>
      </c>
      <c r="O187" s="78">
        <f>MIN(4,ROUNDUP(VLOOKUP(A187,Background!$C$3:$D$52,2)/5,0))</f>
        <v>4</v>
      </c>
      <c r="P187" s="195">
        <f t="shared" si="11"/>
        <v>50</v>
      </c>
      <c r="Q187" s="35">
        <f t="shared" si="13"/>
        <v>150</v>
      </c>
      <c r="S187" s="80">
        <f>B186+MAX(Overview!C186*T186,(B186-B185)*1.01)</f>
        <v>7615155</v>
      </c>
      <c r="T187" s="260">
        <f t="shared" si="14"/>
        <v>5</v>
      </c>
    </row>
    <row r="188" spans="1:20">
      <c r="A188" s="258">
        <f t="shared" si="10"/>
        <v>185</v>
      </c>
      <c r="B188" s="16">
        <f t="shared" si="12"/>
        <v>7734000</v>
      </c>
      <c r="C188" s="36"/>
      <c r="D188" s="37"/>
      <c r="E188" s="37"/>
      <c r="F188" s="37"/>
      <c r="G188" s="37"/>
      <c r="H188" s="37"/>
      <c r="I188" s="37"/>
      <c r="J188" s="37"/>
      <c r="K188" s="37"/>
      <c r="L188" s="35"/>
      <c r="M188" s="36">
        <f>VLOOKUP(A188,Plots!$B$4:$E$39,4)</f>
        <v>150</v>
      </c>
      <c r="N188" s="35">
        <f>VLOOKUP(A188,Garden!$B$4:$D$19,3)</f>
        <v>24</v>
      </c>
      <c r="O188" s="78">
        <f>MIN(4,ROUNDUP(VLOOKUP(A188,Background!$C$3:$D$52,2)/5,0))</f>
        <v>4</v>
      </c>
      <c r="P188" s="195">
        <f t="shared" si="11"/>
        <v>50</v>
      </c>
      <c r="Q188" s="35">
        <f t="shared" si="13"/>
        <v>150</v>
      </c>
      <c r="S188" s="80">
        <f>B187+MAX(Overview!C187*T187,(B187-B186)*1.01)</f>
        <v>7733670</v>
      </c>
      <c r="T188" s="260">
        <f t="shared" si="14"/>
        <v>5</v>
      </c>
    </row>
    <row r="189" spans="1:20">
      <c r="A189" s="258">
        <f t="shared" si="10"/>
        <v>186</v>
      </c>
      <c r="B189" s="16">
        <f t="shared" si="12"/>
        <v>7854000</v>
      </c>
      <c r="C189" s="36"/>
      <c r="D189" s="37"/>
      <c r="E189" s="37"/>
      <c r="F189" s="37"/>
      <c r="G189" s="37"/>
      <c r="H189" s="37"/>
      <c r="I189" s="37"/>
      <c r="J189" s="37"/>
      <c r="K189" s="37"/>
      <c r="L189" s="35"/>
      <c r="M189" s="36">
        <f>VLOOKUP(A189,Plots!$B$4:$E$39,4)</f>
        <v>150</v>
      </c>
      <c r="N189" s="35">
        <f>VLOOKUP(A189,Garden!$B$4:$D$19,3)</f>
        <v>24</v>
      </c>
      <c r="O189" s="78">
        <f>MIN(4,ROUNDUP(VLOOKUP(A189,Background!$C$3:$D$52,2)/5,0))</f>
        <v>4</v>
      </c>
      <c r="P189" s="195">
        <f t="shared" si="11"/>
        <v>50</v>
      </c>
      <c r="Q189" s="35">
        <f t="shared" si="13"/>
        <v>150</v>
      </c>
      <c r="S189" s="80">
        <f>B188+MAX(Overview!C188*T188,(B188-B187)*1.01)</f>
        <v>7853685</v>
      </c>
      <c r="T189" s="260">
        <f t="shared" si="14"/>
        <v>5</v>
      </c>
    </row>
    <row r="190" spans="1:20">
      <c r="A190" s="258">
        <f t="shared" si="10"/>
        <v>187</v>
      </c>
      <c r="B190" s="16">
        <f t="shared" si="12"/>
        <v>7975500</v>
      </c>
      <c r="C190" s="36"/>
      <c r="D190" s="37"/>
      <c r="E190" s="37"/>
      <c r="F190" s="37"/>
      <c r="G190" s="37"/>
      <c r="H190" s="37"/>
      <c r="I190" s="37"/>
      <c r="J190" s="37"/>
      <c r="K190" s="37"/>
      <c r="L190" s="35"/>
      <c r="M190" s="36">
        <f>VLOOKUP(A190,Plots!$B$4:$E$39,4)</f>
        <v>150</v>
      </c>
      <c r="N190" s="35">
        <f>VLOOKUP(A190,Garden!$B$4:$D$19,3)</f>
        <v>24</v>
      </c>
      <c r="O190" s="78">
        <f>MIN(4,ROUNDUP(VLOOKUP(A190,Background!$C$3:$D$52,2)/5,0))</f>
        <v>4</v>
      </c>
      <c r="P190" s="195">
        <f t="shared" si="11"/>
        <v>50</v>
      </c>
      <c r="Q190" s="35">
        <f t="shared" si="13"/>
        <v>150</v>
      </c>
      <c r="S190" s="80">
        <f>B189+MAX(Overview!C189*T189,(B189-B188)*1.01)</f>
        <v>7975200</v>
      </c>
      <c r="T190" s="260">
        <f t="shared" si="14"/>
        <v>5</v>
      </c>
    </row>
    <row r="191" spans="1:20">
      <c r="A191" s="258">
        <f t="shared" si="10"/>
        <v>188</v>
      </c>
      <c r="B191" s="16">
        <f t="shared" si="12"/>
        <v>8098500</v>
      </c>
      <c r="C191" s="36"/>
      <c r="D191" s="37"/>
      <c r="E191" s="37"/>
      <c r="F191" s="37"/>
      <c r="G191" s="37"/>
      <c r="H191" s="37"/>
      <c r="I191" s="37"/>
      <c r="J191" s="37"/>
      <c r="K191" s="37"/>
      <c r="L191" s="35"/>
      <c r="M191" s="36">
        <f>VLOOKUP(A191,Plots!$B$4:$E$39,4)</f>
        <v>150</v>
      </c>
      <c r="N191" s="35">
        <f>VLOOKUP(A191,Garden!$B$4:$D$19,3)</f>
        <v>24</v>
      </c>
      <c r="O191" s="78">
        <f>MIN(4,ROUNDUP(VLOOKUP(A191,Background!$C$3:$D$52,2)/5,0))</f>
        <v>4</v>
      </c>
      <c r="P191" s="195">
        <f t="shared" si="11"/>
        <v>50</v>
      </c>
      <c r="Q191" s="35">
        <f t="shared" si="13"/>
        <v>150</v>
      </c>
      <c r="S191" s="80">
        <f>B190+MAX(Overview!C190*T190,(B190-B189)*1.01)</f>
        <v>8098215</v>
      </c>
      <c r="T191" s="260">
        <f t="shared" si="14"/>
        <v>5</v>
      </c>
    </row>
    <row r="192" spans="1:20">
      <c r="A192" s="258">
        <f t="shared" si="10"/>
        <v>189</v>
      </c>
      <c r="B192" s="16">
        <f t="shared" si="12"/>
        <v>8223000</v>
      </c>
      <c r="C192" s="36"/>
      <c r="D192" s="37"/>
      <c r="E192" s="37"/>
      <c r="F192" s="37"/>
      <c r="G192" s="37"/>
      <c r="H192" s="37"/>
      <c r="I192" s="37"/>
      <c r="J192" s="37"/>
      <c r="K192" s="37"/>
      <c r="L192" s="35"/>
      <c r="M192" s="36">
        <f>VLOOKUP(A192,Plots!$B$4:$E$39,4)</f>
        <v>150</v>
      </c>
      <c r="N192" s="35">
        <f>VLOOKUP(A192,Garden!$B$4:$D$19,3)</f>
        <v>24</v>
      </c>
      <c r="O192" s="78">
        <f>MIN(4,ROUNDUP(VLOOKUP(A192,Background!$C$3:$D$52,2)/5,0))</f>
        <v>4</v>
      </c>
      <c r="P192" s="195">
        <f t="shared" si="11"/>
        <v>50</v>
      </c>
      <c r="Q192" s="35">
        <f t="shared" si="13"/>
        <v>150</v>
      </c>
      <c r="S192" s="80">
        <f>B191+MAX(Overview!C191*T191,(B191-B190)*1.01)</f>
        <v>8222730</v>
      </c>
      <c r="T192" s="260">
        <f t="shared" si="14"/>
        <v>5</v>
      </c>
    </row>
    <row r="193" spans="1:20">
      <c r="A193" s="258">
        <f t="shared" si="10"/>
        <v>190</v>
      </c>
      <c r="B193" s="16">
        <f t="shared" si="12"/>
        <v>8349000</v>
      </c>
      <c r="C193" s="36"/>
      <c r="D193" s="37"/>
      <c r="E193" s="37"/>
      <c r="F193" s="37"/>
      <c r="G193" s="37"/>
      <c r="H193" s="37"/>
      <c r="I193" s="37"/>
      <c r="J193" s="37"/>
      <c r="K193" s="37"/>
      <c r="L193" s="35"/>
      <c r="M193" s="36">
        <f>VLOOKUP(A193,Plots!$B$4:$E$39,4)</f>
        <v>150</v>
      </c>
      <c r="N193" s="35">
        <f>VLOOKUP(A193,Garden!$B$4:$D$19,3)</f>
        <v>24</v>
      </c>
      <c r="O193" s="78">
        <f>MIN(4,ROUNDUP(VLOOKUP(A193,Background!$C$3:$D$52,2)/5,0))</f>
        <v>4</v>
      </c>
      <c r="P193" s="195">
        <f t="shared" si="11"/>
        <v>50</v>
      </c>
      <c r="Q193" s="35">
        <f t="shared" si="13"/>
        <v>150</v>
      </c>
      <c r="S193" s="80">
        <f>B192+MAX(Overview!C192*T192,(B192-B191)*1.01)</f>
        <v>8348745</v>
      </c>
      <c r="T193" s="260">
        <f t="shared" si="14"/>
        <v>5</v>
      </c>
    </row>
    <row r="194" spans="1:20">
      <c r="A194" s="258">
        <f t="shared" si="10"/>
        <v>191</v>
      </c>
      <c r="B194" s="16">
        <f t="shared" si="12"/>
        <v>8476500</v>
      </c>
      <c r="C194" s="36"/>
      <c r="D194" s="37"/>
      <c r="E194" s="37"/>
      <c r="F194" s="37"/>
      <c r="G194" s="37"/>
      <c r="H194" s="37"/>
      <c r="I194" s="37"/>
      <c r="J194" s="37"/>
      <c r="K194" s="37"/>
      <c r="L194" s="35"/>
      <c r="M194" s="36">
        <f>VLOOKUP(A194,Plots!$B$4:$E$39,4)</f>
        <v>150</v>
      </c>
      <c r="N194" s="35">
        <f>VLOOKUP(A194,Garden!$B$4:$D$19,3)</f>
        <v>24</v>
      </c>
      <c r="O194" s="78">
        <f>MIN(4,ROUNDUP(VLOOKUP(A194,Background!$C$3:$D$52,2)/5,0))</f>
        <v>4</v>
      </c>
      <c r="P194" s="195">
        <f t="shared" si="11"/>
        <v>50</v>
      </c>
      <c r="Q194" s="35">
        <f t="shared" si="13"/>
        <v>150</v>
      </c>
      <c r="S194" s="80">
        <f>B193+MAX(Overview!C193*T193,(B193-B192)*1.01)</f>
        <v>8476260</v>
      </c>
      <c r="T194" s="260">
        <f t="shared" si="14"/>
        <v>5</v>
      </c>
    </row>
    <row r="195" spans="1:20">
      <c r="A195" s="258">
        <f t="shared" si="10"/>
        <v>192</v>
      </c>
      <c r="B195" s="16">
        <f t="shared" si="12"/>
        <v>8605500</v>
      </c>
      <c r="C195" s="36"/>
      <c r="D195" s="37"/>
      <c r="E195" s="37"/>
      <c r="F195" s="37"/>
      <c r="G195" s="37"/>
      <c r="H195" s="37"/>
      <c r="I195" s="37"/>
      <c r="J195" s="37"/>
      <c r="K195" s="37"/>
      <c r="L195" s="35"/>
      <c r="M195" s="36">
        <f>VLOOKUP(A195,Plots!$B$4:$E$39,4)</f>
        <v>150</v>
      </c>
      <c r="N195" s="35">
        <f>VLOOKUP(A195,Garden!$B$4:$D$19,3)</f>
        <v>24</v>
      </c>
      <c r="O195" s="78">
        <f>MIN(4,ROUNDUP(VLOOKUP(A195,Background!$C$3:$D$52,2)/5,0))</f>
        <v>4</v>
      </c>
      <c r="P195" s="195">
        <f t="shared" si="11"/>
        <v>50</v>
      </c>
      <c r="Q195" s="35">
        <f t="shared" si="13"/>
        <v>150</v>
      </c>
      <c r="S195" s="80">
        <f>B194+MAX(Overview!C194*T194,(B194-B193)*1.01)</f>
        <v>8605275</v>
      </c>
      <c r="T195" s="260">
        <f t="shared" si="14"/>
        <v>5</v>
      </c>
    </row>
    <row r="196" spans="1:20">
      <c r="A196" s="258">
        <f t="shared" si="10"/>
        <v>193</v>
      </c>
      <c r="B196" s="16">
        <f t="shared" si="12"/>
        <v>8736000</v>
      </c>
      <c r="C196" s="36"/>
      <c r="D196" s="37"/>
      <c r="E196" s="37"/>
      <c r="F196" s="37"/>
      <c r="G196" s="37"/>
      <c r="H196" s="37"/>
      <c r="I196" s="37"/>
      <c r="J196" s="37"/>
      <c r="K196" s="37"/>
      <c r="L196" s="35"/>
      <c r="M196" s="36">
        <f>VLOOKUP(A196,Plots!$B$4:$E$39,4)</f>
        <v>150</v>
      </c>
      <c r="N196" s="35">
        <f>VLOOKUP(A196,Garden!$B$4:$D$19,3)</f>
        <v>24</v>
      </c>
      <c r="O196" s="78">
        <f>MIN(4,ROUNDUP(VLOOKUP(A196,Background!$C$3:$D$52,2)/5,0))</f>
        <v>4</v>
      </c>
      <c r="P196" s="195">
        <f t="shared" si="11"/>
        <v>50</v>
      </c>
      <c r="Q196" s="35">
        <f t="shared" si="13"/>
        <v>150</v>
      </c>
      <c r="S196" s="80">
        <f>B195+MAX(Overview!C195*T195,(B195-B194)*1.01)</f>
        <v>8735790</v>
      </c>
      <c r="T196" s="260">
        <f t="shared" si="14"/>
        <v>5</v>
      </c>
    </row>
    <row r="197" spans="1:20">
      <c r="A197" s="258">
        <f t="shared" ref="A197:A203" si="15">IF(ISNUMBER(A196),A196,0)+1</f>
        <v>194</v>
      </c>
      <c r="B197" s="16">
        <f t="shared" si="12"/>
        <v>8868000</v>
      </c>
      <c r="C197" s="36"/>
      <c r="D197" s="37"/>
      <c r="E197" s="37"/>
      <c r="F197" s="37"/>
      <c r="G197" s="37"/>
      <c r="H197" s="37"/>
      <c r="I197" s="37"/>
      <c r="J197" s="37"/>
      <c r="K197" s="37"/>
      <c r="L197" s="35"/>
      <c r="M197" s="36">
        <f>VLOOKUP(A197,Plots!$B$4:$E$39,4)</f>
        <v>150</v>
      </c>
      <c r="N197" s="35">
        <f>VLOOKUP(A197,Garden!$B$4:$D$19,3)</f>
        <v>24</v>
      </c>
      <c r="O197" s="78">
        <f>MIN(4,ROUNDUP(VLOOKUP(A197,Background!$C$3:$D$52,2)/5,0))</f>
        <v>4</v>
      </c>
      <c r="P197" s="195">
        <f t="shared" ref="P197:P203" si="16">MIN(50,ROUNDUP(A197/3,0),M197)</f>
        <v>50</v>
      </c>
      <c r="Q197" s="35">
        <f t="shared" si="13"/>
        <v>150</v>
      </c>
      <c r="S197" s="80">
        <f>B196+MAX(Overview!C196*T196,(B196-B195)*1.01)</f>
        <v>8867805</v>
      </c>
      <c r="T197" s="260">
        <f t="shared" si="14"/>
        <v>5</v>
      </c>
    </row>
    <row r="198" spans="1:20">
      <c r="A198" s="258">
        <f t="shared" si="15"/>
        <v>195</v>
      </c>
      <c r="B198" s="16">
        <f t="shared" ref="B198:B203" si="17">IF(S198&lt;10000,ROUND(S198,0),IF(S198&lt;100000,ROUNDUP(S198/100,0)*100,ROUNDUP(S198/500,0)*500))</f>
        <v>9001500</v>
      </c>
      <c r="C198" s="36"/>
      <c r="D198" s="37"/>
      <c r="E198" s="37"/>
      <c r="F198" s="37"/>
      <c r="G198" s="37"/>
      <c r="H198" s="37"/>
      <c r="I198" s="37"/>
      <c r="J198" s="37"/>
      <c r="K198" s="37"/>
      <c r="L198" s="35"/>
      <c r="M198" s="36">
        <f>VLOOKUP(A198,Plots!$B$4:$E$39,4)</f>
        <v>150</v>
      </c>
      <c r="N198" s="35">
        <f>VLOOKUP(A198,Garden!$B$4:$D$19,3)</f>
        <v>24</v>
      </c>
      <c r="O198" s="78">
        <f>MIN(4,ROUNDUP(VLOOKUP(A198,Background!$C$3:$D$52,2)/5,0))</f>
        <v>4</v>
      </c>
      <c r="P198" s="195">
        <f t="shared" si="16"/>
        <v>50</v>
      </c>
      <c r="Q198" s="35">
        <f t="shared" si="13"/>
        <v>150</v>
      </c>
      <c r="S198" s="80">
        <f>B197+MAX(Overview!C197*T197,(B197-B196)*1.01)</f>
        <v>9001320</v>
      </c>
      <c r="T198" s="260">
        <f t="shared" si="14"/>
        <v>5</v>
      </c>
    </row>
    <row r="199" spans="1:20">
      <c r="A199" s="258">
        <f t="shared" si="15"/>
        <v>196</v>
      </c>
      <c r="B199" s="16">
        <f t="shared" si="17"/>
        <v>9136500</v>
      </c>
      <c r="C199" s="36"/>
      <c r="D199" s="37"/>
      <c r="E199" s="37"/>
      <c r="F199" s="37"/>
      <c r="G199" s="37"/>
      <c r="H199" s="37"/>
      <c r="I199" s="37"/>
      <c r="J199" s="37"/>
      <c r="K199" s="37"/>
      <c r="L199" s="35"/>
      <c r="M199" s="36">
        <f>VLOOKUP(A199,Plots!$B$4:$E$39,4)</f>
        <v>150</v>
      </c>
      <c r="N199" s="35">
        <f>VLOOKUP(A199,Garden!$B$4:$D$19,3)</f>
        <v>24</v>
      </c>
      <c r="O199" s="78">
        <f>MIN(4,ROUNDUP(VLOOKUP(A199,Background!$C$3:$D$52,2)/5,0))</f>
        <v>4</v>
      </c>
      <c r="P199" s="195">
        <f t="shared" si="16"/>
        <v>50</v>
      </c>
      <c r="Q199" s="35">
        <f t="shared" si="13"/>
        <v>150</v>
      </c>
      <c r="S199" s="80">
        <f>B198+MAX(Overview!C198*T198,(B198-B197)*1.01)</f>
        <v>9136335</v>
      </c>
      <c r="T199" s="260">
        <f t="shared" si="14"/>
        <v>5</v>
      </c>
    </row>
    <row r="200" spans="1:20">
      <c r="A200" s="258">
        <f t="shared" si="15"/>
        <v>197</v>
      </c>
      <c r="B200" s="16">
        <f t="shared" si="17"/>
        <v>9273000</v>
      </c>
      <c r="C200" s="36"/>
      <c r="D200" s="37"/>
      <c r="E200" s="37"/>
      <c r="F200" s="37"/>
      <c r="G200" s="37"/>
      <c r="H200" s="37"/>
      <c r="I200" s="37"/>
      <c r="J200" s="37"/>
      <c r="K200" s="37"/>
      <c r="L200" s="35"/>
      <c r="M200" s="36">
        <f>VLOOKUP(A200,Plots!$B$4:$E$39,4)</f>
        <v>150</v>
      </c>
      <c r="N200" s="35">
        <f>VLOOKUP(A200,Garden!$B$4:$D$19,3)</f>
        <v>24</v>
      </c>
      <c r="O200" s="78">
        <f>MIN(4,ROUNDUP(VLOOKUP(A200,Background!$C$3:$D$52,2)/5,0))</f>
        <v>4</v>
      </c>
      <c r="P200" s="195">
        <f t="shared" si="16"/>
        <v>50</v>
      </c>
      <c r="Q200" s="35">
        <f t="shared" si="13"/>
        <v>150</v>
      </c>
      <c r="S200" s="80">
        <f>B199+MAX(Overview!C199*T199,(B199-B198)*1.01)</f>
        <v>9272850</v>
      </c>
      <c r="T200" s="260">
        <f t="shared" si="14"/>
        <v>5</v>
      </c>
    </row>
    <row r="201" spans="1:20">
      <c r="A201" s="258">
        <f t="shared" si="15"/>
        <v>198</v>
      </c>
      <c r="B201" s="16">
        <f t="shared" si="17"/>
        <v>9411000</v>
      </c>
      <c r="C201" s="36"/>
      <c r="D201" s="37"/>
      <c r="E201" s="37"/>
      <c r="F201" s="37"/>
      <c r="G201" s="37"/>
      <c r="H201" s="37"/>
      <c r="I201" s="37"/>
      <c r="J201" s="37"/>
      <c r="K201" s="37"/>
      <c r="L201" s="35"/>
      <c r="M201" s="36">
        <f>VLOOKUP(A201,Plots!$B$4:$E$39,4)</f>
        <v>150</v>
      </c>
      <c r="N201" s="35">
        <f>VLOOKUP(A201,Garden!$B$4:$D$19,3)</f>
        <v>24</v>
      </c>
      <c r="O201" s="78">
        <f>MIN(4,ROUNDUP(VLOOKUP(A201,Background!$C$3:$D$52,2)/5,0))</f>
        <v>4</v>
      </c>
      <c r="P201" s="195">
        <f t="shared" si="16"/>
        <v>50</v>
      </c>
      <c r="Q201" s="35">
        <f>MAX(4,MIN(A201,M201))</f>
        <v>150</v>
      </c>
      <c r="S201" s="80">
        <f>B200+MAX(Overview!C200*T200,(B200-B199)*1.01)</f>
        <v>9410865</v>
      </c>
      <c r="T201" s="260">
        <f>MIN(5,MAX(0.1+T200,T200*1.1))</f>
        <v>5</v>
      </c>
    </row>
    <row r="202" spans="1:20">
      <c r="A202" s="258">
        <f t="shared" si="15"/>
        <v>199</v>
      </c>
      <c r="B202" s="16">
        <f t="shared" si="17"/>
        <v>9550500</v>
      </c>
      <c r="C202" s="36"/>
      <c r="D202" s="37"/>
      <c r="E202" s="37"/>
      <c r="F202" s="37"/>
      <c r="G202" s="37"/>
      <c r="H202" s="37"/>
      <c r="I202" s="37"/>
      <c r="J202" s="37"/>
      <c r="K202" s="37"/>
      <c r="L202" s="35"/>
      <c r="M202" s="36">
        <f>VLOOKUP(A202,Plots!$B$4:$E$39,4)</f>
        <v>150</v>
      </c>
      <c r="N202" s="35">
        <f>VLOOKUP(A202,Garden!$B$4:$D$19,3)</f>
        <v>24</v>
      </c>
      <c r="O202" s="78">
        <f>MIN(4,ROUNDUP(VLOOKUP(A202,Background!$C$3:$D$52,2)/5,0))</f>
        <v>4</v>
      </c>
      <c r="P202" s="195">
        <f t="shared" si="16"/>
        <v>50</v>
      </c>
      <c r="Q202" s="35">
        <f>MAX(4,MIN(A202,M202))</f>
        <v>150</v>
      </c>
      <c r="S202" s="80">
        <f>B201+MAX(Overview!C201*T201,(B201-B200)*1.01)</f>
        <v>9550380</v>
      </c>
      <c r="T202" s="260">
        <f>MIN(5,MAX(0.1+T201,T201*1.1))</f>
        <v>5</v>
      </c>
    </row>
    <row r="203" spans="1:20">
      <c r="A203" s="258">
        <f t="shared" si="15"/>
        <v>200</v>
      </c>
      <c r="B203" s="16">
        <f t="shared" si="17"/>
        <v>9691500</v>
      </c>
      <c r="C203" s="36"/>
      <c r="D203" s="37"/>
      <c r="E203" s="37"/>
      <c r="F203" s="37"/>
      <c r="G203" s="37"/>
      <c r="H203" s="37"/>
      <c r="I203" s="37"/>
      <c r="J203" s="37"/>
      <c r="K203" s="37"/>
      <c r="L203" s="35"/>
      <c r="M203" s="36">
        <f>VLOOKUP(A203,Plots!$B$4:$E$39,4)</f>
        <v>150</v>
      </c>
      <c r="N203" s="35">
        <f>VLOOKUP(A203,Garden!$B$4:$D$19,3)</f>
        <v>24</v>
      </c>
      <c r="O203" s="78">
        <f>MIN(4,ROUNDUP(VLOOKUP(A203,Background!$C$3:$D$52,2)/5,0))</f>
        <v>4</v>
      </c>
      <c r="P203" s="195">
        <f t="shared" si="16"/>
        <v>50</v>
      </c>
      <c r="Q203" s="35">
        <f>MAX(4,MIN(A203,M203))</f>
        <v>150</v>
      </c>
      <c r="S203" s="80">
        <f>B202+MAX(Overview!C202*T202,(B202-B201)*1.01)</f>
        <v>9691395</v>
      </c>
      <c r="T203" s="260">
        <f>MIN(5,MAX(0.1+T202,T202*1.1))</f>
        <v>5</v>
      </c>
    </row>
  </sheetData>
  <mergeCells count="7">
    <mergeCell ref="M1:N2"/>
    <mergeCell ref="O1:Q2"/>
    <mergeCell ref="C1:L1"/>
    <mergeCell ref="K2:L2"/>
    <mergeCell ref="I2:J2"/>
    <mergeCell ref="G2:H2"/>
    <mergeCell ref="E2:F2"/>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3" enableFormatConditionsCalculation="0"/>
  <dimension ref="A1:AN53"/>
  <sheetViews>
    <sheetView workbookViewId="0">
      <pane xSplit="2" ySplit="3" topLeftCell="C4" activePane="bottomRight" state="frozen"/>
      <selection pane="topRight" activeCell="C1" sqref="C1"/>
      <selection pane="bottomLeft" activeCell="A3" sqref="A3"/>
      <selection pane="bottomRight" activeCell="I9" sqref="I9"/>
    </sheetView>
  </sheetViews>
  <sheetFormatPr baseColWidth="10" defaultRowHeight="15" x14ac:dyDescent="0"/>
  <cols>
    <col min="2" max="2" width="16.6640625" bestFit="1" customWidth="1"/>
    <col min="5" max="5" width="11.1640625" bestFit="1" customWidth="1"/>
    <col min="6" max="6" width="12.1640625" bestFit="1" customWidth="1"/>
    <col min="7" max="7" width="11" bestFit="1" customWidth="1"/>
    <col min="12" max="12" width="16.33203125" bestFit="1" customWidth="1"/>
    <col min="13" max="13" width="16.6640625" bestFit="1" customWidth="1"/>
    <col min="14" max="14" width="16.33203125" bestFit="1" customWidth="1"/>
    <col min="15" max="15" width="16.6640625" bestFit="1" customWidth="1"/>
    <col min="16" max="16" width="2.33203125" style="50" customWidth="1"/>
    <col min="17" max="17" width="11.33203125" bestFit="1" customWidth="1"/>
    <col min="18" max="18" width="13.6640625" bestFit="1" customWidth="1"/>
    <col min="21" max="21" width="13.5" bestFit="1" customWidth="1"/>
    <col min="22" max="22" width="15.5" bestFit="1" customWidth="1"/>
    <col min="24" max="24" width="12.1640625" bestFit="1" customWidth="1"/>
    <col min="27" max="28" width="10.83203125" bestFit="1" customWidth="1"/>
    <col min="29" max="30" width="13.5" bestFit="1" customWidth="1"/>
    <col min="31" max="31" width="13.5" customWidth="1"/>
    <col min="32" max="32" width="15.33203125" bestFit="1" customWidth="1"/>
    <col min="33" max="33" width="17.6640625" bestFit="1" customWidth="1"/>
    <col min="34" max="35" width="17.6640625" customWidth="1"/>
    <col min="37" max="37" width="12.1640625" bestFit="1" customWidth="1"/>
  </cols>
  <sheetData>
    <row r="1" spans="1:40" ht="16" thickBot="1"/>
    <row r="2" spans="1:40" s="2" customFormat="1">
      <c r="A2" s="354" t="s">
        <v>3</v>
      </c>
      <c r="B2" s="355"/>
      <c r="C2" s="362" t="s">
        <v>4</v>
      </c>
      <c r="D2" s="358"/>
      <c r="E2" s="363"/>
      <c r="F2" s="360" t="s">
        <v>421</v>
      </c>
      <c r="G2" s="360"/>
      <c r="H2" s="355"/>
      <c r="I2" s="358" t="s">
        <v>14</v>
      </c>
      <c r="J2" s="358"/>
      <c r="K2" s="358"/>
      <c r="L2" s="358"/>
      <c r="M2" s="358"/>
      <c r="N2" s="358"/>
      <c r="O2" s="363"/>
      <c r="P2" s="49"/>
      <c r="Q2" s="364" t="s">
        <v>19</v>
      </c>
      <c r="R2" s="364"/>
      <c r="S2" s="364"/>
      <c r="T2" s="364"/>
      <c r="U2" s="364"/>
      <c r="V2" s="364"/>
      <c r="W2" s="364"/>
      <c r="X2" s="364"/>
      <c r="AE2" s="181"/>
      <c r="AF2" s="217"/>
      <c r="AG2" s="217"/>
      <c r="AH2" s="262"/>
      <c r="AI2" s="262"/>
    </row>
    <row r="3" spans="1:40" s="2" customFormat="1" ht="16" thickBot="1">
      <c r="A3" s="3" t="s">
        <v>399</v>
      </c>
      <c r="B3" s="5" t="s">
        <v>17</v>
      </c>
      <c r="C3" s="6" t="s">
        <v>0</v>
      </c>
      <c r="D3" s="104" t="s">
        <v>23</v>
      </c>
      <c r="E3" s="5" t="s">
        <v>2</v>
      </c>
      <c r="F3" s="7" t="s">
        <v>7</v>
      </c>
      <c r="G3" s="7" t="s">
        <v>6</v>
      </c>
      <c r="H3" s="5" t="s">
        <v>8</v>
      </c>
      <c r="I3" s="6" t="s">
        <v>5</v>
      </c>
      <c r="J3" s="7" t="s">
        <v>9</v>
      </c>
      <c r="K3" s="105" t="s">
        <v>207</v>
      </c>
      <c r="L3" s="105" t="s">
        <v>10</v>
      </c>
      <c r="M3" s="105" t="s">
        <v>11</v>
      </c>
      <c r="N3" s="105" t="s">
        <v>12</v>
      </c>
      <c r="O3" s="106" t="s">
        <v>13</v>
      </c>
      <c r="P3" s="49"/>
      <c r="Q3" s="2" t="s">
        <v>243</v>
      </c>
      <c r="R3" s="2" t="s">
        <v>169</v>
      </c>
      <c r="S3" s="2" t="s">
        <v>170</v>
      </c>
      <c r="T3" s="2" t="s">
        <v>171</v>
      </c>
      <c r="U3" s="2" t="s">
        <v>466</v>
      </c>
      <c r="V3" s="2" t="s">
        <v>465</v>
      </c>
      <c r="W3" s="2" t="s">
        <v>172</v>
      </c>
      <c r="X3" s="2" t="s">
        <v>173</v>
      </c>
      <c r="Y3" s="2" t="s">
        <v>174</v>
      </c>
      <c r="Z3" s="2" t="s">
        <v>175</v>
      </c>
      <c r="AA3" s="2" t="s">
        <v>176</v>
      </c>
      <c r="AB3" s="2" t="s">
        <v>177</v>
      </c>
      <c r="AC3" s="2" t="s">
        <v>178</v>
      </c>
      <c r="AD3" s="2" t="s">
        <v>179</v>
      </c>
      <c r="AE3" s="181" t="s">
        <v>244</v>
      </c>
      <c r="AF3" s="217" t="s">
        <v>280</v>
      </c>
      <c r="AG3" s="217" t="s">
        <v>281</v>
      </c>
      <c r="AH3" s="262" t="s">
        <v>467</v>
      </c>
      <c r="AI3" s="262" t="s">
        <v>468</v>
      </c>
      <c r="AJ3" s="2" t="s">
        <v>180</v>
      </c>
      <c r="AK3" s="141" t="s">
        <v>181</v>
      </c>
      <c r="AL3" s="178" t="s">
        <v>200</v>
      </c>
      <c r="AM3" s="178" t="s">
        <v>201</v>
      </c>
      <c r="AN3" s="178" t="s">
        <v>202</v>
      </c>
    </row>
    <row r="4" spans="1:40">
      <c r="A4" s="44">
        <f>IF(ISNUMBER(A3),A3,0)+1</f>
        <v>1</v>
      </c>
      <c r="B4" s="47" t="s">
        <v>119</v>
      </c>
      <c r="C4" s="44">
        <v>1</v>
      </c>
      <c r="D4" s="45"/>
      <c r="E4" s="75">
        <f>G4*2</f>
        <v>10</v>
      </c>
      <c r="F4" s="77">
        <f>ROUNDDOWN(1*(0.95+C4/200)*(1+I4/3400),0)</f>
        <v>1</v>
      </c>
      <c r="G4" s="77">
        <f>IF(ROUNDUP((1*C4^0.3+0.05*(0.99+C4/100)*I4^0.8)/(H4-1),0)&gt;22,ROUNDUP((1*C4^0.3+0.05*(0.99+C4/100)*I4^0.8)/(H4-1)/5,0)*5,ROUNDUP((1*C4^0.3+0.05*(0.99+C4/100)*I4^0.8)/(H4-1),0))</f>
        <v>5</v>
      </c>
      <c r="H4" s="76">
        <f>ROUNDUP(ROUNDUP((1*C4^0.3+0.05*(0.99+C4/100)*I4^0.8)/5,0)*5/499,0)+1</f>
        <v>2</v>
      </c>
      <c r="I4" s="44">
        <v>180</v>
      </c>
      <c r="J4" s="45">
        <v>3600</v>
      </c>
      <c r="K4" s="45" t="s">
        <v>420</v>
      </c>
      <c r="L4" s="45"/>
      <c r="M4" s="45"/>
      <c r="N4" s="45"/>
      <c r="O4" s="47"/>
      <c r="P4" s="130">
        <v>1</v>
      </c>
      <c r="Q4" s="80">
        <f>F4</f>
        <v>1</v>
      </c>
      <c r="R4" s="80">
        <f>G4*(H4-1)</f>
        <v>5</v>
      </c>
      <c r="S4" s="79">
        <f>Q4/(I4/3600)</f>
        <v>20</v>
      </c>
      <c r="T4" s="80">
        <f>R4/(I4/3600)</f>
        <v>100</v>
      </c>
      <c r="U4" s="79">
        <f>SUM(S$4:S4)/$A4</f>
        <v>20</v>
      </c>
      <c r="V4" s="80">
        <f>SUM(T$4:T4)/$A4</f>
        <v>100</v>
      </c>
      <c r="W4" s="79">
        <f>S4</f>
        <v>20</v>
      </c>
      <c r="X4" s="80">
        <f>T4</f>
        <v>100</v>
      </c>
      <c r="Y4" s="138">
        <f>R4/Q4</f>
        <v>5</v>
      </c>
      <c r="Z4" s="138">
        <f>Q4/R4</f>
        <v>0.2</v>
      </c>
      <c r="AA4" s="138">
        <f>SUM(Y$4:Y4)/$A4</f>
        <v>5</v>
      </c>
      <c r="AB4" s="138">
        <f>SUM(Z$4:Z4)/$A4</f>
        <v>0.2</v>
      </c>
      <c r="AC4" s="138">
        <f>Y4</f>
        <v>5</v>
      </c>
      <c r="AD4" s="138">
        <f>Z4</f>
        <v>0.2</v>
      </c>
      <c r="AE4" s="138">
        <f>Z4</f>
        <v>0.2</v>
      </c>
      <c r="AF4" s="80">
        <f>Q4</f>
        <v>1</v>
      </c>
      <c r="AG4" s="80">
        <f>R4</f>
        <v>5</v>
      </c>
      <c r="AH4" s="138">
        <f>SUM(F$4:F4)/SUM(I$4:I4)*3600</f>
        <v>20</v>
      </c>
      <c r="AI4" s="138">
        <f>SUM(R$4:R4)/SUM(I$4:I4)*3600</f>
        <v>100</v>
      </c>
      <c r="AJ4">
        <f>ROUNDUP(I4/Others!$B$2,0)</f>
        <v>1</v>
      </c>
      <c r="AK4">
        <f>ROUNDUP(I4/Others!$B$2,0)*100*1</f>
        <v>100</v>
      </c>
      <c r="AL4" s="182">
        <v>60</v>
      </c>
      <c r="AM4" s="143">
        <f t="shared" ref="AM4:AN24" si="0">AL4/60</f>
        <v>1</v>
      </c>
      <c r="AN4" s="64">
        <f t="shared" si="0"/>
        <v>1.6666666666666666E-2</v>
      </c>
    </row>
    <row r="5" spans="1:40">
      <c r="A5" s="36">
        <f t="shared" ref="A5:A53" si="1">IF(ISNUMBER(A4),A4,0)+1</f>
        <v>2</v>
      </c>
      <c r="B5" s="35" t="s">
        <v>272</v>
      </c>
      <c r="C5" s="36">
        <v>2</v>
      </c>
      <c r="D5" s="37"/>
      <c r="E5" s="76">
        <f>G5*2</f>
        <v>6</v>
      </c>
      <c r="F5" s="77">
        <f t="shared" ref="F5:F25" si="2">ROUNDDOWN(1*(0.95+C5/200)*(1+I5/3400),0)</f>
        <v>0</v>
      </c>
      <c r="G5" s="77">
        <f t="shared" ref="G5:G53" si="3">IF(ROUNDUP((1*C5^0.3+0.05*(0.99+C5/100)*I5^0.8)/(H5-1),0)&gt;22,ROUNDUP((1*C5^0.3+0.05*(0.99+C5/100)*I5^0.8)/(H5-1)/5,0)*5,ROUNDUP((1*C5^0.3+0.05*(0.99+C5/100)*I5^0.8)/(H5-1),0))</f>
        <v>3</v>
      </c>
      <c r="H5" s="76">
        <f t="shared" ref="H5:H53" si="4">ROUNDUP(ROUNDUP((1*C5^0.3+0.05*(0.99+C5/100)*I5^0.8)/5,0)*5/499,0)+1</f>
        <v>2</v>
      </c>
      <c r="I5" s="36">
        <v>60</v>
      </c>
      <c r="J5" s="37">
        <v>3600</v>
      </c>
      <c r="K5" s="37" t="s">
        <v>420</v>
      </c>
      <c r="L5" s="37"/>
      <c r="M5" s="37"/>
      <c r="N5" s="37"/>
      <c r="O5" s="35"/>
      <c r="P5" s="130">
        <f>P4+1</f>
        <v>2</v>
      </c>
      <c r="Q5" s="80">
        <f t="shared" ref="Q5:Q53" si="5">F5</f>
        <v>0</v>
      </c>
      <c r="R5" s="80">
        <f t="shared" ref="R5:R47" si="6">G5*(H5-1)</f>
        <v>3</v>
      </c>
      <c r="S5" s="79">
        <f t="shared" ref="S5:S47" si="7">Q5/(I5/3600)</f>
        <v>0</v>
      </c>
      <c r="T5" s="80">
        <f t="shared" ref="T5:T47" si="8">R5/(I5/3600)</f>
        <v>180</v>
      </c>
      <c r="U5" s="79">
        <f>SUM(S$4:S5)/A5</f>
        <v>10</v>
      </c>
      <c r="V5" s="80">
        <f>SUM(T$4:T5)/A5</f>
        <v>140</v>
      </c>
      <c r="W5" s="79">
        <f>IF(W4&gt;S5,W4,S5)</f>
        <v>20</v>
      </c>
      <c r="X5" s="80">
        <f>IF(X4&gt;T5,X4,T5)</f>
        <v>180</v>
      </c>
      <c r="Y5" s="138">
        <f>IF(Q5&gt;0,R5/Q5,AA4)</f>
        <v>5</v>
      </c>
      <c r="Z5" s="138">
        <f t="shared" ref="Z5:Z53" si="9">Q5/R5</f>
        <v>0</v>
      </c>
      <c r="AA5" s="138">
        <f>SUM(Y$4:Y5)/$A5</f>
        <v>5</v>
      </c>
      <c r="AB5" s="138">
        <f>SUM(Z$4:Z5)/$A5</f>
        <v>0.1</v>
      </c>
      <c r="AC5" s="138">
        <f>IF(AC4&gt;Y5,AC4,Y5)</f>
        <v>5</v>
      </c>
      <c r="AD5" s="138">
        <f>IF(AD4&gt;Z5,AD4,Z5)</f>
        <v>0.2</v>
      </c>
      <c r="AE5" s="138">
        <f>IF(AE4&lt;Z5,AE4,Z5)</f>
        <v>0</v>
      </c>
      <c r="AF5" s="80">
        <f>IF(Q5&gt;AF4,Q5,AF4)</f>
        <v>1</v>
      </c>
      <c r="AG5" s="80">
        <f>IF(R5&gt;AG4,R5,AG4)</f>
        <v>5</v>
      </c>
      <c r="AH5" s="138">
        <f>SUM(F$4:F5)/SUM(I$4:I5)*3600</f>
        <v>15</v>
      </c>
      <c r="AI5" s="138">
        <f>SUM(R$4:R5)/SUM(I$4:I5)*3600</f>
        <v>120</v>
      </c>
      <c r="AJ5">
        <f>ROUNDUP(I5/Others!$B$2,0)</f>
        <v>1</v>
      </c>
      <c r="AK5">
        <f>ROUNDUP(I5/Others!$B$2,0)*100*1</f>
        <v>100</v>
      </c>
      <c r="AL5" s="183">
        <v>300</v>
      </c>
      <c r="AM5" s="143">
        <f t="shared" si="0"/>
        <v>5</v>
      </c>
      <c r="AN5" s="64">
        <f t="shared" si="0"/>
        <v>8.3333333333333329E-2</v>
      </c>
    </row>
    <row r="6" spans="1:40">
      <c r="A6" s="36">
        <f t="shared" si="1"/>
        <v>3</v>
      </c>
      <c r="B6" s="35" t="s">
        <v>271</v>
      </c>
      <c r="C6" s="36">
        <v>1</v>
      </c>
      <c r="D6" s="37"/>
      <c r="E6" s="76">
        <f t="shared" ref="E6:E47" si="10">G6*2</f>
        <v>80</v>
      </c>
      <c r="F6" s="77">
        <f t="shared" si="2"/>
        <v>1</v>
      </c>
      <c r="G6" s="77">
        <f t="shared" si="3"/>
        <v>40</v>
      </c>
      <c r="H6" s="76">
        <f t="shared" si="4"/>
        <v>2</v>
      </c>
      <c r="I6" s="36">
        <v>3600</v>
      </c>
      <c r="J6" s="37">
        <v>3600</v>
      </c>
      <c r="K6" s="37" t="s">
        <v>420</v>
      </c>
      <c r="L6" s="37"/>
      <c r="M6" s="37"/>
      <c r="N6" s="37"/>
      <c r="O6" s="35"/>
      <c r="P6" s="130">
        <f t="shared" ref="P6:P53" si="11">P5+1</f>
        <v>3</v>
      </c>
      <c r="Q6" s="80">
        <f t="shared" si="5"/>
        <v>1</v>
      </c>
      <c r="R6" s="80">
        <f t="shared" si="6"/>
        <v>40</v>
      </c>
      <c r="S6" s="79">
        <f t="shared" si="7"/>
        <v>1</v>
      </c>
      <c r="T6" s="80">
        <f t="shared" si="8"/>
        <v>40</v>
      </c>
      <c r="U6" s="79">
        <f>SUM(S$4:S6)/A6</f>
        <v>7</v>
      </c>
      <c r="V6" s="80">
        <f>SUM(T$4:T6)/A6</f>
        <v>106.66666666666667</v>
      </c>
      <c r="W6" s="79">
        <f t="shared" ref="W6:W47" si="12">IF(W5&gt;S6,W5,S6)</f>
        <v>20</v>
      </c>
      <c r="X6" s="80">
        <f t="shared" ref="X6:X47" si="13">IF(X5&gt;T6,X5,T6)</f>
        <v>180</v>
      </c>
      <c r="Y6" s="138">
        <f t="shared" ref="Y6:Y53" si="14">R6/Q6</f>
        <v>40</v>
      </c>
      <c r="Z6" s="138">
        <f t="shared" si="9"/>
        <v>2.5000000000000001E-2</v>
      </c>
      <c r="AA6" s="138">
        <f>SUM(Y$4:Y6)/$A6</f>
        <v>16.666666666666668</v>
      </c>
      <c r="AB6" s="138">
        <f>SUM(Z$4:Z6)/$A6</f>
        <v>7.4999999999999997E-2</v>
      </c>
      <c r="AC6" s="138">
        <f t="shared" ref="AC6:AC53" si="15">IF(AC5&gt;Y6,AC5,Y6)</f>
        <v>40</v>
      </c>
      <c r="AD6" s="138">
        <f t="shared" ref="AD6:AD53" si="16">IF(AD5&gt;Z6,AD5,Z6)</f>
        <v>0.2</v>
      </c>
      <c r="AE6" s="138">
        <f t="shared" ref="AE6:AE53" si="17">IF(AE5&lt;Z6,AE5,Z6)</f>
        <v>0</v>
      </c>
      <c r="AF6" s="80">
        <f t="shared" ref="AF6:AF53" si="18">IF(Q6&gt;AF5,Q6,AF5)</f>
        <v>1</v>
      </c>
      <c r="AG6" s="80">
        <f t="shared" ref="AG6:AG53" si="19">IF(R6&gt;AG5,R6,AG5)</f>
        <v>40</v>
      </c>
      <c r="AH6" s="138">
        <f>SUM(F$4:F6)/SUM(I$4:I6)*3600</f>
        <v>1.875</v>
      </c>
      <c r="AI6" s="138">
        <f>SUM(R$4:R6)/SUM(I$4:I6)*3600</f>
        <v>45</v>
      </c>
      <c r="AJ6">
        <f>ROUNDUP(I6/Others!$B$2,0)</f>
        <v>1</v>
      </c>
      <c r="AK6">
        <f>ROUNDUP(I6/Others!$B$2,0)*100*1</f>
        <v>100</v>
      </c>
      <c r="AL6" s="182">
        <v>600</v>
      </c>
      <c r="AM6" s="143">
        <f t="shared" si="0"/>
        <v>10</v>
      </c>
      <c r="AN6" s="64">
        <f t="shared" si="0"/>
        <v>0.16666666666666666</v>
      </c>
    </row>
    <row r="7" spans="1:40">
      <c r="A7" s="36">
        <f t="shared" si="1"/>
        <v>4</v>
      </c>
      <c r="B7" s="35" t="s">
        <v>287</v>
      </c>
      <c r="C7" s="36">
        <v>5</v>
      </c>
      <c r="D7" s="37"/>
      <c r="E7" s="76">
        <f t="shared" si="10"/>
        <v>230</v>
      </c>
      <c r="F7" s="77">
        <f t="shared" si="2"/>
        <v>5</v>
      </c>
      <c r="G7" s="77">
        <f t="shared" si="3"/>
        <v>115</v>
      </c>
      <c r="H7" s="76">
        <f t="shared" si="4"/>
        <v>2</v>
      </c>
      <c r="I7" s="36">
        <v>14400</v>
      </c>
      <c r="J7" s="37">
        <v>3600</v>
      </c>
      <c r="K7" s="37" t="s">
        <v>420</v>
      </c>
      <c r="L7" s="37"/>
      <c r="M7" s="37"/>
      <c r="N7" s="37"/>
      <c r="O7" s="35"/>
      <c r="P7" s="130">
        <f t="shared" si="11"/>
        <v>4</v>
      </c>
      <c r="Q7" s="80">
        <f t="shared" si="5"/>
        <v>5</v>
      </c>
      <c r="R7" s="80">
        <f t="shared" si="6"/>
        <v>115</v>
      </c>
      <c r="S7" s="79">
        <f t="shared" si="7"/>
        <v>1.25</v>
      </c>
      <c r="T7" s="80">
        <f t="shared" si="8"/>
        <v>28.75</v>
      </c>
      <c r="U7" s="79">
        <f>SUM(S$4:S7)/A7</f>
        <v>5.5625</v>
      </c>
      <c r="V7" s="80">
        <f>SUM(T$4:T7)/A7</f>
        <v>87.1875</v>
      </c>
      <c r="W7" s="79">
        <f t="shared" si="12"/>
        <v>20</v>
      </c>
      <c r="X7" s="80">
        <f t="shared" si="13"/>
        <v>180</v>
      </c>
      <c r="Y7" s="138">
        <f t="shared" si="14"/>
        <v>23</v>
      </c>
      <c r="Z7" s="138">
        <f t="shared" si="9"/>
        <v>4.3478260869565216E-2</v>
      </c>
      <c r="AA7" s="138">
        <f>SUM(Y$4:Y7)/$A7</f>
        <v>18.25</v>
      </c>
      <c r="AB7" s="138">
        <f>SUM(Z$4:Z7)/$A7</f>
        <v>6.7119565217391305E-2</v>
      </c>
      <c r="AC7" s="138">
        <f t="shared" si="15"/>
        <v>40</v>
      </c>
      <c r="AD7" s="138">
        <f t="shared" si="16"/>
        <v>0.2</v>
      </c>
      <c r="AE7" s="138">
        <f t="shared" si="17"/>
        <v>0</v>
      </c>
      <c r="AF7" s="80">
        <f t="shared" si="18"/>
        <v>5</v>
      </c>
      <c r="AG7" s="80">
        <f t="shared" si="19"/>
        <v>115</v>
      </c>
      <c r="AH7" s="138">
        <f>SUM(F$4:F7)/SUM(I$4:I7)*3600</f>
        <v>1.381578947368421</v>
      </c>
      <c r="AI7" s="138">
        <f>SUM(R$4:R7)/SUM(I$4:I7)*3600</f>
        <v>32.171052631578945</v>
      </c>
      <c r="AJ7">
        <f>ROUNDUP(I7/Others!$B$2,0)</f>
        <v>4</v>
      </c>
      <c r="AK7">
        <f>ROUNDUP(I7/Others!$B$2,0)*100*1</f>
        <v>400</v>
      </c>
      <c r="AL7" s="182">
        <v>900</v>
      </c>
      <c r="AM7" s="143">
        <f t="shared" si="0"/>
        <v>15</v>
      </c>
      <c r="AN7" s="64">
        <f t="shared" si="0"/>
        <v>0.25</v>
      </c>
    </row>
    <row r="8" spans="1:40">
      <c r="A8" s="36">
        <f t="shared" si="1"/>
        <v>5</v>
      </c>
      <c r="B8" s="251" t="s">
        <v>350</v>
      </c>
      <c r="C8" s="36">
        <v>6</v>
      </c>
      <c r="D8" s="37"/>
      <c r="E8" s="76">
        <f t="shared" si="10"/>
        <v>400</v>
      </c>
      <c r="F8" s="77">
        <f t="shared" si="2"/>
        <v>9</v>
      </c>
      <c r="G8" s="77">
        <f t="shared" si="3"/>
        <v>200</v>
      </c>
      <c r="H8" s="76">
        <f t="shared" si="4"/>
        <v>2</v>
      </c>
      <c r="I8" s="36">
        <v>28800</v>
      </c>
      <c r="J8" s="37">
        <v>3600</v>
      </c>
      <c r="K8" s="37" t="s">
        <v>420</v>
      </c>
      <c r="L8" s="37"/>
      <c r="M8" s="37"/>
      <c r="N8" s="37"/>
      <c r="O8" s="35"/>
      <c r="P8" s="130">
        <f t="shared" si="11"/>
        <v>5</v>
      </c>
      <c r="Q8" s="80">
        <f t="shared" si="5"/>
        <v>9</v>
      </c>
      <c r="R8" s="80">
        <f t="shared" si="6"/>
        <v>200</v>
      </c>
      <c r="S8" s="79">
        <f t="shared" si="7"/>
        <v>1.125</v>
      </c>
      <c r="T8" s="80">
        <f t="shared" si="8"/>
        <v>25</v>
      </c>
      <c r="U8" s="79">
        <f>SUM(S$4:S8)/A8</f>
        <v>4.6749999999999998</v>
      </c>
      <c r="V8" s="80">
        <f>SUM(T$4:T8)/A8</f>
        <v>74.75</v>
      </c>
      <c r="W8" s="79">
        <f t="shared" si="12"/>
        <v>20</v>
      </c>
      <c r="X8" s="80">
        <f t="shared" si="13"/>
        <v>180</v>
      </c>
      <c r="Y8" s="138">
        <f t="shared" si="14"/>
        <v>22.222222222222221</v>
      </c>
      <c r="Z8" s="138">
        <f t="shared" si="9"/>
        <v>4.4999999999999998E-2</v>
      </c>
      <c r="AA8" s="138">
        <f>SUM(Y$4:Y8)/$A8</f>
        <v>19.044444444444444</v>
      </c>
      <c r="AB8" s="138">
        <f>SUM(Z$4:Z8)/$A8</f>
        <v>6.2695652173913041E-2</v>
      </c>
      <c r="AC8" s="138">
        <f t="shared" si="15"/>
        <v>40</v>
      </c>
      <c r="AD8" s="138">
        <f t="shared" si="16"/>
        <v>0.2</v>
      </c>
      <c r="AE8" s="138">
        <f t="shared" si="17"/>
        <v>0</v>
      </c>
      <c r="AF8" s="80">
        <f t="shared" si="18"/>
        <v>9</v>
      </c>
      <c r="AG8" s="80">
        <f t="shared" si="19"/>
        <v>200</v>
      </c>
      <c r="AH8" s="138">
        <f>SUM(F$4:F8)/SUM(I$4:I8)*3600</f>
        <v>1.2244897959183672</v>
      </c>
      <c r="AI8" s="138">
        <f>SUM(R$4:R8)/SUM(I$4:I8)*3600</f>
        <v>27.780612244897959</v>
      </c>
      <c r="AJ8">
        <f>ROUNDUP(I8/Others!$B$2,0)</f>
        <v>8</v>
      </c>
      <c r="AK8">
        <f>ROUNDUP(I8/Others!$B$2,0)*100*1</f>
        <v>800</v>
      </c>
      <c r="AL8" s="184">
        <v>1800</v>
      </c>
      <c r="AM8" s="143">
        <f t="shared" si="0"/>
        <v>30</v>
      </c>
      <c r="AN8" s="64">
        <f t="shared" si="0"/>
        <v>0.5</v>
      </c>
    </row>
    <row r="9" spans="1:40">
      <c r="A9" s="36">
        <f t="shared" si="1"/>
        <v>6</v>
      </c>
      <c r="B9" s="249" t="s">
        <v>351</v>
      </c>
      <c r="C9" s="36">
        <v>9</v>
      </c>
      <c r="D9" s="37"/>
      <c r="E9" s="76">
        <f t="shared" si="10"/>
        <v>560</v>
      </c>
      <c r="F9" s="77">
        <f t="shared" si="2"/>
        <v>13</v>
      </c>
      <c r="G9" s="77">
        <f t="shared" si="3"/>
        <v>280</v>
      </c>
      <c r="H9" s="76">
        <f t="shared" si="4"/>
        <v>2</v>
      </c>
      <c r="I9" s="36">
        <v>43200</v>
      </c>
      <c r="J9" s="37">
        <v>3600</v>
      </c>
      <c r="K9" s="37" t="s">
        <v>420</v>
      </c>
      <c r="L9" s="37"/>
      <c r="M9" s="37"/>
      <c r="N9" s="37"/>
      <c r="O9" s="35"/>
      <c r="P9" s="130">
        <f t="shared" si="11"/>
        <v>6</v>
      </c>
      <c r="Q9" s="80">
        <f t="shared" si="5"/>
        <v>13</v>
      </c>
      <c r="R9" s="80">
        <f t="shared" si="6"/>
        <v>280</v>
      </c>
      <c r="S9" s="79">
        <f t="shared" si="7"/>
        <v>1.0833333333333333</v>
      </c>
      <c r="T9" s="80">
        <f t="shared" si="8"/>
        <v>23.333333333333332</v>
      </c>
      <c r="U9" s="79">
        <f>SUM(S$4:S9)/A9</f>
        <v>4.0763888888888884</v>
      </c>
      <c r="V9" s="80">
        <f>SUM(T$4:T9)/A9</f>
        <v>66.180555555555557</v>
      </c>
      <c r="W9" s="79">
        <f t="shared" si="12"/>
        <v>20</v>
      </c>
      <c r="X9" s="80">
        <f t="shared" si="13"/>
        <v>180</v>
      </c>
      <c r="Y9" s="138">
        <f t="shared" si="14"/>
        <v>21.53846153846154</v>
      </c>
      <c r="Z9" s="138">
        <f t="shared" si="9"/>
        <v>4.642857142857143E-2</v>
      </c>
      <c r="AA9" s="138">
        <f>SUM(Y$4:Y9)/$A9</f>
        <v>19.460113960113961</v>
      </c>
      <c r="AB9" s="138">
        <f>SUM(Z$4:Z9)/$A9</f>
        <v>5.9984472049689437E-2</v>
      </c>
      <c r="AC9" s="138">
        <f t="shared" si="15"/>
        <v>40</v>
      </c>
      <c r="AD9" s="138">
        <f t="shared" si="16"/>
        <v>0.2</v>
      </c>
      <c r="AE9" s="138">
        <f t="shared" si="17"/>
        <v>0</v>
      </c>
      <c r="AF9" s="80">
        <f t="shared" si="18"/>
        <v>13</v>
      </c>
      <c r="AG9" s="80">
        <f t="shared" si="19"/>
        <v>280</v>
      </c>
      <c r="AH9" s="138">
        <f>SUM(F$4:F9)/SUM(I$4:I9)*3600</f>
        <v>1.1569148936170213</v>
      </c>
      <c r="AI9" s="138">
        <f>SUM(R$4:R9)/SUM(I$4:I9)*3600</f>
        <v>25.651595744680851</v>
      </c>
      <c r="AJ9">
        <f>ROUNDUP(I9/Others!$B$2,0)</f>
        <v>12</v>
      </c>
      <c r="AK9">
        <f>ROUNDUP(I9/Others!$B$2,0)*100*1</f>
        <v>1200</v>
      </c>
      <c r="AL9" s="183">
        <v>3600</v>
      </c>
      <c r="AM9" s="143">
        <f t="shared" si="0"/>
        <v>60</v>
      </c>
      <c r="AN9" s="64">
        <f t="shared" si="0"/>
        <v>1</v>
      </c>
    </row>
    <row r="10" spans="1:40">
      <c r="A10" s="36">
        <f t="shared" si="1"/>
        <v>7</v>
      </c>
      <c r="B10" s="250" t="s">
        <v>352</v>
      </c>
      <c r="C10" s="36">
        <v>11</v>
      </c>
      <c r="D10" s="37"/>
      <c r="E10" s="76">
        <f t="shared" si="10"/>
        <v>330</v>
      </c>
      <c r="F10" s="77">
        <f t="shared" si="2"/>
        <v>7</v>
      </c>
      <c r="G10" s="77">
        <f t="shared" si="3"/>
        <v>165</v>
      </c>
      <c r="H10" s="76">
        <f t="shared" si="4"/>
        <v>2</v>
      </c>
      <c r="I10" s="36">
        <v>21600</v>
      </c>
      <c r="J10" s="37">
        <v>3600</v>
      </c>
      <c r="K10" s="37" t="s">
        <v>420</v>
      </c>
      <c r="L10" s="37"/>
      <c r="M10" s="37"/>
      <c r="N10" s="37"/>
      <c r="O10" s="35"/>
      <c r="P10" s="130">
        <f t="shared" si="11"/>
        <v>7</v>
      </c>
      <c r="Q10" s="80">
        <f t="shared" si="5"/>
        <v>7</v>
      </c>
      <c r="R10" s="80">
        <f t="shared" si="6"/>
        <v>165</v>
      </c>
      <c r="S10" s="79">
        <f t="shared" si="7"/>
        <v>1.1666666666666667</v>
      </c>
      <c r="T10" s="80">
        <f t="shared" si="8"/>
        <v>27.5</v>
      </c>
      <c r="U10" s="79">
        <f>SUM(S$4:S10)/A10</f>
        <v>3.6607142857142856</v>
      </c>
      <c r="V10" s="80">
        <f>SUM(T$4:T10)/A10</f>
        <v>60.654761904761905</v>
      </c>
      <c r="W10" s="79">
        <f t="shared" si="12"/>
        <v>20</v>
      </c>
      <c r="X10" s="80">
        <f t="shared" si="13"/>
        <v>180</v>
      </c>
      <c r="Y10" s="138">
        <f t="shared" si="14"/>
        <v>23.571428571428573</v>
      </c>
      <c r="Z10" s="138">
        <f t="shared" si="9"/>
        <v>4.2424242424242427E-2</v>
      </c>
      <c r="AA10" s="138">
        <f>SUM(Y$4:Y10)/$A10</f>
        <v>20.047444618873193</v>
      </c>
      <c r="AB10" s="138">
        <f>SUM(Z$4:Z10)/$A10</f>
        <v>5.747586781748272E-2</v>
      </c>
      <c r="AC10" s="138">
        <f t="shared" si="15"/>
        <v>40</v>
      </c>
      <c r="AD10" s="138">
        <f t="shared" si="16"/>
        <v>0.2</v>
      </c>
      <c r="AE10" s="138">
        <f t="shared" si="17"/>
        <v>0</v>
      </c>
      <c r="AF10" s="80">
        <f t="shared" si="18"/>
        <v>13</v>
      </c>
      <c r="AG10" s="80">
        <f t="shared" si="19"/>
        <v>280</v>
      </c>
      <c r="AH10" s="138">
        <f>SUM(F$4:F10)/SUM(I$4:I10)*3600</f>
        <v>1.1587982832618027</v>
      </c>
      <c r="AI10" s="138">
        <f>SUM(R$4:R10)/SUM(I$4:I10)*3600</f>
        <v>26.008583690987123</v>
      </c>
      <c r="AJ10">
        <f>ROUNDUP(I10/Others!$B$2,0)</f>
        <v>6</v>
      </c>
      <c r="AK10">
        <f>ROUNDUP(I10/Others!$B$2,0)*100*1</f>
        <v>600</v>
      </c>
      <c r="AL10" s="184">
        <v>7200</v>
      </c>
      <c r="AM10" s="143">
        <f t="shared" si="0"/>
        <v>120</v>
      </c>
      <c r="AN10" s="64">
        <f t="shared" si="0"/>
        <v>2</v>
      </c>
    </row>
    <row r="11" spans="1:40">
      <c r="A11" s="36">
        <f t="shared" si="1"/>
        <v>8</v>
      </c>
      <c r="B11" s="249" t="s">
        <v>353</v>
      </c>
      <c r="C11" s="36">
        <v>13</v>
      </c>
      <c r="D11" s="37"/>
      <c r="E11" s="76">
        <f t="shared" si="10"/>
        <v>340</v>
      </c>
      <c r="F11" s="77">
        <f t="shared" si="2"/>
        <v>7</v>
      </c>
      <c r="G11" s="77">
        <f t="shared" si="3"/>
        <v>170</v>
      </c>
      <c r="H11" s="76">
        <f t="shared" si="4"/>
        <v>2</v>
      </c>
      <c r="I11" s="36">
        <v>21600</v>
      </c>
      <c r="J11" s="37">
        <v>3600</v>
      </c>
      <c r="K11" s="37" t="s">
        <v>420</v>
      </c>
      <c r="L11" s="37"/>
      <c r="M11" s="37"/>
      <c r="N11" s="37"/>
      <c r="O11" s="35"/>
      <c r="P11" s="130">
        <f t="shared" si="11"/>
        <v>8</v>
      </c>
      <c r="Q11" s="80">
        <f t="shared" si="5"/>
        <v>7</v>
      </c>
      <c r="R11" s="80">
        <f t="shared" si="6"/>
        <v>170</v>
      </c>
      <c r="S11" s="79">
        <f t="shared" si="7"/>
        <v>1.1666666666666667</v>
      </c>
      <c r="T11" s="80">
        <f t="shared" si="8"/>
        <v>28.333333333333332</v>
      </c>
      <c r="U11" s="79">
        <f>SUM(S$4:S11)/A11</f>
        <v>3.3489583333333335</v>
      </c>
      <c r="V11" s="80">
        <f>SUM(T$4:T11)/A11</f>
        <v>56.614583333333329</v>
      </c>
      <c r="W11" s="79">
        <f t="shared" si="12"/>
        <v>20</v>
      </c>
      <c r="X11" s="80">
        <f t="shared" si="13"/>
        <v>180</v>
      </c>
      <c r="Y11" s="138">
        <f t="shared" si="14"/>
        <v>24.285714285714285</v>
      </c>
      <c r="Z11" s="138">
        <f t="shared" si="9"/>
        <v>4.1176470588235294E-2</v>
      </c>
      <c r="AA11" s="138">
        <f>SUM(Y$4:Y11)/$A11</f>
        <v>20.57722832722833</v>
      </c>
      <c r="AB11" s="138">
        <f>SUM(Z$4:Z11)/$A11</f>
        <v>5.5438443163826796E-2</v>
      </c>
      <c r="AC11" s="138">
        <f t="shared" si="15"/>
        <v>40</v>
      </c>
      <c r="AD11" s="138">
        <f t="shared" si="16"/>
        <v>0.2</v>
      </c>
      <c r="AE11" s="138">
        <f t="shared" si="17"/>
        <v>0</v>
      </c>
      <c r="AF11" s="80">
        <f t="shared" si="18"/>
        <v>13</v>
      </c>
      <c r="AG11" s="80">
        <f t="shared" si="19"/>
        <v>280</v>
      </c>
      <c r="AH11" s="138">
        <f>SUM(F$4:F11)/SUM(I$4:I11)*3600</f>
        <v>1.1600719424460433</v>
      </c>
      <c r="AI11" s="138">
        <f>SUM(R$4:R11)/SUM(I$4:I11)*3600</f>
        <v>26.384892086330936</v>
      </c>
      <c r="AJ11">
        <f>ROUNDUP(I11/Others!$B$2,0)</f>
        <v>6</v>
      </c>
      <c r="AK11">
        <f>ROUNDUP(I11/Others!$B$2,0)*100*1</f>
        <v>600</v>
      </c>
      <c r="AL11" s="184">
        <v>10800</v>
      </c>
      <c r="AM11" s="143">
        <f t="shared" si="0"/>
        <v>180</v>
      </c>
      <c r="AN11" s="64">
        <f t="shared" si="0"/>
        <v>3</v>
      </c>
    </row>
    <row r="12" spans="1:40">
      <c r="A12" s="36">
        <f t="shared" si="1"/>
        <v>9</v>
      </c>
      <c r="B12" s="249" t="s">
        <v>354</v>
      </c>
      <c r="C12" s="36">
        <v>15</v>
      </c>
      <c r="D12" s="37"/>
      <c r="E12" s="76">
        <f t="shared" si="10"/>
        <v>340</v>
      </c>
      <c r="F12" s="77">
        <f t="shared" si="2"/>
        <v>7</v>
      </c>
      <c r="G12" s="77">
        <f t="shared" si="3"/>
        <v>170</v>
      </c>
      <c r="H12" s="76">
        <f t="shared" si="4"/>
        <v>2</v>
      </c>
      <c r="I12" s="36">
        <v>21600</v>
      </c>
      <c r="J12" s="37">
        <v>3600</v>
      </c>
      <c r="K12" s="37" t="s">
        <v>420</v>
      </c>
      <c r="L12" s="37"/>
      <c r="M12" s="37"/>
      <c r="N12" s="37"/>
      <c r="O12" s="35"/>
      <c r="P12" s="130">
        <f t="shared" si="11"/>
        <v>9</v>
      </c>
      <c r="Q12" s="80">
        <f t="shared" si="5"/>
        <v>7</v>
      </c>
      <c r="R12" s="80">
        <f t="shared" si="6"/>
        <v>170</v>
      </c>
      <c r="S12" s="79">
        <f t="shared" si="7"/>
        <v>1.1666666666666667</v>
      </c>
      <c r="T12" s="80">
        <f t="shared" si="8"/>
        <v>28.333333333333332</v>
      </c>
      <c r="U12" s="79">
        <f>SUM(S$4:S12)/A12</f>
        <v>3.1064814814814818</v>
      </c>
      <c r="V12" s="80">
        <f>SUM(T$4:T12)/A12</f>
        <v>53.472222222222214</v>
      </c>
      <c r="W12" s="79">
        <f t="shared" si="12"/>
        <v>20</v>
      </c>
      <c r="X12" s="80">
        <f t="shared" si="13"/>
        <v>180</v>
      </c>
      <c r="Y12" s="138">
        <f t="shared" si="14"/>
        <v>24.285714285714285</v>
      </c>
      <c r="Z12" s="138">
        <f t="shared" si="9"/>
        <v>4.1176470588235294E-2</v>
      </c>
      <c r="AA12" s="138">
        <f>SUM(Y$4:Y12)/$A12</f>
        <v>20.989282322615658</v>
      </c>
      <c r="AB12" s="138">
        <f>SUM(Z$4:Z12)/$A12</f>
        <v>5.3853779544316631E-2</v>
      </c>
      <c r="AC12" s="138">
        <f t="shared" si="15"/>
        <v>40</v>
      </c>
      <c r="AD12" s="138">
        <f t="shared" si="16"/>
        <v>0.2</v>
      </c>
      <c r="AE12" s="138">
        <f t="shared" si="17"/>
        <v>0</v>
      </c>
      <c r="AF12" s="80">
        <f t="shared" si="18"/>
        <v>13</v>
      </c>
      <c r="AG12" s="80">
        <f t="shared" si="19"/>
        <v>280</v>
      </c>
      <c r="AH12" s="138">
        <f>SUM(F$4:F12)/SUM(I$4:I12)*3600</f>
        <v>1.1609907120743035</v>
      </c>
      <c r="AI12" s="138">
        <f>SUM(R$4:R12)/SUM(I$4:I12)*3600</f>
        <v>26.656346749226007</v>
      </c>
      <c r="AJ12">
        <f>ROUNDUP(I12/Others!$B$2,0)</f>
        <v>6</v>
      </c>
      <c r="AK12">
        <f>ROUNDUP(I12/Others!$B$2,0)*100*1</f>
        <v>600</v>
      </c>
      <c r="AL12" s="183">
        <v>14400</v>
      </c>
      <c r="AM12" s="143">
        <f t="shared" si="0"/>
        <v>240</v>
      </c>
      <c r="AN12" s="64">
        <f t="shared" si="0"/>
        <v>4</v>
      </c>
    </row>
    <row r="13" spans="1:40">
      <c r="A13" s="36">
        <f t="shared" si="1"/>
        <v>10</v>
      </c>
      <c r="B13" s="249" t="s">
        <v>355</v>
      </c>
      <c r="C13" s="36">
        <v>17</v>
      </c>
      <c r="D13" s="37"/>
      <c r="E13" s="76">
        <f t="shared" si="10"/>
        <v>350</v>
      </c>
      <c r="F13" s="77">
        <f t="shared" si="2"/>
        <v>7</v>
      </c>
      <c r="G13" s="77">
        <f t="shared" si="3"/>
        <v>175</v>
      </c>
      <c r="H13" s="76">
        <f t="shared" si="4"/>
        <v>2</v>
      </c>
      <c r="I13" s="36">
        <v>21600</v>
      </c>
      <c r="J13" s="37">
        <v>3600</v>
      </c>
      <c r="K13" s="37" t="s">
        <v>420</v>
      </c>
      <c r="L13" s="37"/>
      <c r="M13" s="37"/>
      <c r="N13" s="37"/>
      <c r="O13" s="35"/>
      <c r="P13" s="130">
        <f t="shared" si="11"/>
        <v>10</v>
      </c>
      <c r="Q13" s="80">
        <f t="shared" si="5"/>
        <v>7</v>
      </c>
      <c r="R13" s="80">
        <f t="shared" si="6"/>
        <v>175</v>
      </c>
      <c r="S13" s="79">
        <f t="shared" si="7"/>
        <v>1.1666666666666667</v>
      </c>
      <c r="T13" s="80">
        <f t="shared" si="8"/>
        <v>29.166666666666668</v>
      </c>
      <c r="U13" s="79">
        <f>SUM(S$4:S13)/A13</f>
        <v>2.9125000000000005</v>
      </c>
      <c r="V13" s="80">
        <f>SUM(T$4:T13)/A13</f>
        <v>51.041666666666664</v>
      </c>
      <c r="W13" s="79">
        <f t="shared" si="12"/>
        <v>20</v>
      </c>
      <c r="X13" s="80">
        <f t="shared" si="13"/>
        <v>180</v>
      </c>
      <c r="Y13" s="138">
        <f t="shared" si="14"/>
        <v>25</v>
      </c>
      <c r="Z13" s="138">
        <f t="shared" si="9"/>
        <v>0.04</v>
      </c>
      <c r="AA13" s="138">
        <f>SUM(Y$4:Y13)/$A13</f>
        <v>21.390354090354091</v>
      </c>
      <c r="AB13" s="138">
        <f>SUM(Z$4:Z13)/$A13</f>
        <v>5.2468401589884972E-2</v>
      </c>
      <c r="AC13" s="138">
        <f t="shared" si="15"/>
        <v>40</v>
      </c>
      <c r="AD13" s="138">
        <f t="shared" si="16"/>
        <v>0.2</v>
      </c>
      <c r="AE13" s="138">
        <f t="shared" si="17"/>
        <v>0</v>
      </c>
      <c r="AF13" s="80">
        <f t="shared" si="18"/>
        <v>13</v>
      </c>
      <c r="AG13" s="80">
        <f t="shared" si="19"/>
        <v>280</v>
      </c>
      <c r="AH13" s="138">
        <f>SUM(F$4:F13)/SUM(I$4:I13)*3600</f>
        <v>1.1616847826086956</v>
      </c>
      <c r="AI13" s="138">
        <f>SUM(R$4:R13)/SUM(I$4:I13)*3600</f>
        <v>26.963315217391305</v>
      </c>
      <c r="AJ13">
        <f>ROUNDUP(I13/Others!$B$2,0)</f>
        <v>6</v>
      </c>
      <c r="AK13">
        <f>ROUNDUP(I13/Others!$B$2,0)*100*1</f>
        <v>600</v>
      </c>
      <c r="AL13" s="184">
        <v>18000</v>
      </c>
      <c r="AM13" s="143">
        <f t="shared" si="0"/>
        <v>300</v>
      </c>
      <c r="AN13" s="64">
        <f t="shared" si="0"/>
        <v>5</v>
      </c>
    </row>
    <row r="14" spans="1:40">
      <c r="A14" s="36">
        <f t="shared" si="1"/>
        <v>11</v>
      </c>
      <c r="B14" s="249" t="s">
        <v>356</v>
      </c>
      <c r="C14" s="36">
        <v>19</v>
      </c>
      <c r="D14" s="37"/>
      <c r="E14" s="76">
        <f t="shared" si="10"/>
        <v>360</v>
      </c>
      <c r="F14" s="77">
        <f t="shared" si="2"/>
        <v>7</v>
      </c>
      <c r="G14" s="77">
        <f t="shared" si="3"/>
        <v>180</v>
      </c>
      <c r="H14" s="76">
        <f t="shared" si="4"/>
        <v>2</v>
      </c>
      <c r="I14" s="36">
        <v>21600</v>
      </c>
      <c r="J14" s="37">
        <v>3600</v>
      </c>
      <c r="K14" s="37" t="s">
        <v>420</v>
      </c>
      <c r="L14" s="37"/>
      <c r="M14" s="37"/>
      <c r="N14" s="37"/>
      <c r="O14" s="35"/>
      <c r="P14" s="130">
        <f t="shared" si="11"/>
        <v>11</v>
      </c>
      <c r="Q14" s="80">
        <f t="shared" si="5"/>
        <v>7</v>
      </c>
      <c r="R14" s="80">
        <f t="shared" si="6"/>
        <v>180</v>
      </c>
      <c r="S14" s="79">
        <f t="shared" si="7"/>
        <v>1.1666666666666667</v>
      </c>
      <c r="T14" s="80">
        <f t="shared" si="8"/>
        <v>30</v>
      </c>
      <c r="U14" s="79">
        <f>SUM(S$4:S14)/A14</f>
        <v>2.7537878787878793</v>
      </c>
      <c r="V14" s="80">
        <f>SUM(T$4:T14)/A14</f>
        <v>49.128787878787875</v>
      </c>
      <c r="W14" s="79">
        <f t="shared" si="12"/>
        <v>20</v>
      </c>
      <c r="X14" s="80">
        <f t="shared" si="13"/>
        <v>180</v>
      </c>
      <c r="Y14" s="138">
        <f t="shared" si="14"/>
        <v>25.714285714285715</v>
      </c>
      <c r="Z14" s="138">
        <f t="shared" si="9"/>
        <v>3.888888888888889E-2</v>
      </c>
      <c r="AA14" s="138">
        <f>SUM(Y$4:Y14)/$A14</f>
        <v>21.783438783438786</v>
      </c>
      <c r="AB14" s="138">
        <f>SUM(Z$4:Z14)/$A14</f>
        <v>5.1233900435248961E-2</v>
      </c>
      <c r="AC14" s="138">
        <f t="shared" si="15"/>
        <v>40</v>
      </c>
      <c r="AD14" s="138">
        <f t="shared" si="16"/>
        <v>0.2</v>
      </c>
      <c r="AE14" s="138">
        <f t="shared" si="17"/>
        <v>0</v>
      </c>
      <c r="AF14" s="80">
        <f t="shared" si="18"/>
        <v>13</v>
      </c>
      <c r="AG14" s="80">
        <f t="shared" si="19"/>
        <v>280</v>
      </c>
      <c r="AH14" s="138">
        <f>SUM(F$4:F14)/SUM(I$4:I14)*3600</f>
        <v>1.1622276029055691</v>
      </c>
      <c r="AI14" s="138">
        <f>SUM(R$4:R14)/SUM(I$4:I14)*3600</f>
        <v>27.294188861985472</v>
      </c>
      <c r="AJ14">
        <f>ROUNDUP(I14/Others!$B$2,0)</f>
        <v>6</v>
      </c>
      <c r="AK14">
        <f>ROUNDUP(I14/Others!$B$2,0)*100*1</f>
        <v>600</v>
      </c>
      <c r="AL14" s="184">
        <v>21600</v>
      </c>
      <c r="AM14" s="143">
        <f t="shared" si="0"/>
        <v>360</v>
      </c>
      <c r="AN14" s="64">
        <f t="shared" si="0"/>
        <v>6</v>
      </c>
    </row>
    <row r="15" spans="1:40">
      <c r="A15" s="36">
        <f t="shared" si="1"/>
        <v>12</v>
      </c>
      <c r="B15" s="249" t="s">
        <v>357</v>
      </c>
      <c r="C15" s="36">
        <v>21</v>
      </c>
      <c r="D15" s="37"/>
      <c r="E15" s="76">
        <f t="shared" si="10"/>
        <v>360</v>
      </c>
      <c r="F15" s="77">
        <f t="shared" si="2"/>
        <v>7</v>
      </c>
      <c r="G15" s="77">
        <f t="shared" si="3"/>
        <v>180</v>
      </c>
      <c r="H15" s="76">
        <f t="shared" si="4"/>
        <v>2</v>
      </c>
      <c r="I15" s="36">
        <v>21600</v>
      </c>
      <c r="J15" s="37">
        <v>3600</v>
      </c>
      <c r="K15" s="37" t="s">
        <v>420</v>
      </c>
      <c r="L15" s="37"/>
      <c r="M15" s="37"/>
      <c r="N15" s="37"/>
      <c r="O15" s="35"/>
      <c r="P15" s="130">
        <f t="shared" si="11"/>
        <v>12</v>
      </c>
      <c r="Q15" s="80">
        <f t="shared" si="5"/>
        <v>7</v>
      </c>
      <c r="R15" s="80">
        <f t="shared" si="6"/>
        <v>180</v>
      </c>
      <c r="S15" s="79">
        <f t="shared" si="7"/>
        <v>1.1666666666666667</v>
      </c>
      <c r="T15" s="80">
        <f t="shared" si="8"/>
        <v>30</v>
      </c>
      <c r="U15" s="79">
        <f>SUM(S$4:S15)/A15</f>
        <v>2.6215277777777781</v>
      </c>
      <c r="V15" s="80">
        <f>SUM(T$4:T15)/A15</f>
        <v>47.534722222222221</v>
      </c>
      <c r="W15" s="79">
        <f t="shared" si="12"/>
        <v>20</v>
      </c>
      <c r="X15" s="80">
        <f t="shared" si="13"/>
        <v>180</v>
      </c>
      <c r="Y15" s="138">
        <f t="shared" si="14"/>
        <v>25.714285714285715</v>
      </c>
      <c r="Z15" s="138">
        <f t="shared" si="9"/>
        <v>3.888888888888889E-2</v>
      </c>
      <c r="AA15" s="138">
        <f>SUM(Y$4:Y15)/$A15</f>
        <v>22.111009361009362</v>
      </c>
      <c r="AB15" s="138">
        <f>SUM(Z$4:Z15)/$A15</f>
        <v>5.0205149473052289E-2</v>
      </c>
      <c r="AC15" s="138">
        <f t="shared" si="15"/>
        <v>40</v>
      </c>
      <c r="AD15" s="138">
        <f t="shared" si="16"/>
        <v>0.2</v>
      </c>
      <c r="AE15" s="138">
        <f t="shared" si="17"/>
        <v>0</v>
      </c>
      <c r="AF15" s="80">
        <f t="shared" si="18"/>
        <v>13</v>
      </c>
      <c r="AG15" s="80">
        <f t="shared" si="19"/>
        <v>280</v>
      </c>
      <c r="AH15" s="138">
        <f>SUM(F$4:F15)/SUM(I$4:I15)*3600</f>
        <v>1.1626637554585153</v>
      </c>
      <c r="AI15" s="138">
        <f>SUM(R$4:R15)/SUM(I$4:I15)*3600</f>
        <v>27.560043668122269</v>
      </c>
      <c r="AJ15">
        <f>ROUNDUP(I15/Others!$B$2,0)</f>
        <v>6</v>
      </c>
      <c r="AK15">
        <f>ROUNDUP(I15/Others!$B$2,0)*100*1</f>
        <v>600</v>
      </c>
      <c r="AL15" s="182">
        <v>25200</v>
      </c>
      <c r="AM15" s="143">
        <f t="shared" si="0"/>
        <v>420</v>
      </c>
      <c r="AN15" s="64">
        <f t="shared" si="0"/>
        <v>7</v>
      </c>
    </row>
    <row r="16" spans="1:40">
      <c r="A16" s="36">
        <f t="shared" si="1"/>
        <v>13</v>
      </c>
      <c r="B16" s="249" t="s">
        <v>358</v>
      </c>
      <c r="C16" s="36">
        <v>23</v>
      </c>
      <c r="D16" s="37"/>
      <c r="E16" s="76">
        <f t="shared" si="10"/>
        <v>370</v>
      </c>
      <c r="F16" s="77">
        <f t="shared" si="2"/>
        <v>7</v>
      </c>
      <c r="G16" s="77">
        <f t="shared" si="3"/>
        <v>185</v>
      </c>
      <c r="H16" s="76">
        <f t="shared" si="4"/>
        <v>2</v>
      </c>
      <c r="I16" s="36">
        <v>21600</v>
      </c>
      <c r="J16" s="37">
        <v>3600</v>
      </c>
      <c r="K16" s="37" t="s">
        <v>420</v>
      </c>
      <c r="L16" s="37"/>
      <c r="M16" s="37"/>
      <c r="N16" s="37"/>
      <c r="O16" s="35"/>
      <c r="P16" s="130">
        <f t="shared" si="11"/>
        <v>13</v>
      </c>
      <c r="Q16" s="80">
        <f t="shared" si="5"/>
        <v>7</v>
      </c>
      <c r="R16" s="80">
        <f t="shared" si="6"/>
        <v>185</v>
      </c>
      <c r="S16" s="79">
        <f t="shared" si="7"/>
        <v>1.1666666666666667</v>
      </c>
      <c r="T16" s="80">
        <f t="shared" si="8"/>
        <v>30.833333333333332</v>
      </c>
      <c r="U16" s="79">
        <f>SUM(S$4:S16)/A16</f>
        <v>2.509615384615385</v>
      </c>
      <c r="V16" s="80">
        <f>SUM(T$4:T16)/A16</f>
        <v>46.25</v>
      </c>
      <c r="W16" s="79">
        <f t="shared" si="12"/>
        <v>20</v>
      </c>
      <c r="X16" s="80">
        <f t="shared" si="13"/>
        <v>180</v>
      </c>
      <c r="Y16" s="138">
        <f t="shared" si="14"/>
        <v>26.428571428571427</v>
      </c>
      <c r="Z16" s="138">
        <f t="shared" si="9"/>
        <v>3.783783783783784E-2</v>
      </c>
      <c r="AA16" s="138">
        <f>SUM(Y$4:Y16)/$A16</f>
        <v>22.443129520052597</v>
      </c>
      <c r="AB16" s="138">
        <f>SUM(Z$4:Z16)/$A16</f>
        <v>4.9253817808805028E-2</v>
      </c>
      <c r="AC16" s="138">
        <f t="shared" si="15"/>
        <v>40</v>
      </c>
      <c r="AD16" s="138">
        <f t="shared" si="16"/>
        <v>0.2</v>
      </c>
      <c r="AE16" s="138">
        <f t="shared" si="17"/>
        <v>0</v>
      </c>
      <c r="AF16" s="80">
        <f t="shared" si="18"/>
        <v>13</v>
      </c>
      <c r="AG16" s="80">
        <f t="shared" si="19"/>
        <v>280</v>
      </c>
      <c r="AH16" s="138">
        <f>SUM(F$4:F16)/SUM(I$4:I16)*3600</f>
        <v>1.1630218687872764</v>
      </c>
      <c r="AI16" s="138">
        <f>SUM(R$4:R16)/SUM(I$4:I16)*3600</f>
        <v>27.852882703777336</v>
      </c>
      <c r="AJ16">
        <f>ROUNDUP(I16/Others!$B$2,0)</f>
        <v>6</v>
      </c>
      <c r="AK16">
        <f>ROUNDUP(I16/Others!$B$2,0)*100*1</f>
        <v>600</v>
      </c>
      <c r="AL16" s="183">
        <v>28800</v>
      </c>
      <c r="AM16" s="143">
        <f t="shared" si="0"/>
        <v>480</v>
      </c>
      <c r="AN16" s="64">
        <f t="shared" si="0"/>
        <v>8</v>
      </c>
    </row>
    <row r="17" spans="1:40">
      <c r="A17" s="36">
        <f t="shared" si="1"/>
        <v>14</v>
      </c>
      <c r="B17" s="249" t="s">
        <v>359</v>
      </c>
      <c r="C17" s="36">
        <v>25</v>
      </c>
      <c r="D17" s="37"/>
      <c r="E17" s="76">
        <f t="shared" si="10"/>
        <v>370</v>
      </c>
      <c r="F17" s="77">
        <f t="shared" si="2"/>
        <v>7</v>
      </c>
      <c r="G17" s="77">
        <f t="shared" si="3"/>
        <v>185</v>
      </c>
      <c r="H17" s="76">
        <f t="shared" si="4"/>
        <v>2</v>
      </c>
      <c r="I17" s="36">
        <v>21600</v>
      </c>
      <c r="J17" s="37">
        <v>3600</v>
      </c>
      <c r="K17" s="37" t="s">
        <v>420</v>
      </c>
      <c r="L17" s="37"/>
      <c r="M17" s="37"/>
      <c r="N17" s="37"/>
      <c r="O17" s="35"/>
      <c r="P17" s="130">
        <f t="shared" si="11"/>
        <v>14</v>
      </c>
      <c r="Q17" s="80">
        <f t="shared" si="5"/>
        <v>7</v>
      </c>
      <c r="R17" s="80">
        <f t="shared" si="6"/>
        <v>185</v>
      </c>
      <c r="S17" s="79">
        <f t="shared" si="7"/>
        <v>1.1666666666666667</v>
      </c>
      <c r="T17" s="80">
        <f t="shared" si="8"/>
        <v>30.833333333333332</v>
      </c>
      <c r="U17" s="79">
        <f>SUM(S$4:S17)/A17</f>
        <v>2.4136904761904767</v>
      </c>
      <c r="V17" s="80">
        <f>SUM(T$4:T17)/A17</f>
        <v>45.148809523809526</v>
      </c>
      <c r="W17" s="79">
        <f t="shared" si="12"/>
        <v>20</v>
      </c>
      <c r="X17" s="80">
        <f t="shared" si="13"/>
        <v>180</v>
      </c>
      <c r="Y17" s="138">
        <f t="shared" si="14"/>
        <v>26.428571428571427</v>
      </c>
      <c r="Z17" s="138">
        <f t="shared" si="9"/>
        <v>3.783783783783784E-2</v>
      </c>
      <c r="AA17" s="138">
        <f>SUM(Y$4:Y17)/$A17</f>
        <v>22.727803942089658</v>
      </c>
      <c r="AB17" s="138">
        <f>SUM(Z$4:Z17)/$A17</f>
        <v>4.8438390668021657E-2</v>
      </c>
      <c r="AC17" s="138">
        <f t="shared" si="15"/>
        <v>40</v>
      </c>
      <c r="AD17" s="138">
        <f t="shared" si="16"/>
        <v>0.2</v>
      </c>
      <c r="AE17" s="138">
        <f t="shared" si="17"/>
        <v>0</v>
      </c>
      <c r="AF17" s="80">
        <f t="shared" si="18"/>
        <v>13</v>
      </c>
      <c r="AG17" s="80">
        <f t="shared" si="19"/>
        <v>280</v>
      </c>
      <c r="AH17" s="138">
        <f>SUM(F$4:F17)/SUM(I$4:I17)*3600</f>
        <v>1.1633211678832116</v>
      </c>
      <c r="AI17" s="138">
        <f>SUM(R$4:R17)/SUM(I$4:I17)*3600</f>
        <v>28.097627737226279</v>
      </c>
      <c r="AJ17">
        <f>ROUNDUP(I17/Others!$B$2,0)</f>
        <v>6</v>
      </c>
      <c r="AK17">
        <f>ROUNDUP(I17/Others!$B$2,0)*100*1</f>
        <v>600</v>
      </c>
      <c r="AL17" s="182">
        <v>32400</v>
      </c>
      <c r="AM17" s="143">
        <f t="shared" si="0"/>
        <v>540</v>
      </c>
      <c r="AN17" s="64">
        <f t="shared" si="0"/>
        <v>9</v>
      </c>
    </row>
    <row r="18" spans="1:40">
      <c r="A18" s="36">
        <f t="shared" si="1"/>
        <v>15</v>
      </c>
      <c r="B18" s="249" t="s">
        <v>360</v>
      </c>
      <c r="C18" s="36">
        <v>27</v>
      </c>
      <c r="D18" s="37"/>
      <c r="E18" s="76">
        <f t="shared" si="10"/>
        <v>380</v>
      </c>
      <c r="F18" s="77">
        <f t="shared" si="2"/>
        <v>7</v>
      </c>
      <c r="G18" s="77">
        <f t="shared" si="3"/>
        <v>190</v>
      </c>
      <c r="H18" s="76">
        <f t="shared" si="4"/>
        <v>2</v>
      </c>
      <c r="I18" s="36">
        <v>21600</v>
      </c>
      <c r="J18" s="37">
        <v>3600</v>
      </c>
      <c r="K18" s="37" t="s">
        <v>420</v>
      </c>
      <c r="L18" s="37"/>
      <c r="M18" s="37"/>
      <c r="N18" s="37"/>
      <c r="O18" s="35"/>
      <c r="P18" s="130">
        <f t="shared" si="11"/>
        <v>15</v>
      </c>
      <c r="Q18" s="80">
        <f t="shared" si="5"/>
        <v>7</v>
      </c>
      <c r="R18" s="80">
        <f t="shared" si="6"/>
        <v>190</v>
      </c>
      <c r="S18" s="79">
        <f t="shared" si="7"/>
        <v>1.1666666666666667</v>
      </c>
      <c r="T18" s="80">
        <f t="shared" si="8"/>
        <v>31.666666666666668</v>
      </c>
      <c r="U18" s="79">
        <f>SUM(S$4:S18)/A18</f>
        <v>2.3305555555555557</v>
      </c>
      <c r="V18" s="80">
        <f>SUM(T$4:T18)/A18</f>
        <v>44.25</v>
      </c>
      <c r="W18" s="79">
        <f t="shared" si="12"/>
        <v>20</v>
      </c>
      <c r="X18" s="80">
        <f t="shared" si="13"/>
        <v>180</v>
      </c>
      <c r="Y18" s="138">
        <f t="shared" si="14"/>
        <v>27.142857142857142</v>
      </c>
      <c r="Z18" s="138">
        <f t="shared" si="9"/>
        <v>3.6842105263157891E-2</v>
      </c>
      <c r="AA18" s="138">
        <f>SUM(Y$4:Y18)/$A18</f>
        <v>23.022140822140827</v>
      </c>
      <c r="AB18" s="138">
        <f>SUM(Z$4:Z18)/$A18</f>
        <v>4.7665304974364074E-2</v>
      </c>
      <c r="AC18" s="138">
        <f t="shared" si="15"/>
        <v>40</v>
      </c>
      <c r="AD18" s="138">
        <f t="shared" si="16"/>
        <v>0.2</v>
      </c>
      <c r="AE18" s="138">
        <f t="shared" si="17"/>
        <v>0</v>
      </c>
      <c r="AF18" s="80">
        <f t="shared" si="18"/>
        <v>13</v>
      </c>
      <c r="AG18" s="80">
        <f t="shared" si="19"/>
        <v>280</v>
      </c>
      <c r="AH18" s="138">
        <f>SUM(F$4:F18)/SUM(I$4:I18)*3600</f>
        <v>1.163575042158516</v>
      </c>
      <c r="AI18" s="138">
        <f>SUM(R$4:R18)/SUM(I$4:I18)*3600</f>
        <v>28.368465430016865</v>
      </c>
      <c r="AJ18">
        <f>ROUNDUP(I18/Others!$B$2,0)</f>
        <v>6</v>
      </c>
      <c r="AK18">
        <f>ROUNDUP(I18/Others!$B$2,0)*100*1</f>
        <v>600</v>
      </c>
      <c r="AL18" s="184">
        <v>36000</v>
      </c>
      <c r="AM18" s="143">
        <f t="shared" si="0"/>
        <v>600</v>
      </c>
      <c r="AN18" s="64">
        <f t="shared" si="0"/>
        <v>10</v>
      </c>
    </row>
    <row r="19" spans="1:40">
      <c r="A19" s="36">
        <f t="shared" si="1"/>
        <v>16</v>
      </c>
      <c r="B19" s="249" t="s">
        <v>361</v>
      </c>
      <c r="C19" s="36">
        <v>29</v>
      </c>
      <c r="D19" s="37"/>
      <c r="E19" s="76">
        <f t="shared" si="10"/>
        <v>390</v>
      </c>
      <c r="F19" s="77">
        <f t="shared" si="2"/>
        <v>8</v>
      </c>
      <c r="G19" s="77">
        <f t="shared" si="3"/>
        <v>195</v>
      </c>
      <c r="H19" s="76">
        <f t="shared" si="4"/>
        <v>2</v>
      </c>
      <c r="I19" s="36">
        <v>21600</v>
      </c>
      <c r="J19" s="37">
        <v>3600</v>
      </c>
      <c r="K19" s="37" t="s">
        <v>420</v>
      </c>
      <c r="L19" s="37"/>
      <c r="M19" s="37"/>
      <c r="N19" s="37"/>
      <c r="O19" s="35"/>
      <c r="P19" s="130">
        <f t="shared" si="11"/>
        <v>16</v>
      </c>
      <c r="Q19" s="80">
        <f t="shared" si="5"/>
        <v>8</v>
      </c>
      <c r="R19" s="80">
        <f t="shared" si="6"/>
        <v>195</v>
      </c>
      <c r="S19" s="79">
        <f t="shared" si="7"/>
        <v>1.3333333333333333</v>
      </c>
      <c r="T19" s="80">
        <f t="shared" si="8"/>
        <v>32.5</v>
      </c>
      <c r="U19" s="79">
        <f>SUM(S$4:S19)/A19</f>
        <v>2.268229166666667</v>
      </c>
      <c r="V19" s="80">
        <f>SUM(T$4:T19)/A19</f>
        <v>43.515625</v>
      </c>
      <c r="W19" s="79">
        <f t="shared" si="12"/>
        <v>20</v>
      </c>
      <c r="X19" s="80">
        <f t="shared" si="13"/>
        <v>180</v>
      </c>
      <c r="Y19" s="138">
        <f t="shared" si="14"/>
        <v>24.375</v>
      </c>
      <c r="Z19" s="138">
        <f t="shared" si="9"/>
        <v>4.1025641025641026E-2</v>
      </c>
      <c r="AA19" s="138">
        <f>SUM(Y$4:Y19)/$A19</f>
        <v>23.106694520757024</v>
      </c>
      <c r="AB19" s="138">
        <f>SUM(Z$4:Z19)/$A19</f>
        <v>4.7250325977568883E-2</v>
      </c>
      <c r="AC19" s="138">
        <f t="shared" si="15"/>
        <v>40</v>
      </c>
      <c r="AD19" s="138">
        <f t="shared" si="16"/>
        <v>0.2</v>
      </c>
      <c r="AE19" s="138">
        <f t="shared" si="17"/>
        <v>0</v>
      </c>
      <c r="AF19" s="80">
        <f t="shared" si="18"/>
        <v>13</v>
      </c>
      <c r="AG19" s="80">
        <f t="shared" si="19"/>
        <v>280</v>
      </c>
      <c r="AH19" s="138">
        <f>SUM(F$4:F19)/SUM(I$4:I19)*3600</f>
        <v>1.1755485893416928</v>
      </c>
      <c r="AI19" s="138">
        <f>SUM(R$4:R19)/SUM(I$4:I19)*3600</f>
        <v>28.659874608150474</v>
      </c>
      <c r="AJ19">
        <f>ROUNDUP(I19/Others!$B$2,0)</f>
        <v>6</v>
      </c>
      <c r="AK19">
        <f>ROUNDUP(I19/Others!$B$2,0)*100*1</f>
        <v>600</v>
      </c>
      <c r="AL19" s="185">
        <v>39600</v>
      </c>
      <c r="AM19" s="143">
        <f t="shared" si="0"/>
        <v>660</v>
      </c>
      <c r="AN19" s="64">
        <f t="shared" si="0"/>
        <v>11</v>
      </c>
    </row>
    <row r="20" spans="1:40">
      <c r="A20" s="36">
        <f t="shared" si="1"/>
        <v>17</v>
      </c>
      <c r="B20" s="249" t="s">
        <v>362</v>
      </c>
      <c r="C20" s="36">
        <v>31</v>
      </c>
      <c r="D20" s="37"/>
      <c r="E20" s="76">
        <f t="shared" si="10"/>
        <v>390</v>
      </c>
      <c r="F20" s="77">
        <f t="shared" si="2"/>
        <v>8</v>
      </c>
      <c r="G20" s="77">
        <f t="shared" si="3"/>
        <v>195</v>
      </c>
      <c r="H20" s="76">
        <f t="shared" si="4"/>
        <v>2</v>
      </c>
      <c r="I20" s="36">
        <v>21600</v>
      </c>
      <c r="J20" s="37">
        <v>3600</v>
      </c>
      <c r="K20" s="37" t="s">
        <v>420</v>
      </c>
      <c r="L20" s="37"/>
      <c r="M20" s="37"/>
      <c r="N20" s="37"/>
      <c r="O20" s="35"/>
      <c r="P20" s="130">
        <f t="shared" si="11"/>
        <v>17</v>
      </c>
      <c r="Q20" s="80">
        <f t="shared" si="5"/>
        <v>8</v>
      </c>
      <c r="R20" s="80">
        <f t="shared" si="6"/>
        <v>195</v>
      </c>
      <c r="S20" s="79">
        <f t="shared" si="7"/>
        <v>1.3333333333333333</v>
      </c>
      <c r="T20" s="80">
        <f t="shared" si="8"/>
        <v>32.5</v>
      </c>
      <c r="U20" s="79">
        <f>SUM(S$4:S20)/A20</f>
        <v>2.2132352941176476</v>
      </c>
      <c r="V20" s="80">
        <f>SUM(T$4:T20)/A20</f>
        <v>42.867647058823529</v>
      </c>
      <c r="W20" s="79">
        <f t="shared" si="12"/>
        <v>20</v>
      </c>
      <c r="X20" s="80">
        <f t="shared" si="13"/>
        <v>180</v>
      </c>
      <c r="Y20" s="138">
        <f t="shared" si="14"/>
        <v>24.375</v>
      </c>
      <c r="Z20" s="138">
        <f t="shared" si="9"/>
        <v>4.1025641025641026E-2</v>
      </c>
      <c r="AA20" s="138">
        <f>SUM(Y$4:Y20)/$A20</f>
        <v>23.181300725418374</v>
      </c>
      <c r="AB20" s="138">
        <f>SUM(Z$4:Z20)/$A20</f>
        <v>4.6884168039220186E-2</v>
      </c>
      <c r="AC20" s="138">
        <f t="shared" si="15"/>
        <v>40</v>
      </c>
      <c r="AD20" s="138">
        <f t="shared" si="16"/>
        <v>0.2</v>
      </c>
      <c r="AE20" s="138">
        <f t="shared" si="17"/>
        <v>0</v>
      </c>
      <c r="AF20" s="80">
        <f t="shared" si="18"/>
        <v>13</v>
      </c>
      <c r="AG20" s="80">
        <f t="shared" si="19"/>
        <v>280</v>
      </c>
      <c r="AH20" s="138">
        <f>SUM(F$4:F20)/SUM(I$4:I20)*3600</f>
        <v>1.185944363103953</v>
      </c>
      <c r="AI20" s="138">
        <f>SUM(R$4:R20)/SUM(I$4:I20)*3600</f>
        <v>28.912884333821374</v>
      </c>
      <c r="AJ20">
        <f>ROUNDUP(I20/Others!$B$2,0)</f>
        <v>6</v>
      </c>
      <c r="AK20">
        <f>ROUNDUP(I20/Others!$B$2,0)*100*1</f>
        <v>600</v>
      </c>
      <c r="AL20" s="184">
        <v>43200</v>
      </c>
      <c r="AM20" s="143">
        <f t="shared" si="0"/>
        <v>720</v>
      </c>
      <c r="AN20" s="64">
        <f t="shared" si="0"/>
        <v>12</v>
      </c>
    </row>
    <row r="21" spans="1:40">
      <c r="A21" s="36">
        <f t="shared" si="1"/>
        <v>18</v>
      </c>
      <c r="B21" s="249" t="s">
        <v>363</v>
      </c>
      <c r="C21" s="36">
        <v>33</v>
      </c>
      <c r="D21" s="37"/>
      <c r="E21" s="76">
        <f t="shared" si="10"/>
        <v>400</v>
      </c>
      <c r="F21" s="77">
        <f t="shared" si="2"/>
        <v>8</v>
      </c>
      <c r="G21" s="77">
        <f t="shared" si="3"/>
        <v>200</v>
      </c>
      <c r="H21" s="76">
        <f t="shared" si="4"/>
        <v>2</v>
      </c>
      <c r="I21" s="36">
        <v>21600</v>
      </c>
      <c r="J21" s="37">
        <v>3600</v>
      </c>
      <c r="K21" s="37" t="s">
        <v>420</v>
      </c>
      <c r="L21" s="37"/>
      <c r="M21" s="37"/>
      <c r="N21" s="37"/>
      <c r="O21" s="35"/>
      <c r="P21" s="130">
        <f t="shared" si="11"/>
        <v>18</v>
      </c>
      <c r="Q21" s="80">
        <f t="shared" si="5"/>
        <v>8</v>
      </c>
      <c r="R21" s="80">
        <f t="shared" si="6"/>
        <v>200</v>
      </c>
      <c r="S21" s="79">
        <f t="shared" si="7"/>
        <v>1.3333333333333333</v>
      </c>
      <c r="T21" s="80">
        <f t="shared" si="8"/>
        <v>33.333333333333336</v>
      </c>
      <c r="U21" s="79">
        <f>SUM(S$4:S21)/A21</f>
        <v>2.1643518518518525</v>
      </c>
      <c r="V21" s="80">
        <f>SUM(T$4:T21)/A21</f>
        <v>42.337962962962962</v>
      </c>
      <c r="W21" s="79">
        <f t="shared" si="12"/>
        <v>20</v>
      </c>
      <c r="X21" s="80">
        <f t="shared" si="13"/>
        <v>180</v>
      </c>
      <c r="Y21" s="138">
        <f t="shared" si="14"/>
        <v>25</v>
      </c>
      <c r="Z21" s="138">
        <f t="shared" si="9"/>
        <v>0.04</v>
      </c>
      <c r="AA21" s="138">
        <f>SUM(Y$4:Y21)/$A21</f>
        <v>23.282339574006244</v>
      </c>
      <c r="AB21" s="138">
        <f>SUM(Z$4:Z21)/$A21</f>
        <v>4.6501714259263506E-2</v>
      </c>
      <c r="AC21" s="138">
        <f t="shared" si="15"/>
        <v>40</v>
      </c>
      <c r="AD21" s="138">
        <f t="shared" si="16"/>
        <v>0.2</v>
      </c>
      <c r="AE21" s="138">
        <f t="shared" si="17"/>
        <v>0</v>
      </c>
      <c r="AF21" s="80">
        <f t="shared" si="18"/>
        <v>13</v>
      </c>
      <c r="AG21" s="80">
        <f t="shared" si="19"/>
        <v>280</v>
      </c>
      <c r="AH21" s="138">
        <f>SUM(F$4:F21)/SUM(I$4:I21)*3600</f>
        <v>1.195054945054945</v>
      </c>
      <c r="AI21" s="138">
        <f>SUM(R$4:R21)/SUM(I$4:I21)*3600</f>
        <v>29.186126373626376</v>
      </c>
      <c r="AJ21">
        <f>ROUNDUP(I21/Others!$B$2,0)</f>
        <v>6</v>
      </c>
      <c r="AK21">
        <f>ROUNDUP(I21/Others!$B$2,0)*100*1</f>
        <v>600</v>
      </c>
      <c r="AL21" s="182">
        <v>57600</v>
      </c>
      <c r="AM21" s="143">
        <f t="shared" si="0"/>
        <v>960</v>
      </c>
      <c r="AN21" s="64">
        <f t="shared" si="0"/>
        <v>16</v>
      </c>
    </row>
    <row r="22" spans="1:40">
      <c r="A22" s="36">
        <f t="shared" si="1"/>
        <v>19</v>
      </c>
      <c r="B22" s="249" t="s">
        <v>364</v>
      </c>
      <c r="C22" s="36">
        <v>35</v>
      </c>
      <c r="D22" s="37"/>
      <c r="E22" s="76">
        <f t="shared" si="10"/>
        <v>400</v>
      </c>
      <c r="F22" s="77">
        <f t="shared" si="2"/>
        <v>8</v>
      </c>
      <c r="G22" s="77">
        <f t="shared" si="3"/>
        <v>200</v>
      </c>
      <c r="H22" s="76">
        <f t="shared" si="4"/>
        <v>2</v>
      </c>
      <c r="I22" s="36">
        <v>21600</v>
      </c>
      <c r="J22" s="37">
        <v>3600</v>
      </c>
      <c r="K22" s="37" t="s">
        <v>420</v>
      </c>
      <c r="L22" s="37"/>
      <c r="M22" s="37"/>
      <c r="N22" s="37"/>
      <c r="O22" s="35"/>
      <c r="P22" s="130">
        <f t="shared" si="11"/>
        <v>19</v>
      </c>
      <c r="Q22" s="80">
        <f t="shared" si="5"/>
        <v>8</v>
      </c>
      <c r="R22" s="80">
        <f t="shared" si="6"/>
        <v>200</v>
      </c>
      <c r="S22" s="79">
        <f t="shared" si="7"/>
        <v>1.3333333333333333</v>
      </c>
      <c r="T22" s="80">
        <f t="shared" si="8"/>
        <v>33.333333333333336</v>
      </c>
      <c r="U22" s="79">
        <f>SUM(S$4:S22)/A22</f>
        <v>2.1206140350877201</v>
      </c>
      <c r="V22" s="80">
        <f>SUM(T$4:T22)/A22</f>
        <v>41.864035087719301</v>
      </c>
      <c r="W22" s="79">
        <f t="shared" si="12"/>
        <v>20</v>
      </c>
      <c r="X22" s="80">
        <f t="shared" si="13"/>
        <v>180</v>
      </c>
      <c r="Y22" s="138">
        <f t="shared" si="14"/>
        <v>25</v>
      </c>
      <c r="Z22" s="138">
        <f t="shared" si="9"/>
        <v>0.04</v>
      </c>
      <c r="AA22" s="138">
        <f>SUM(Y$4:Y22)/$A22</f>
        <v>23.372742754321706</v>
      </c>
      <c r="AB22" s="138">
        <f>SUM(Z$4:Z22)/$A22</f>
        <v>4.6159518771933854E-2</v>
      </c>
      <c r="AC22" s="138">
        <f t="shared" si="15"/>
        <v>40</v>
      </c>
      <c r="AD22" s="138">
        <f t="shared" si="16"/>
        <v>0.2</v>
      </c>
      <c r="AE22" s="138">
        <f t="shared" si="17"/>
        <v>0</v>
      </c>
      <c r="AF22" s="80">
        <f t="shared" si="18"/>
        <v>13</v>
      </c>
      <c r="AG22" s="80">
        <f t="shared" si="19"/>
        <v>280</v>
      </c>
      <c r="AH22" s="138">
        <f>SUM(F$4:F22)/SUM(I$4:I22)*3600</f>
        <v>1.203104786545925</v>
      </c>
      <c r="AI22" s="138">
        <f>SUM(R$4:R22)/SUM(I$4:I22)*3600</f>
        <v>29.427554980595087</v>
      </c>
      <c r="AJ22">
        <f>ROUNDUP(I22/Others!$B$2,0)</f>
        <v>6</v>
      </c>
      <c r="AK22">
        <f>ROUNDUP(I22/Others!$B$2,0)*100*1</f>
        <v>600</v>
      </c>
      <c r="AL22" s="182">
        <v>64800</v>
      </c>
      <c r="AM22" s="143">
        <f t="shared" si="0"/>
        <v>1080</v>
      </c>
      <c r="AN22" s="64">
        <f t="shared" si="0"/>
        <v>18</v>
      </c>
    </row>
    <row r="23" spans="1:40">
      <c r="A23" s="36">
        <f t="shared" si="1"/>
        <v>20</v>
      </c>
      <c r="B23" s="249" t="s">
        <v>365</v>
      </c>
      <c r="C23" s="36">
        <v>37</v>
      </c>
      <c r="D23" s="37"/>
      <c r="E23" s="76">
        <f t="shared" si="10"/>
        <v>410</v>
      </c>
      <c r="F23" s="77">
        <f t="shared" si="2"/>
        <v>8</v>
      </c>
      <c r="G23" s="77">
        <f t="shared" si="3"/>
        <v>205</v>
      </c>
      <c r="H23" s="76">
        <f t="shared" si="4"/>
        <v>2</v>
      </c>
      <c r="I23" s="36">
        <v>21600</v>
      </c>
      <c r="J23" s="37">
        <v>3600</v>
      </c>
      <c r="K23" s="37" t="s">
        <v>420</v>
      </c>
      <c r="L23" s="37"/>
      <c r="M23" s="37"/>
      <c r="N23" s="37"/>
      <c r="O23" s="35"/>
      <c r="P23" s="130">
        <f t="shared" si="11"/>
        <v>20</v>
      </c>
      <c r="Q23" s="80">
        <f t="shared" si="5"/>
        <v>8</v>
      </c>
      <c r="R23" s="80">
        <f t="shared" si="6"/>
        <v>205</v>
      </c>
      <c r="S23" s="79">
        <f t="shared" si="7"/>
        <v>1.3333333333333333</v>
      </c>
      <c r="T23" s="80">
        <f t="shared" si="8"/>
        <v>34.166666666666664</v>
      </c>
      <c r="U23" s="79">
        <f>SUM(S$4:S23)/A23</f>
        <v>2.0812500000000007</v>
      </c>
      <c r="V23" s="80">
        <f>SUM(T$4:T23)/A23</f>
        <v>41.479166666666671</v>
      </c>
      <c r="W23" s="79">
        <f t="shared" si="12"/>
        <v>20</v>
      </c>
      <c r="X23" s="80">
        <f t="shared" si="13"/>
        <v>180</v>
      </c>
      <c r="Y23" s="138">
        <f t="shared" si="14"/>
        <v>25.625</v>
      </c>
      <c r="Z23" s="138">
        <f t="shared" si="9"/>
        <v>3.9024390243902439E-2</v>
      </c>
      <c r="AA23" s="138">
        <f>SUM(Y$4:Y23)/$A23</f>
        <v>23.48535561660562</v>
      </c>
      <c r="AB23" s="138">
        <f>SUM(Z$4:Z23)/$A23</f>
        <v>4.580276234553228E-2</v>
      </c>
      <c r="AC23" s="138">
        <f t="shared" si="15"/>
        <v>40</v>
      </c>
      <c r="AD23" s="138">
        <f t="shared" si="16"/>
        <v>0.2</v>
      </c>
      <c r="AE23" s="138">
        <f t="shared" si="17"/>
        <v>0</v>
      </c>
      <c r="AF23" s="80">
        <f t="shared" si="18"/>
        <v>13</v>
      </c>
      <c r="AG23" s="80">
        <f t="shared" si="19"/>
        <v>280</v>
      </c>
      <c r="AH23" s="138">
        <f>SUM(F$4:F23)/SUM(I$4:I23)*3600</f>
        <v>1.2102689486552567</v>
      </c>
      <c r="AI23" s="138">
        <f>SUM(R$4:R23)/SUM(I$4:I23)*3600</f>
        <v>29.688264058679707</v>
      </c>
      <c r="AJ23">
        <f>ROUNDUP(I23/Others!$B$2,0)</f>
        <v>6</v>
      </c>
      <c r="AK23">
        <f>ROUNDUP(I23/Others!$B$2,0)*100*1</f>
        <v>600</v>
      </c>
      <c r="AL23" s="182">
        <v>82800</v>
      </c>
      <c r="AM23" s="143">
        <f t="shared" si="0"/>
        <v>1380</v>
      </c>
      <c r="AN23" s="64">
        <f t="shared" si="0"/>
        <v>23</v>
      </c>
    </row>
    <row r="24" spans="1:40">
      <c r="A24" s="36">
        <f t="shared" si="1"/>
        <v>21</v>
      </c>
      <c r="B24" s="249" t="s">
        <v>366</v>
      </c>
      <c r="C24" s="36">
        <v>39</v>
      </c>
      <c r="D24" s="37"/>
      <c r="E24" s="76">
        <f t="shared" si="10"/>
        <v>420</v>
      </c>
      <c r="F24" s="77">
        <f t="shared" si="2"/>
        <v>8</v>
      </c>
      <c r="G24" s="77">
        <f t="shared" si="3"/>
        <v>210</v>
      </c>
      <c r="H24" s="76">
        <f t="shared" si="4"/>
        <v>2</v>
      </c>
      <c r="I24" s="36">
        <v>21600</v>
      </c>
      <c r="J24" s="37">
        <v>3600</v>
      </c>
      <c r="K24" s="37" t="s">
        <v>420</v>
      </c>
      <c r="L24" s="37"/>
      <c r="M24" s="37"/>
      <c r="N24" s="37"/>
      <c r="O24" s="35"/>
      <c r="P24" s="130">
        <f t="shared" si="11"/>
        <v>21</v>
      </c>
      <c r="Q24" s="80">
        <f t="shared" si="5"/>
        <v>8</v>
      </c>
      <c r="R24" s="80">
        <f t="shared" si="6"/>
        <v>210</v>
      </c>
      <c r="S24" s="79">
        <f t="shared" si="7"/>
        <v>1.3333333333333333</v>
      </c>
      <c r="T24" s="80">
        <f t="shared" si="8"/>
        <v>35</v>
      </c>
      <c r="U24" s="79">
        <f>SUM(S$4:S24)/A24</f>
        <v>2.0456349206349214</v>
      </c>
      <c r="V24" s="80">
        <f>SUM(T$4:T24)/A24</f>
        <v>41.170634920634924</v>
      </c>
      <c r="W24" s="79">
        <f t="shared" si="12"/>
        <v>20</v>
      </c>
      <c r="X24" s="80">
        <f t="shared" si="13"/>
        <v>180</v>
      </c>
      <c r="Y24" s="138">
        <f t="shared" si="14"/>
        <v>26.25</v>
      </c>
      <c r="Z24" s="138">
        <f t="shared" si="9"/>
        <v>3.8095238095238099E-2</v>
      </c>
      <c r="AA24" s="138">
        <f>SUM(Y$4:Y24)/$A24</f>
        <v>23.617005349148208</v>
      </c>
      <c r="AB24" s="138">
        <f>SUM(Z$4:Z24)/$A24</f>
        <v>4.5435737381232556E-2</v>
      </c>
      <c r="AC24" s="138">
        <f t="shared" si="15"/>
        <v>40</v>
      </c>
      <c r="AD24" s="138">
        <f t="shared" si="16"/>
        <v>0.2</v>
      </c>
      <c r="AE24" s="138">
        <f t="shared" si="17"/>
        <v>0</v>
      </c>
      <c r="AF24" s="80">
        <f t="shared" si="18"/>
        <v>13</v>
      </c>
      <c r="AG24" s="80">
        <f t="shared" si="19"/>
        <v>280</v>
      </c>
      <c r="AH24" s="138">
        <f>SUM(F$4:F24)/SUM(I$4:I24)*3600</f>
        <v>1.216685979142526</v>
      </c>
      <c r="AI24" s="138">
        <f>SUM(R$4:R24)/SUM(I$4:I24)*3600</f>
        <v>29.965237543453071</v>
      </c>
      <c r="AJ24">
        <f>ROUNDUP(I24/Others!$B$2,0)</f>
        <v>6</v>
      </c>
      <c r="AK24">
        <f>ROUNDUP(I24/Others!$B$2,0)*100*1</f>
        <v>600</v>
      </c>
      <c r="AL24" s="186">
        <v>86400</v>
      </c>
      <c r="AM24" s="143">
        <f t="shared" si="0"/>
        <v>1440</v>
      </c>
      <c r="AN24" s="64">
        <f t="shared" si="0"/>
        <v>24</v>
      </c>
    </row>
    <row r="25" spans="1:40">
      <c r="A25" s="36">
        <f t="shared" si="1"/>
        <v>22</v>
      </c>
      <c r="B25" s="249" t="s">
        <v>367</v>
      </c>
      <c r="C25" s="36">
        <v>41</v>
      </c>
      <c r="D25" s="37"/>
      <c r="E25" s="76">
        <f t="shared" si="10"/>
        <v>420</v>
      </c>
      <c r="F25" s="77">
        <f t="shared" si="2"/>
        <v>8</v>
      </c>
      <c r="G25" s="77">
        <f t="shared" si="3"/>
        <v>210</v>
      </c>
      <c r="H25" s="76">
        <f t="shared" si="4"/>
        <v>2</v>
      </c>
      <c r="I25" s="36">
        <v>21600</v>
      </c>
      <c r="J25" s="37">
        <v>3600</v>
      </c>
      <c r="K25" s="37" t="s">
        <v>420</v>
      </c>
      <c r="L25" s="37"/>
      <c r="M25" s="37"/>
      <c r="N25" s="37"/>
      <c r="O25" s="35"/>
      <c r="P25" s="130">
        <f t="shared" si="11"/>
        <v>22</v>
      </c>
      <c r="Q25" s="80">
        <f t="shared" si="5"/>
        <v>8</v>
      </c>
      <c r="R25" s="80">
        <f t="shared" si="6"/>
        <v>210</v>
      </c>
      <c r="S25" s="79">
        <f t="shared" si="7"/>
        <v>1.3333333333333333</v>
      </c>
      <c r="T25" s="80">
        <f t="shared" si="8"/>
        <v>35</v>
      </c>
      <c r="U25" s="79">
        <f>SUM(S$4:S25)/A25</f>
        <v>2.0132575757575766</v>
      </c>
      <c r="V25" s="80">
        <f>SUM(T$4:T25)/A25</f>
        <v>40.890151515151516</v>
      </c>
      <c r="W25" s="79">
        <f t="shared" si="12"/>
        <v>20</v>
      </c>
      <c r="X25" s="80">
        <f t="shared" si="13"/>
        <v>180</v>
      </c>
      <c r="Y25" s="138">
        <f t="shared" si="14"/>
        <v>26.25</v>
      </c>
      <c r="Z25" s="138">
        <f t="shared" si="9"/>
        <v>3.8095238095238099E-2</v>
      </c>
      <c r="AA25" s="138">
        <f>SUM(Y$4:Y25)/$A25</f>
        <v>23.736686924186927</v>
      </c>
      <c r="AB25" s="138">
        <f>SUM(Z$4:Z25)/$A25</f>
        <v>4.5102078322778266E-2</v>
      </c>
      <c r="AC25" s="138">
        <f t="shared" si="15"/>
        <v>40</v>
      </c>
      <c r="AD25" s="138">
        <f t="shared" si="16"/>
        <v>0.2</v>
      </c>
      <c r="AE25" s="138">
        <f t="shared" si="17"/>
        <v>0</v>
      </c>
      <c r="AF25" s="80">
        <f t="shared" si="18"/>
        <v>13</v>
      </c>
      <c r="AG25" s="80">
        <f t="shared" si="19"/>
        <v>280</v>
      </c>
      <c r="AH25" s="138">
        <f>SUM(F$4:F25)/SUM(I$4:I25)*3600</f>
        <v>1.222466960352423</v>
      </c>
      <c r="AI25" s="138">
        <f>SUM(R$4:R25)/SUM(I$4:I25)*3600</f>
        <v>30.214757709251103</v>
      </c>
      <c r="AJ25">
        <f>ROUNDUP(I25/Others!$B$2,0)</f>
        <v>6</v>
      </c>
      <c r="AK25">
        <f>ROUNDUP(I25/Others!$B$2,0)*100*1</f>
        <v>600</v>
      </c>
    </row>
    <row r="26" spans="1:40">
      <c r="A26" s="36">
        <f t="shared" si="1"/>
        <v>23</v>
      </c>
      <c r="B26" s="35"/>
      <c r="C26" s="36">
        <v>43</v>
      </c>
      <c r="D26" s="37"/>
      <c r="E26" s="76">
        <f t="shared" si="10"/>
        <v>430</v>
      </c>
      <c r="F26" s="77">
        <f t="shared" ref="F26:F53" si="20">ROUNDDOWN(1*(1+C26/100)*(1+I26/3600),0)</f>
        <v>10</v>
      </c>
      <c r="G26" s="77">
        <f t="shared" si="3"/>
        <v>215</v>
      </c>
      <c r="H26" s="76">
        <f t="shared" si="4"/>
        <v>2</v>
      </c>
      <c r="I26" s="36">
        <v>21600</v>
      </c>
      <c r="J26" s="37">
        <v>3600</v>
      </c>
      <c r="K26" s="37" t="s">
        <v>420</v>
      </c>
      <c r="L26" s="37"/>
      <c r="M26" s="37"/>
      <c r="N26" s="37"/>
      <c r="O26" s="35"/>
      <c r="P26" s="130">
        <f t="shared" si="11"/>
        <v>23</v>
      </c>
      <c r="Q26" s="80">
        <f t="shared" si="5"/>
        <v>10</v>
      </c>
      <c r="R26" s="80">
        <f t="shared" si="6"/>
        <v>215</v>
      </c>
      <c r="S26" s="79">
        <f t="shared" si="7"/>
        <v>1.6666666666666667</v>
      </c>
      <c r="T26" s="80">
        <f t="shared" si="8"/>
        <v>35.833333333333336</v>
      </c>
      <c r="U26" s="79">
        <f>SUM(S$4:S26)/A26</f>
        <v>1.9981884057971022</v>
      </c>
      <c r="V26" s="80">
        <f>SUM(T$4:T26)/A26</f>
        <v>40.670289855072468</v>
      </c>
      <c r="W26" s="79">
        <f t="shared" si="12"/>
        <v>20</v>
      </c>
      <c r="X26" s="80">
        <f t="shared" si="13"/>
        <v>180</v>
      </c>
      <c r="Y26" s="138">
        <f t="shared" si="14"/>
        <v>21.5</v>
      </c>
      <c r="Z26" s="138">
        <f t="shared" si="9"/>
        <v>4.6511627906976744E-2</v>
      </c>
      <c r="AA26" s="138">
        <f>SUM(Y$4:Y26)/$A26</f>
        <v>23.639439666613583</v>
      </c>
      <c r="AB26" s="138">
        <f>SUM(Z$4:Z26)/$A26</f>
        <v>4.5163363087308631E-2</v>
      </c>
      <c r="AC26" s="138">
        <f t="shared" si="15"/>
        <v>40</v>
      </c>
      <c r="AD26" s="138">
        <f t="shared" si="16"/>
        <v>0.2</v>
      </c>
      <c r="AE26" s="138">
        <f t="shared" si="17"/>
        <v>0</v>
      </c>
      <c r="AF26" s="80">
        <f t="shared" si="18"/>
        <v>13</v>
      </c>
      <c r="AG26" s="80">
        <f t="shared" si="19"/>
        <v>280</v>
      </c>
      <c r="AH26" s="138">
        <f>SUM(F$4:F26)/SUM(I$4:I26)*3600</f>
        <v>1.2434417628541448</v>
      </c>
      <c r="AI26" s="138">
        <f>SUM(R$4:R26)/SUM(I$4:I26)*3600</f>
        <v>30.480062959076598</v>
      </c>
      <c r="AJ26">
        <f>ROUNDUP(I26/Others!$B$2,0)</f>
        <v>6</v>
      </c>
      <c r="AK26">
        <f>ROUNDUP(I26/Others!$B$2,0)*100*1</f>
        <v>600</v>
      </c>
    </row>
    <row r="27" spans="1:40">
      <c r="A27" s="36">
        <f t="shared" si="1"/>
        <v>24</v>
      </c>
      <c r="B27" s="35"/>
      <c r="C27" s="36">
        <v>45</v>
      </c>
      <c r="D27" s="37"/>
      <c r="E27" s="76">
        <f t="shared" si="10"/>
        <v>430</v>
      </c>
      <c r="F27" s="77">
        <f t="shared" si="20"/>
        <v>10</v>
      </c>
      <c r="G27" s="77">
        <f t="shared" si="3"/>
        <v>215</v>
      </c>
      <c r="H27" s="76">
        <f t="shared" si="4"/>
        <v>2</v>
      </c>
      <c r="I27" s="36">
        <v>21600</v>
      </c>
      <c r="J27" s="37">
        <v>3600</v>
      </c>
      <c r="K27" s="37" t="s">
        <v>420</v>
      </c>
      <c r="L27" s="37"/>
      <c r="M27" s="37"/>
      <c r="N27" s="37"/>
      <c r="O27" s="35"/>
      <c r="P27" s="130">
        <f t="shared" si="11"/>
        <v>24</v>
      </c>
      <c r="Q27" s="80">
        <f t="shared" si="5"/>
        <v>10</v>
      </c>
      <c r="R27" s="80">
        <f t="shared" si="6"/>
        <v>215</v>
      </c>
      <c r="S27" s="79">
        <f t="shared" si="7"/>
        <v>1.6666666666666667</v>
      </c>
      <c r="T27" s="80">
        <f t="shared" si="8"/>
        <v>35.833333333333336</v>
      </c>
      <c r="U27" s="79">
        <f>SUM(S$4:S27)/A27</f>
        <v>1.9843750000000007</v>
      </c>
      <c r="V27" s="80">
        <f>SUM(T$4:T27)/A27</f>
        <v>40.468750000000007</v>
      </c>
      <c r="W27" s="79">
        <f t="shared" si="12"/>
        <v>20</v>
      </c>
      <c r="X27" s="80">
        <f t="shared" si="13"/>
        <v>180</v>
      </c>
      <c r="Y27" s="138">
        <f t="shared" si="14"/>
        <v>21.5</v>
      </c>
      <c r="Z27" s="138">
        <f t="shared" si="9"/>
        <v>4.6511627906976744E-2</v>
      </c>
      <c r="AA27" s="138">
        <f>SUM(Y$4:Y27)/$A27</f>
        <v>23.550296347171351</v>
      </c>
      <c r="AB27" s="138">
        <f>SUM(Z$4:Z27)/$A27</f>
        <v>4.5219540788128142E-2</v>
      </c>
      <c r="AC27" s="138">
        <f t="shared" si="15"/>
        <v>40</v>
      </c>
      <c r="AD27" s="138">
        <f t="shared" si="16"/>
        <v>0.2</v>
      </c>
      <c r="AE27" s="138">
        <f t="shared" si="17"/>
        <v>0</v>
      </c>
      <c r="AF27" s="80">
        <f t="shared" si="18"/>
        <v>13</v>
      </c>
      <c r="AG27" s="80">
        <f t="shared" si="19"/>
        <v>280</v>
      </c>
      <c r="AH27" s="138">
        <f>SUM(F$4:F27)/SUM(I$4:I27)*3600</f>
        <v>1.2625250501002003</v>
      </c>
      <c r="AI27" s="138">
        <f>SUM(R$4:R27)/SUM(I$4:I27)*3600</f>
        <v>30.721442885771545</v>
      </c>
      <c r="AJ27">
        <f>ROUNDUP(I27/Others!$B$2,0)</f>
        <v>6</v>
      </c>
      <c r="AK27">
        <f>ROUNDUP(I27/Others!$B$2,0)*100*1</f>
        <v>600</v>
      </c>
    </row>
    <row r="28" spans="1:40">
      <c r="A28" s="36">
        <f t="shared" si="1"/>
        <v>25</v>
      </c>
      <c r="B28" s="35"/>
      <c r="C28" s="36">
        <v>47</v>
      </c>
      <c r="D28" s="37"/>
      <c r="E28" s="76">
        <f t="shared" si="10"/>
        <v>440</v>
      </c>
      <c r="F28" s="77">
        <f t="shared" si="20"/>
        <v>10</v>
      </c>
      <c r="G28" s="77">
        <f t="shared" si="3"/>
        <v>220</v>
      </c>
      <c r="H28" s="76">
        <f t="shared" si="4"/>
        <v>2</v>
      </c>
      <c r="I28" s="36">
        <v>21600</v>
      </c>
      <c r="J28" s="37">
        <v>3600</v>
      </c>
      <c r="K28" s="37" t="s">
        <v>420</v>
      </c>
      <c r="L28" s="37"/>
      <c r="M28" s="37"/>
      <c r="N28" s="37"/>
      <c r="O28" s="35"/>
      <c r="P28" s="130">
        <f t="shared" si="11"/>
        <v>25</v>
      </c>
      <c r="Q28" s="80">
        <f t="shared" si="5"/>
        <v>10</v>
      </c>
      <c r="R28" s="80">
        <f t="shared" si="6"/>
        <v>220</v>
      </c>
      <c r="S28" s="79">
        <f t="shared" si="7"/>
        <v>1.6666666666666667</v>
      </c>
      <c r="T28" s="80">
        <f t="shared" si="8"/>
        <v>36.666666666666664</v>
      </c>
      <c r="U28" s="79">
        <f>SUM(S$4:S28)/A28</f>
        <v>1.9716666666666671</v>
      </c>
      <c r="V28" s="80">
        <f>SUM(T$4:T28)/A28</f>
        <v>40.31666666666667</v>
      </c>
      <c r="W28" s="79">
        <f t="shared" si="12"/>
        <v>20</v>
      </c>
      <c r="X28" s="80">
        <f t="shared" si="13"/>
        <v>180</v>
      </c>
      <c r="Y28" s="138">
        <f t="shared" si="14"/>
        <v>22</v>
      </c>
      <c r="Z28" s="138">
        <f t="shared" si="9"/>
        <v>4.5454545454545456E-2</v>
      </c>
      <c r="AA28" s="138">
        <f>SUM(Y$4:Y28)/$A28</f>
        <v>23.488284493284496</v>
      </c>
      <c r="AB28" s="138">
        <f>SUM(Z$4:Z28)/$A28</f>
        <v>4.5228940974784831E-2</v>
      </c>
      <c r="AC28" s="138">
        <f t="shared" si="15"/>
        <v>40</v>
      </c>
      <c r="AD28" s="138">
        <f t="shared" si="16"/>
        <v>0.2</v>
      </c>
      <c r="AE28" s="138">
        <f t="shared" si="17"/>
        <v>0</v>
      </c>
      <c r="AF28" s="80">
        <f t="shared" si="18"/>
        <v>13</v>
      </c>
      <c r="AG28" s="80">
        <f t="shared" si="19"/>
        <v>280</v>
      </c>
      <c r="AH28" s="138">
        <f>SUM(F$4:F28)/SUM(I$4:I28)*3600</f>
        <v>1.2799616490891659</v>
      </c>
      <c r="AI28" s="138">
        <f>SUM(R$4:R28)/SUM(I$4:I28)*3600</f>
        <v>30.977948226270378</v>
      </c>
      <c r="AJ28">
        <f>ROUNDUP(I28/Others!$B$2,0)</f>
        <v>6</v>
      </c>
      <c r="AK28">
        <f>ROUNDUP(I28/Others!$B$2,0)*100*1</f>
        <v>600</v>
      </c>
    </row>
    <row r="29" spans="1:40">
      <c r="A29" s="36">
        <f t="shared" si="1"/>
        <v>26</v>
      </c>
      <c r="B29" s="35"/>
      <c r="C29" s="36">
        <v>49</v>
      </c>
      <c r="D29" s="37"/>
      <c r="E29" s="76">
        <f t="shared" si="10"/>
        <v>450</v>
      </c>
      <c r="F29" s="77">
        <f t="shared" si="20"/>
        <v>10</v>
      </c>
      <c r="G29" s="77">
        <f t="shared" si="3"/>
        <v>225</v>
      </c>
      <c r="H29" s="76">
        <f t="shared" si="4"/>
        <v>2</v>
      </c>
      <c r="I29" s="36">
        <v>21600</v>
      </c>
      <c r="J29" s="37">
        <v>3600</v>
      </c>
      <c r="K29" s="37" t="s">
        <v>420</v>
      </c>
      <c r="L29" s="37"/>
      <c r="M29" s="37"/>
      <c r="N29" s="37"/>
      <c r="O29" s="35"/>
      <c r="P29" s="130">
        <f t="shared" si="11"/>
        <v>26</v>
      </c>
      <c r="Q29" s="80">
        <f t="shared" si="5"/>
        <v>10</v>
      </c>
      <c r="R29" s="80">
        <f t="shared" si="6"/>
        <v>225</v>
      </c>
      <c r="S29" s="79">
        <f t="shared" si="7"/>
        <v>1.6666666666666667</v>
      </c>
      <c r="T29" s="80">
        <f t="shared" si="8"/>
        <v>37.5</v>
      </c>
      <c r="U29" s="79">
        <f>SUM(S$4:S29)/A29</f>
        <v>1.9599358974358978</v>
      </c>
      <c r="V29" s="80">
        <f>SUM(T$4:T29)/A29</f>
        <v>40.208333333333336</v>
      </c>
      <c r="W29" s="79">
        <f t="shared" si="12"/>
        <v>20</v>
      </c>
      <c r="X29" s="80">
        <f t="shared" si="13"/>
        <v>180</v>
      </c>
      <c r="Y29" s="138">
        <f t="shared" si="14"/>
        <v>22.5</v>
      </c>
      <c r="Z29" s="138">
        <f t="shared" si="9"/>
        <v>4.4444444444444446E-2</v>
      </c>
      <c r="AA29" s="138">
        <f>SUM(Y$4:Y29)/$A29</f>
        <v>23.450273551235092</v>
      </c>
      <c r="AB29" s="138">
        <f>SUM(Z$4:Z29)/$A29</f>
        <v>4.5198768031310205E-2</v>
      </c>
      <c r="AC29" s="138">
        <f t="shared" si="15"/>
        <v>40</v>
      </c>
      <c r="AD29" s="138">
        <f t="shared" si="16"/>
        <v>0.2</v>
      </c>
      <c r="AE29" s="138">
        <f t="shared" si="17"/>
        <v>0</v>
      </c>
      <c r="AF29" s="80">
        <f t="shared" si="18"/>
        <v>13</v>
      </c>
      <c r="AG29" s="80">
        <f t="shared" si="19"/>
        <v>280</v>
      </c>
      <c r="AH29" s="138">
        <f>SUM(F$4:F29)/SUM(I$4:I29)*3600</f>
        <v>1.2959558823529413</v>
      </c>
      <c r="AI29" s="138">
        <f>SUM(R$4:R29)/SUM(I$4:I29)*3600</f>
        <v>31.247702205882355</v>
      </c>
      <c r="AJ29">
        <f>ROUNDUP(I29/Others!$B$2,0)</f>
        <v>6</v>
      </c>
      <c r="AK29">
        <f>ROUNDUP(I29/Others!$B$2,0)*100*1</f>
        <v>600</v>
      </c>
    </row>
    <row r="30" spans="1:40">
      <c r="A30" s="36">
        <f t="shared" si="1"/>
        <v>27</v>
      </c>
      <c r="B30" s="35"/>
      <c r="C30" s="36">
        <v>51</v>
      </c>
      <c r="D30" s="37"/>
      <c r="E30" s="76">
        <f t="shared" si="10"/>
        <v>450</v>
      </c>
      <c r="F30" s="77">
        <f t="shared" si="20"/>
        <v>10</v>
      </c>
      <c r="G30" s="77">
        <f t="shared" si="3"/>
        <v>225</v>
      </c>
      <c r="H30" s="76">
        <f t="shared" si="4"/>
        <v>2</v>
      </c>
      <c r="I30" s="36">
        <v>21600</v>
      </c>
      <c r="J30" s="37">
        <v>3600</v>
      </c>
      <c r="K30" s="37" t="s">
        <v>420</v>
      </c>
      <c r="L30" s="37"/>
      <c r="M30" s="37"/>
      <c r="N30" s="37"/>
      <c r="O30" s="35"/>
      <c r="P30" s="130">
        <f t="shared" si="11"/>
        <v>27</v>
      </c>
      <c r="Q30" s="80">
        <f t="shared" si="5"/>
        <v>10</v>
      </c>
      <c r="R30" s="80">
        <f t="shared" si="6"/>
        <v>225</v>
      </c>
      <c r="S30" s="79">
        <f t="shared" si="7"/>
        <v>1.6666666666666667</v>
      </c>
      <c r="T30" s="80">
        <f t="shared" si="8"/>
        <v>37.5</v>
      </c>
      <c r="U30" s="79">
        <f>SUM(S$4:S30)/A30</f>
        <v>1.9490740740740744</v>
      </c>
      <c r="V30" s="80">
        <f>SUM(T$4:T30)/A30</f>
        <v>40.108024691358025</v>
      </c>
      <c r="W30" s="79">
        <f t="shared" si="12"/>
        <v>20</v>
      </c>
      <c r="X30" s="80">
        <f t="shared" si="13"/>
        <v>180</v>
      </c>
      <c r="Y30" s="138">
        <f t="shared" si="14"/>
        <v>22.5</v>
      </c>
      <c r="Z30" s="138">
        <f t="shared" si="9"/>
        <v>4.4444444444444446E-2</v>
      </c>
      <c r="AA30" s="138">
        <f>SUM(Y$4:Y30)/$A30</f>
        <v>23.415078234522682</v>
      </c>
      <c r="AB30" s="138">
        <f>SUM(Z$4:Z30)/$A30</f>
        <v>4.5170830120685547E-2</v>
      </c>
      <c r="AC30" s="138">
        <f t="shared" si="15"/>
        <v>40</v>
      </c>
      <c r="AD30" s="138">
        <f t="shared" si="16"/>
        <v>0.2</v>
      </c>
      <c r="AE30" s="138">
        <f t="shared" si="17"/>
        <v>0</v>
      </c>
      <c r="AF30" s="80">
        <f t="shared" si="18"/>
        <v>13</v>
      </c>
      <c r="AG30" s="80">
        <f t="shared" si="19"/>
        <v>280</v>
      </c>
      <c r="AH30" s="138">
        <f>SUM(F$4:F30)/SUM(I$4:I30)*3600</f>
        <v>1.3106796116504855</v>
      </c>
      <c r="AI30" s="138">
        <f>SUM(R$4:R30)/SUM(I$4:I30)*3600</f>
        <v>31.49602824360106</v>
      </c>
      <c r="AJ30">
        <f>ROUNDUP(I30/Others!$B$2,0)</f>
        <v>6</v>
      </c>
      <c r="AK30">
        <f>ROUNDUP(I30/Others!$B$2,0)*100*1</f>
        <v>600</v>
      </c>
    </row>
    <row r="31" spans="1:40">
      <c r="A31" s="36">
        <f t="shared" si="1"/>
        <v>28</v>
      </c>
      <c r="B31" s="35"/>
      <c r="C31" s="36">
        <v>53</v>
      </c>
      <c r="D31" s="37"/>
      <c r="E31" s="76">
        <f t="shared" si="10"/>
        <v>460</v>
      </c>
      <c r="F31" s="77">
        <f t="shared" si="20"/>
        <v>10</v>
      </c>
      <c r="G31" s="77">
        <f t="shared" si="3"/>
        <v>230</v>
      </c>
      <c r="H31" s="76">
        <f t="shared" si="4"/>
        <v>2</v>
      </c>
      <c r="I31" s="36">
        <v>21600</v>
      </c>
      <c r="J31" s="37">
        <v>3600</v>
      </c>
      <c r="K31" s="37" t="s">
        <v>420</v>
      </c>
      <c r="L31" s="37"/>
      <c r="M31" s="37"/>
      <c r="N31" s="37"/>
      <c r="O31" s="35"/>
      <c r="P31" s="130">
        <f t="shared" si="11"/>
        <v>28</v>
      </c>
      <c r="Q31" s="80">
        <f t="shared" si="5"/>
        <v>10</v>
      </c>
      <c r="R31" s="80">
        <f t="shared" si="6"/>
        <v>230</v>
      </c>
      <c r="S31" s="79">
        <f t="shared" si="7"/>
        <v>1.6666666666666667</v>
      </c>
      <c r="T31" s="80">
        <f t="shared" si="8"/>
        <v>38.333333333333336</v>
      </c>
      <c r="U31" s="79">
        <f>SUM(S$4:S31)/A31</f>
        <v>1.9389880952380953</v>
      </c>
      <c r="V31" s="80">
        <f>SUM(T$4:T31)/A31</f>
        <v>40.044642857142854</v>
      </c>
      <c r="W31" s="79">
        <f t="shared" si="12"/>
        <v>20</v>
      </c>
      <c r="X31" s="80">
        <f t="shared" si="13"/>
        <v>180</v>
      </c>
      <c r="Y31" s="138">
        <f t="shared" si="14"/>
        <v>23</v>
      </c>
      <c r="Z31" s="138">
        <f t="shared" si="9"/>
        <v>4.3478260869565216E-2</v>
      </c>
      <c r="AA31" s="138">
        <f>SUM(Y$4:Y31)/$A31</f>
        <v>23.400254011861158</v>
      </c>
      <c r="AB31" s="138">
        <f>SUM(Z$4:Z31)/$A31</f>
        <v>4.5110381218859817E-2</v>
      </c>
      <c r="AC31" s="138">
        <f t="shared" si="15"/>
        <v>40</v>
      </c>
      <c r="AD31" s="138">
        <f t="shared" si="16"/>
        <v>0.2</v>
      </c>
      <c r="AE31" s="138">
        <f t="shared" si="17"/>
        <v>0</v>
      </c>
      <c r="AF31" s="80">
        <f t="shared" si="18"/>
        <v>13</v>
      </c>
      <c r="AG31" s="80">
        <f t="shared" si="19"/>
        <v>280</v>
      </c>
      <c r="AH31" s="138">
        <f>SUM(F$4:F31)/SUM(I$4:I31)*3600</f>
        <v>1.3242784380305603</v>
      </c>
      <c r="AI31" s="138">
        <f>SUM(R$4:R31)/SUM(I$4:I31)*3600</f>
        <v>31.757215619694399</v>
      </c>
      <c r="AJ31">
        <f>ROUNDUP(I31/Others!$B$2,0)</f>
        <v>6</v>
      </c>
      <c r="AK31">
        <f>ROUNDUP(I31/Others!$B$2,0)*100*1</f>
        <v>600</v>
      </c>
    </row>
    <row r="32" spans="1:40">
      <c r="A32" s="36">
        <f t="shared" si="1"/>
        <v>29</v>
      </c>
      <c r="B32" s="35"/>
      <c r="C32" s="36">
        <v>55</v>
      </c>
      <c r="D32" s="37"/>
      <c r="E32" s="76">
        <f t="shared" si="10"/>
        <v>460</v>
      </c>
      <c r="F32" s="77">
        <f t="shared" si="20"/>
        <v>10</v>
      </c>
      <c r="G32" s="77">
        <f t="shared" si="3"/>
        <v>230</v>
      </c>
      <c r="H32" s="76">
        <f t="shared" si="4"/>
        <v>2</v>
      </c>
      <c r="I32" s="36">
        <v>21600</v>
      </c>
      <c r="J32" s="37">
        <v>3600</v>
      </c>
      <c r="K32" s="37" t="s">
        <v>420</v>
      </c>
      <c r="L32" s="37"/>
      <c r="M32" s="37"/>
      <c r="N32" s="37"/>
      <c r="O32" s="35"/>
      <c r="P32" s="130">
        <f t="shared" si="11"/>
        <v>29</v>
      </c>
      <c r="Q32" s="80">
        <f t="shared" si="5"/>
        <v>10</v>
      </c>
      <c r="R32" s="80">
        <f t="shared" si="6"/>
        <v>230</v>
      </c>
      <c r="S32" s="79">
        <f t="shared" si="7"/>
        <v>1.6666666666666667</v>
      </c>
      <c r="T32" s="80">
        <f t="shared" si="8"/>
        <v>38.333333333333336</v>
      </c>
      <c r="U32" s="79">
        <f>SUM(S$4:S32)/A32</f>
        <v>1.9295977011494254</v>
      </c>
      <c r="V32" s="80">
        <f>SUM(T$4:T32)/A32</f>
        <v>39.985632183908045</v>
      </c>
      <c r="W32" s="79">
        <f t="shared" si="12"/>
        <v>20</v>
      </c>
      <c r="X32" s="80">
        <f t="shared" si="13"/>
        <v>180</v>
      </c>
      <c r="Y32" s="138">
        <f t="shared" si="14"/>
        <v>23</v>
      </c>
      <c r="Z32" s="138">
        <f t="shared" si="9"/>
        <v>4.3478260869565216E-2</v>
      </c>
      <c r="AA32" s="138">
        <f>SUM(Y$4:Y32)/$A32</f>
        <v>23.386452149383185</v>
      </c>
      <c r="AB32" s="138">
        <f>SUM(Z$4:Z32)/$A32</f>
        <v>4.5054101206815175E-2</v>
      </c>
      <c r="AC32" s="138">
        <f t="shared" si="15"/>
        <v>40</v>
      </c>
      <c r="AD32" s="138">
        <f t="shared" si="16"/>
        <v>0.2</v>
      </c>
      <c r="AE32" s="138">
        <f t="shared" si="17"/>
        <v>0</v>
      </c>
      <c r="AF32" s="80">
        <f t="shared" si="18"/>
        <v>13</v>
      </c>
      <c r="AG32" s="80">
        <f t="shared" si="19"/>
        <v>280</v>
      </c>
      <c r="AH32" s="138">
        <f>SUM(F$4:F32)/SUM(I$4:I32)*3600</f>
        <v>1.3368765331152903</v>
      </c>
      <c r="AI32" s="138">
        <f>SUM(R$4:R32)/SUM(I$4:I32)*3600</f>
        <v>31.999182338511858</v>
      </c>
      <c r="AJ32">
        <f>ROUNDUP(I32/Others!$B$2,0)</f>
        <v>6</v>
      </c>
      <c r="AK32">
        <f>ROUNDUP(I32/Others!$B$2,0)*100*1</f>
        <v>600</v>
      </c>
    </row>
    <row r="33" spans="1:37">
      <c r="A33" s="36">
        <f t="shared" si="1"/>
        <v>30</v>
      </c>
      <c r="B33" s="35"/>
      <c r="C33" s="36">
        <v>57</v>
      </c>
      <c r="D33" s="37"/>
      <c r="E33" s="76">
        <f t="shared" si="10"/>
        <v>470</v>
      </c>
      <c r="F33" s="77">
        <f t="shared" si="20"/>
        <v>10</v>
      </c>
      <c r="G33" s="77">
        <f t="shared" si="3"/>
        <v>235</v>
      </c>
      <c r="H33" s="76">
        <f t="shared" si="4"/>
        <v>2</v>
      </c>
      <c r="I33" s="36">
        <v>21600</v>
      </c>
      <c r="J33" s="37">
        <v>3600</v>
      </c>
      <c r="K33" s="37" t="s">
        <v>420</v>
      </c>
      <c r="L33" s="37"/>
      <c r="M33" s="37"/>
      <c r="N33" s="37"/>
      <c r="O33" s="35"/>
      <c r="P33" s="130">
        <f t="shared" si="11"/>
        <v>30</v>
      </c>
      <c r="Q33" s="80">
        <f t="shared" si="5"/>
        <v>10</v>
      </c>
      <c r="R33" s="80">
        <f t="shared" si="6"/>
        <v>235</v>
      </c>
      <c r="S33" s="79">
        <f t="shared" si="7"/>
        <v>1.6666666666666667</v>
      </c>
      <c r="T33" s="80">
        <f t="shared" si="8"/>
        <v>39.166666666666664</v>
      </c>
      <c r="U33" s="79">
        <f>SUM(S$4:S33)/A33</f>
        <v>1.9208333333333334</v>
      </c>
      <c r="V33" s="80">
        <f>SUM(T$4:T33)/A33</f>
        <v>39.958333333333336</v>
      </c>
      <c r="W33" s="79">
        <f t="shared" si="12"/>
        <v>20</v>
      </c>
      <c r="X33" s="80">
        <f t="shared" si="13"/>
        <v>180</v>
      </c>
      <c r="Y33" s="138">
        <f t="shared" si="14"/>
        <v>23.5</v>
      </c>
      <c r="Z33" s="138">
        <f t="shared" si="9"/>
        <v>4.2553191489361701E-2</v>
      </c>
      <c r="AA33" s="138">
        <f>SUM(Y$4:Y33)/$A33</f>
        <v>23.39023707773708</v>
      </c>
      <c r="AB33" s="138">
        <f>SUM(Z$4:Z33)/$A33</f>
        <v>4.4970737549566729E-2</v>
      </c>
      <c r="AC33" s="138">
        <f t="shared" si="15"/>
        <v>40</v>
      </c>
      <c r="AD33" s="138">
        <f t="shared" si="16"/>
        <v>0.2</v>
      </c>
      <c r="AE33" s="138">
        <f t="shared" si="17"/>
        <v>0</v>
      </c>
      <c r="AF33" s="80">
        <f t="shared" si="18"/>
        <v>13</v>
      </c>
      <c r="AG33" s="80">
        <f t="shared" si="19"/>
        <v>280</v>
      </c>
      <c r="AH33" s="138">
        <f>SUM(F$4:F33)/SUM(I$4:I33)*3600</f>
        <v>1.3485804416403786</v>
      </c>
      <c r="AI33" s="138">
        <f>SUM(R$4:R33)/SUM(I$4:I33)*3600</f>
        <v>32.253548895899051</v>
      </c>
      <c r="AJ33">
        <f>ROUNDUP(I33/Others!$B$2,0)</f>
        <v>6</v>
      </c>
      <c r="AK33">
        <f>ROUNDUP(I33/Others!$B$2,0)*100*1</f>
        <v>600</v>
      </c>
    </row>
    <row r="34" spans="1:37">
      <c r="A34" s="36">
        <f t="shared" si="1"/>
        <v>31</v>
      </c>
      <c r="B34" s="35"/>
      <c r="C34" s="36">
        <v>59</v>
      </c>
      <c r="D34" s="37"/>
      <c r="E34" s="76">
        <f t="shared" si="10"/>
        <v>480</v>
      </c>
      <c r="F34" s="77">
        <f t="shared" si="20"/>
        <v>11</v>
      </c>
      <c r="G34" s="77">
        <f t="shared" si="3"/>
        <v>240</v>
      </c>
      <c r="H34" s="76">
        <f t="shared" si="4"/>
        <v>2</v>
      </c>
      <c r="I34" s="36">
        <v>21600</v>
      </c>
      <c r="J34" s="37">
        <v>3600</v>
      </c>
      <c r="K34" s="37" t="s">
        <v>420</v>
      </c>
      <c r="L34" s="37"/>
      <c r="M34" s="37"/>
      <c r="N34" s="37"/>
      <c r="O34" s="35"/>
      <c r="P34" s="130">
        <f t="shared" si="11"/>
        <v>31</v>
      </c>
      <c r="Q34" s="80">
        <f t="shared" si="5"/>
        <v>11</v>
      </c>
      <c r="R34" s="80">
        <f t="shared" si="6"/>
        <v>240</v>
      </c>
      <c r="S34" s="79">
        <f t="shared" si="7"/>
        <v>1.8333333333333333</v>
      </c>
      <c r="T34" s="80">
        <f t="shared" si="8"/>
        <v>40</v>
      </c>
      <c r="U34" s="79">
        <f>SUM(S$4:S34)/A34</f>
        <v>1.9180107526881722</v>
      </c>
      <c r="V34" s="80">
        <f>SUM(T$4:T34)/A34</f>
        <v>39.95967741935484</v>
      </c>
      <c r="W34" s="79">
        <f t="shared" si="12"/>
        <v>20</v>
      </c>
      <c r="X34" s="80">
        <f t="shared" si="13"/>
        <v>180</v>
      </c>
      <c r="Y34" s="138">
        <f t="shared" si="14"/>
        <v>21.818181818181817</v>
      </c>
      <c r="Z34" s="138">
        <f t="shared" si="9"/>
        <v>4.583333333333333E-2</v>
      </c>
      <c r="AA34" s="138">
        <f>SUM(Y$4:Y34)/$A34</f>
        <v>23.339525617751427</v>
      </c>
      <c r="AB34" s="138">
        <f>SUM(Z$4:Z34)/$A34</f>
        <v>4.4998563220010813E-2</v>
      </c>
      <c r="AC34" s="138">
        <f t="shared" si="15"/>
        <v>40</v>
      </c>
      <c r="AD34" s="138">
        <f t="shared" si="16"/>
        <v>0.2</v>
      </c>
      <c r="AE34" s="138">
        <f t="shared" si="17"/>
        <v>0</v>
      </c>
      <c r="AF34" s="80">
        <f t="shared" si="18"/>
        <v>13</v>
      </c>
      <c r="AG34" s="80">
        <f t="shared" si="19"/>
        <v>280</v>
      </c>
      <c r="AH34" s="138">
        <f>SUM(F$4:F34)/SUM(I$4:I34)*3600</f>
        <v>1.3651942117288653</v>
      </c>
      <c r="AI34" s="138">
        <f>SUM(R$4:R34)/SUM(I$4:I34)*3600</f>
        <v>32.519040365575016</v>
      </c>
      <c r="AJ34">
        <f>ROUNDUP(I34/Others!$B$2,0)</f>
        <v>6</v>
      </c>
      <c r="AK34">
        <f>ROUNDUP(I34/Others!$B$2,0)*100*1</f>
        <v>600</v>
      </c>
    </row>
    <row r="35" spans="1:37">
      <c r="A35" s="36">
        <f t="shared" si="1"/>
        <v>32</v>
      </c>
      <c r="B35" s="35"/>
      <c r="C35" s="36">
        <v>61</v>
      </c>
      <c r="D35" s="37"/>
      <c r="E35" s="76">
        <f t="shared" si="10"/>
        <v>480</v>
      </c>
      <c r="F35" s="77">
        <f t="shared" si="20"/>
        <v>11</v>
      </c>
      <c r="G35" s="77">
        <f t="shared" si="3"/>
        <v>240</v>
      </c>
      <c r="H35" s="76">
        <f t="shared" si="4"/>
        <v>2</v>
      </c>
      <c r="I35" s="36">
        <v>21600</v>
      </c>
      <c r="J35" s="37">
        <v>3600</v>
      </c>
      <c r="K35" s="37" t="s">
        <v>420</v>
      </c>
      <c r="L35" s="37"/>
      <c r="M35" s="37"/>
      <c r="N35" s="37"/>
      <c r="O35" s="35"/>
      <c r="P35" s="130">
        <f t="shared" si="11"/>
        <v>32</v>
      </c>
      <c r="Q35" s="80">
        <f t="shared" si="5"/>
        <v>11</v>
      </c>
      <c r="R35" s="80">
        <f t="shared" si="6"/>
        <v>240</v>
      </c>
      <c r="S35" s="79">
        <f t="shared" si="7"/>
        <v>1.8333333333333333</v>
      </c>
      <c r="T35" s="80">
        <f t="shared" si="8"/>
        <v>40</v>
      </c>
      <c r="U35" s="79">
        <f>SUM(S$4:S35)/A35</f>
        <v>1.9153645833333335</v>
      </c>
      <c r="V35" s="80">
        <f>SUM(T$4:T35)/A35</f>
        <v>39.9609375</v>
      </c>
      <c r="W35" s="79">
        <f t="shared" si="12"/>
        <v>20</v>
      </c>
      <c r="X35" s="80">
        <f t="shared" si="13"/>
        <v>180</v>
      </c>
      <c r="Y35" s="138">
        <f t="shared" si="14"/>
        <v>21.818181818181817</v>
      </c>
      <c r="Z35" s="138">
        <f t="shared" si="9"/>
        <v>4.583333333333333E-2</v>
      </c>
      <c r="AA35" s="138">
        <f>SUM(Y$4:Y35)/$A35</f>
        <v>23.291983624014879</v>
      </c>
      <c r="AB35" s="138">
        <f>SUM(Z$4:Z35)/$A35</f>
        <v>4.5024649786052147E-2</v>
      </c>
      <c r="AC35" s="138">
        <f t="shared" si="15"/>
        <v>40</v>
      </c>
      <c r="AD35" s="138">
        <f t="shared" si="16"/>
        <v>0.2</v>
      </c>
      <c r="AE35" s="138">
        <f t="shared" si="17"/>
        <v>0</v>
      </c>
      <c r="AF35" s="80">
        <f t="shared" si="18"/>
        <v>13</v>
      </c>
      <c r="AG35" s="80">
        <f t="shared" si="19"/>
        <v>280</v>
      </c>
      <c r="AH35" s="138">
        <f>SUM(F$4:F35)/SUM(I$4:I35)*3600</f>
        <v>1.3807069219440353</v>
      </c>
      <c r="AI35" s="138">
        <f>SUM(R$4:R35)/SUM(I$4:I35)*3600</f>
        <v>32.766936671575849</v>
      </c>
      <c r="AJ35">
        <f>ROUNDUP(I35/Others!$B$2,0)</f>
        <v>6</v>
      </c>
      <c r="AK35">
        <f>ROUNDUP(I35/Others!$B$2,0)*100*1</f>
        <v>600</v>
      </c>
    </row>
    <row r="36" spans="1:37">
      <c r="A36" s="36">
        <f t="shared" si="1"/>
        <v>33</v>
      </c>
      <c r="B36" s="35"/>
      <c r="C36" s="36">
        <v>63</v>
      </c>
      <c r="D36" s="37"/>
      <c r="E36" s="76">
        <f t="shared" si="10"/>
        <v>490</v>
      </c>
      <c r="F36" s="77">
        <f t="shared" si="20"/>
        <v>11</v>
      </c>
      <c r="G36" s="77">
        <f t="shared" si="3"/>
        <v>245</v>
      </c>
      <c r="H36" s="76">
        <f t="shared" si="4"/>
        <v>2</v>
      </c>
      <c r="I36" s="36">
        <v>21600</v>
      </c>
      <c r="J36" s="37">
        <v>3600</v>
      </c>
      <c r="K36" s="37" t="s">
        <v>420</v>
      </c>
      <c r="L36" s="37"/>
      <c r="M36" s="37"/>
      <c r="N36" s="37"/>
      <c r="O36" s="35"/>
      <c r="P36" s="130">
        <f t="shared" si="11"/>
        <v>33</v>
      </c>
      <c r="Q36" s="80">
        <f t="shared" si="5"/>
        <v>11</v>
      </c>
      <c r="R36" s="80">
        <f t="shared" si="6"/>
        <v>245</v>
      </c>
      <c r="S36" s="79">
        <f t="shared" si="7"/>
        <v>1.8333333333333333</v>
      </c>
      <c r="T36" s="80">
        <f t="shared" si="8"/>
        <v>40.833333333333336</v>
      </c>
      <c r="U36" s="79">
        <f>SUM(S$4:S36)/A36</f>
        <v>1.9128787878787881</v>
      </c>
      <c r="V36" s="80">
        <f>SUM(T$4:T36)/A36</f>
        <v>39.987373737373737</v>
      </c>
      <c r="W36" s="79">
        <f t="shared" si="12"/>
        <v>20</v>
      </c>
      <c r="X36" s="80">
        <f t="shared" si="13"/>
        <v>180</v>
      </c>
      <c r="Y36" s="138">
        <f t="shared" si="14"/>
        <v>22.272727272727273</v>
      </c>
      <c r="Z36" s="138">
        <f t="shared" si="9"/>
        <v>4.4897959183673466E-2</v>
      </c>
      <c r="AA36" s="138">
        <f>SUM(Y$4:Y36)/$A36</f>
        <v>23.261097067915255</v>
      </c>
      <c r="AB36" s="138">
        <f>SUM(Z$4:Z36)/$A36</f>
        <v>4.5020810676889157E-2</v>
      </c>
      <c r="AC36" s="138">
        <f t="shared" si="15"/>
        <v>40</v>
      </c>
      <c r="AD36" s="138">
        <f t="shared" si="16"/>
        <v>0.2</v>
      </c>
      <c r="AE36" s="138">
        <f t="shared" si="17"/>
        <v>0</v>
      </c>
      <c r="AF36" s="80">
        <f t="shared" si="18"/>
        <v>13</v>
      </c>
      <c r="AG36" s="80">
        <f t="shared" si="19"/>
        <v>280</v>
      </c>
      <c r="AH36" s="138">
        <f>SUM(F$4:F36)/SUM(I$4:I36)*3600</f>
        <v>1.395224518888097</v>
      </c>
      <c r="AI36" s="138">
        <f>SUM(R$4:R36)/SUM(I$4:I36)*3600</f>
        <v>33.025659301496795</v>
      </c>
      <c r="AJ36">
        <f>ROUNDUP(I36/Others!$B$2,0)</f>
        <v>6</v>
      </c>
      <c r="AK36">
        <f>ROUNDUP(I36/Others!$B$2,0)*100*1</f>
        <v>600</v>
      </c>
    </row>
    <row r="37" spans="1:37">
      <c r="A37" s="36">
        <f t="shared" si="1"/>
        <v>34</v>
      </c>
      <c r="B37" s="35"/>
      <c r="C37" s="36">
        <v>65</v>
      </c>
      <c r="D37" s="37"/>
      <c r="E37" s="76">
        <f t="shared" si="10"/>
        <v>490</v>
      </c>
      <c r="F37" s="77">
        <f t="shared" si="20"/>
        <v>11</v>
      </c>
      <c r="G37" s="77">
        <f t="shared" si="3"/>
        <v>245</v>
      </c>
      <c r="H37" s="76">
        <f t="shared" si="4"/>
        <v>2</v>
      </c>
      <c r="I37" s="36">
        <v>21600</v>
      </c>
      <c r="J37" s="37">
        <v>3600</v>
      </c>
      <c r="K37" s="37" t="s">
        <v>420</v>
      </c>
      <c r="L37" s="37"/>
      <c r="M37" s="37"/>
      <c r="N37" s="37"/>
      <c r="O37" s="35"/>
      <c r="P37" s="130">
        <f t="shared" si="11"/>
        <v>34</v>
      </c>
      <c r="Q37" s="80">
        <f t="shared" si="5"/>
        <v>11</v>
      </c>
      <c r="R37" s="80">
        <f t="shared" si="6"/>
        <v>245</v>
      </c>
      <c r="S37" s="79">
        <f t="shared" si="7"/>
        <v>1.8333333333333333</v>
      </c>
      <c r="T37" s="80">
        <f t="shared" si="8"/>
        <v>40.833333333333336</v>
      </c>
      <c r="U37" s="79">
        <f>SUM(S$4:S37)/A37</f>
        <v>1.9105392156862748</v>
      </c>
      <c r="V37" s="80">
        <f>SUM(T$4:T37)/A37</f>
        <v>40.01225490196078</v>
      </c>
      <c r="W37" s="79">
        <f t="shared" si="12"/>
        <v>20</v>
      </c>
      <c r="X37" s="80">
        <f t="shared" si="13"/>
        <v>180</v>
      </c>
      <c r="Y37" s="138">
        <f t="shared" si="14"/>
        <v>22.272727272727273</v>
      </c>
      <c r="Z37" s="138">
        <f t="shared" si="9"/>
        <v>4.4897959183673466E-2</v>
      </c>
      <c r="AA37" s="138">
        <f>SUM(Y$4:Y37)/$A37</f>
        <v>23.232027368056784</v>
      </c>
      <c r="AB37" s="138">
        <f>SUM(Z$4:Z37)/$A37</f>
        <v>4.5017197397676935E-2</v>
      </c>
      <c r="AC37" s="138">
        <f t="shared" si="15"/>
        <v>40</v>
      </c>
      <c r="AD37" s="138">
        <f t="shared" si="16"/>
        <v>0.2</v>
      </c>
      <c r="AE37" s="138">
        <f t="shared" si="17"/>
        <v>0</v>
      </c>
      <c r="AF37" s="80">
        <f t="shared" si="18"/>
        <v>13</v>
      </c>
      <c r="AG37" s="80">
        <f t="shared" si="19"/>
        <v>280</v>
      </c>
      <c r="AH37" s="138">
        <f>SUM(F$4:F37)/SUM(I$4:I37)*3600</f>
        <v>1.4088397790055249</v>
      </c>
      <c r="AI37" s="138">
        <f>SUM(R$4:R37)/SUM(I$4:I37)*3600</f>
        <v>33.268301104972373</v>
      </c>
      <c r="AJ37">
        <f>ROUNDUP(I37/Others!$B$2,0)</f>
        <v>6</v>
      </c>
      <c r="AK37">
        <f>ROUNDUP(I37/Others!$B$2,0)*100*1</f>
        <v>600</v>
      </c>
    </row>
    <row r="38" spans="1:37">
      <c r="A38" s="36">
        <f t="shared" si="1"/>
        <v>35</v>
      </c>
      <c r="B38" s="35"/>
      <c r="C38" s="36">
        <v>67</v>
      </c>
      <c r="D38" s="37"/>
      <c r="E38" s="76">
        <f t="shared" si="10"/>
        <v>500</v>
      </c>
      <c r="F38" s="77">
        <f t="shared" si="20"/>
        <v>11</v>
      </c>
      <c r="G38" s="77">
        <f t="shared" si="3"/>
        <v>250</v>
      </c>
      <c r="H38" s="76">
        <f t="shared" si="4"/>
        <v>2</v>
      </c>
      <c r="I38" s="36">
        <v>21600</v>
      </c>
      <c r="J38" s="37">
        <v>3600</v>
      </c>
      <c r="K38" s="37" t="s">
        <v>420</v>
      </c>
      <c r="L38" s="37"/>
      <c r="M38" s="37"/>
      <c r="N38" s="37"/>
      <c r="O38" s="35"/>
      <c r="P38" s="130">
        <f t="shared" si="11"/>
        <v>35</v>
      </c>
      <c r="Q38" s="80">
        <f t="shared" si="5"/>
        <v>11</v>
      </c>
      <c r="R38" s="80">
        <f t="shared" si="6"/>
        <v>250</v>
      </c>
      <c r="S38" s="79">
        <f t="shared" si="7"/>
        <v>1.8333333333333333</v>
      </c>
      <c r="T38" s="80">
        <f t="shared" si="8"/>
        <v>41.666666666666664</v>
      </c>
      <c r="U38" s="79">
        <f>SUM(S$4:S38)/A38</f>
        <v>1.9083333333333334</v>
      </c>
      <c r="V38" s="80">
        <f>SUM(T$4:T38)/A38</f>
        <v>40.05952380952381</v>
      </c>
      <c r="W38" s="79">
        <f t="shared" si="12"/>
        <v>20</v>
      </c>
      <c r="X38" s="80">
        <f t="shared" si="13"/>
        <v>180</v>
      </c>
      <c r="Y38" s="138">
        <f t="shared" si="14"/>
        <v>22.727272727272727</v>
      </c>
      <c r="Z38" s="138">
        <f t="shared" si="9"/>
        <v>4.3999999999999997E-2</v>
      </c>
      <c r="AA38" s="138">
        <f>SUM(Y$4:Y38)/$A38</f>
        <v>23.217605806891527</v>
      </c>
      <c r="AB38" s="138">
        <f>SUM(Z$4:Z38)/$A38</f>
        <v>4.4988134614886169E-2</v>
      </c>
      <c r="AC38" s="138">
        <f t="shared" si="15"/>
        <v>40</v>
      </c>
      <c r="AD38" s="138">
        <f t="shared" si="16"/>
        <v>0.2</v>
      </c>
      <c r="AE38" s="138">
        <f t="shared" si="17"/>
        <v>0</v>
      </c>
      <c r="AF38" s="80">
        <f t="shared" si="18"/>
        <v>13</v>
      </c>
      <c r="AG38" s="80">
        <f t="shared" si="19"/>
        <v>280</v>
      </c>
      <c r="AH38" s="138">
        <f>SUM(F$4:F38)/SUM(I$4:I38)*3600</f>
        <v>1.4216342933690556</v>
      </c>
      <c r="AI38" s="138">
        <f>SUM(R$4:R38)/SUM(I$4:I38)*3600</f>
        <v>33.521433355659745</v>
      </c>
      <c r="AJ38">
        <f>ROUNDUP(I38/Others!$B$2,0)</f>
        <v>6</v>
      </c>
      <c r="AK38">
        <f>ROUNDUP(I38/Others!$B$2,0)*100*1</f>
        <v>600</v>
      </c>
    </row>
    <row r="39" spans="1:37">
      <c r="A39" s="36">
        <f t="shared" si="1"/>
        <v>36</v>
      </c>
      <c r="B39" s="35"/>
      <c r="C39" s="36">
        <v>69</v>
      </c>
      <c r="D39" s="37"/>
      <c r="E39" s="76">
        <f t="shared" si="10"/>
        <v>510</v>
      </c>
      <c r="F39" s="77">
        <f t="shared" si="20"/>
        <v>11</v>
      </c>
      <c r="G39" s="77">
        <f t="shared" si="3"/>
        <v>255</v>
      </c>
      <c r="H39" s="76">
        <f t="shared" si="4"/>
        <v>2</v>
      </c>
      <c r="I39" s="36">
        <v>21600</v>
      </c>
      <c r="J39" s="37">
        <v>3600</v>
      </c>
      <c r="K39" s="37" t="s">
        <v>420</v>
      </c>
      <c r="L39" s="37"/>
      <c r="M39" s="37"/>
      <c r="N39" s="37"/>
      <c r="O39" s="35"/>
      <c r="P39" s="130">
        <f t="shared" si="11"/>
        <v>36</v>
      </c>
      <c r="Q39" s="80">
        <f t="shared" si="5"/>
        <v>11</v>
      </c>
      <c r="R39" s="80">
        <f t="shared" si="6"/>
        <v>255</v>
      </c>
      <c r="S39" s="79">
        <f t="shared" si="7"/>
        <v>1.8333333333333333</v>
      </c>
      <c r="T39" s="80">
        <f t="shared" si="8"/>
        <v>42.5</v>
      </c>
      <c r="U39" s="79">
        <f>SUM(S$4:S39)/A39</f>
        <v>1.90625</v>
      </c>
      <c r="V39" s="80">
        <f>SUM(T$4:T39)/A39</f>
        <v>40.12731481481481</v>
      </c>
      <c r="W39" s="79">
        <f t="shared" si="12"/>
        <v>20</v>
      </c>
      <c r="X39" s="80">
        <f t="shared" si="13"/>
        <v>180</v>
      </c>
      <c r="Y39" s="138">
        <f t="shared" si="14"/>
        <v>23.181818181818183</v>
      </c>
      <c r="Z39" s="138">
        <f t="shared" si="9"/>
        <v>4.3137254901960784E-2</v>
      </c>
      <c r="AA39" s="138">
        <f>SUM(Y$4:Y39)/$A39</f>
        <v>23.216611706195042</v>
      </c>
      <c r="AB39" s="138">
        <f>SUM(Z$4:Z39)/$A39</f>
        <v>4.493672128952713E-2</v>
      </c>
      <c r="AC39" s="138">
        <f t="shared" si="15"/>
        <v>40</v>
      </c>
      <c r="AD39" s="138">
        <f t="shared" si="16"/>
        <v>0.2</v>
      </c>
      <c r="AE39" s="138">
        <f t="shared" si="17"/>
        <v>0</v>
      </c>
      <c r="AF39" s="80">
        <f t="shared" si="18"/>
        <v>13</v>
      </c>
      <c r="AG39" s="80">
        <f t="shared" si="19"/>
        <v>280</v>
      </c>
      <c r="AH39" s="138">
        <f>SUM(F$4:F39)/SUM(I$4:I39)*3600</f>
        <v>1.4336801040312093</v>
      </c>
      <c r="AI39" s="138">
        <f>SUM(R$4:R39)/SUM(I$4:I39)*3600</f>
        <v>33.784135240572169</v>
      </c>
      <c r="AJ39">
        <f>ROUNDUP(I39/Others!$B$2,0)</f>
        <v>6</v>
      </c>
      <c r="AK39">
        <f>ROUNDUP(I39/Others!$B$2,0)*100*1</f>
        <v>600</v>
      </c>
    </row>
    <row r="40" spans="1:37">
      <c r="A40" s="36">
        <f t="shared" si="1"/>
        <v>37</v>
      </c>
      <c r="B40" s="35"/>
      <c r="C40" s="36">
        <v>71</v>
      </c>
      <c r="D40" s="37"/>
      <c r="E40" s="76">
        <f t="shared" si="10"/>
        <v>510</v>
      </c>
      <c r="F40" s="77">
        <f t="shared" si="20"/>
        <v>11</v>
      </c>
      <c r="G40" s="77">
        <f t="shared" si="3"/>
        <v>255</v>
      </c>
      <c r="H40" s="76">
        <f t="shared" si="4"/>
        <v>2</v>
      </c>
      <c r="I40" s="36">
        <v>21600</v>
      </c>
      <c r="J40" s="37">
        <v>3600</v>
      </c>
      <c r="K40" s="37" t="s">
        <v>420</v>
      </c>
      <c r="L40" s="37"/>
      <c r="M40" s="37"/>
      <c r="N40" s="37"/>
      <c r="O40" s="35"/>
      <c r="P40" s="130">
        <f t="shared" si="11"/>
        <v>37</v>
      </c>
      <c r="Q40" s="80">
        <f t="shared" si="5"/>
        <v>11</v>
      </c>
      <c r="R40" s="80">
        <f t="shared" si="6"/>
        <v>255</v>
      </c>
      <c r="S40" s="79">
        <f t="shared" si="7"/>
        <v>1.8333333333333333</v>
      </c>
      <c r="T40" s="80">
        <f t="shared" si="8"/>
        <v>42.5</v>
      </c>
      <c r="U40" s="79">
        <f>SUM(S$4:S40)/A40</f>
        <v>1.9042792792792791</v>
      </c>
      <c r="V40" s="80">
        <f>SUM(T$4:T40)/A40</f>
        <v>40.191441441441441</v>
      </c>
      <c r="W40" s="79">
        <f t="shared" si="12"/>
        <v>20</v>
      </c>
      <c r="X40" s="80">
        <f t="shared" si="13"/>
        <v>180</v>
      </c>
      <c r="Y40" s="138">
        <f t="shared" si="14"/>
        <v>23.181818181818183</v>
      </c>
      <c r="Z40" s="138">
        <f t="shared" si="9"/>
        <v>4.3137254901960784E-2</v>
      </c>
      <c r="AA40" s="138">
        <f>SUM(Y$4:Y40)/$A40</f>
        <v>23.215671340671342</v>
      </c>
      <c r="AB40" s="138">
        <f>SUM(Z$4:Z40)/$A40</f>
        <v>4.4888087062836153E-2</v>
      </c>
      <c r="AC40" s="138">
        <f t="shared" si="15"/>
        <v>40</v>
      </c>
      <c r="AD40" s="138">
        <f t="shared" si="16"/>
        <v>0.2</v>
      </c>
      <c r="AE40" s="138">
        <f t="shared" si="17"/>
        <v>0</v>
      </c>
      <c r="AF40" s="80">
        <f t="shared" si="18"/>
        <v>13</v>
      </c>
      <c r="AG40" s="80">
        <f t="shared" si="19"/>
        <v>280</v>
      </c>
      <c r="AH40" s="138">
        <f>SUM(F$4:F40)/SUM(I$4:I40)*3600</f>
        <v>1.445041061276058</v>
      </c>
      <c r="AI40" s="138">
        <f>SUM(R$4:R40)/SUM(I$4:I40)*3600</f>
        <v>34.031901452937461</v>
      </c>
      <c r="AJ40">
        <f>ROUNDUP(I40/Others!$B$2,0)</f>
        <v>6</v>
      </c>
      <c r="AK40">
        <f>ROUNDUP(I40/Others!$B$2,0)*100*1</f>
        <v>600</v>
      </c>
    </row>
    <row r="41" spans="1:37">
      <c r="A41" s="36">
        <f t="shared" si="1"/>
        <v>38</v>
      </c>
      <c r="B41" s="35"/>
      <c r="C41" s="36">
        <v>73</v>
      </c>
      <c r="D41" s="37"/>
      <c r="E41" s="76">
        <f t="shared" si="10"/>
        <v>520</v>
      </c>
      <c r="F41" s="77">
        <f t="shared" si="20"/>
        <v>12</v>
      </c>
      <c r="G41" s="77">
        <f t="shared" si="3"/>
        <v>260</v>
      </c>
      <c r="H41" s="76">
        <f t="shared" si="4"/>
        <v>2</v>
      </c>
      <c r="I41" s="36">
        <v>21600</v>
      </c>
      <c r="J41" s="37">
        <v>3600</v>
      </c>
      <c r="K41" s="37" t="s">
        <v>420</v>
      </c>
      <c r="L41" s="37"/>
      <c r="M41" s="37"/>
      <c r="N41" s="37"/>
      <c r="O41" s="35"/>
      <c r="P41" s="130">
        <f t="shared" si="11"/>
        <v>38</v>
      </c>
      <c r="Q41" s="80">
        <f t="shared" si="5"/>
        <v>12</v>
      </c>
      <c r="R41" s="80">
        <f t="shared" si="6"/>
        <v>260</v>
      </c>
      <c r="S41" s="79">
        <f t="shared" si="7"/>
        <v>2</v>
      </c>
      <c r="T41" s="80">
        <f t="shared" si="8"/>
        <v>43.333333333333336</v>
      </c>
      <c r="U41" s="79">
        <f>SUM(S$4:S41)/A41</f>
        <v>1.9067982456140349</v>
      </c>
      <c r="V41" s="80">
        <f>SUM(T$4:T41)/A41</f>
        <v>40.274122807017541</v>
      </c>
      <c r="W41" s="79">
        <f t="shared" si="12"/>
        <v>20</v>
      </c>
      <c r="X41" s="80">
        <f t="shared" si="13"/>
        <v>180</v>
      </c>
      <c r="Y41" s="138">
        <f t="shared" si="14"/>
        <v>21.666666666666668</v>
      </c>
      <c r="Z41" s="138">
        <f t="shared" si="9"/>
        <v>4.6153846153846156E-2</v>
      </c>
      <c r="AA41" s="138">
        <f>SUM(Y$4:Y41)/$A41</f>
        <v>23.174908059776481</v>
      </c>
      <c r="AB41" s="138">
        <f>SUM(Z$4:Z41)/$A41</f>
        <v>4.4921396512599576E-2</v>
      </c>
      <c r="AC41" s="138">
        <f t="shared" si="15"/>
        <v>40</v>
      </c>
      <c r="AD41" s="138">
        <f t="shared" si="16"/>
        <v>0.2</v>
      </c>
      <c r="AE41" s="138">
        <f t="shared" si="17"/>
        <v>0</v>
      </c>
      <c r="AF41" s="80">
        <f t="shared" si="18"/>
        <v>13</v>
      </c>
      <c r="AG41" s="80">
        <f t="shared" si="19"/>
        <v>280</v>
      </c>
      <c r="AH41" s="138">
        <f>SUM(F$4:F41)/SUM(I$4:I41)*3600</f>
        <v>1.4603808353808354</v>
      </c>
      <c r="AI41" s="138">
        <f>SUM(R$4:R41)/SUM(I$4:I41)*3600</f>
        <v>34.28900491400492</v>
      </c>
      <c r="AJ41">
        <f>ROUNDUP(I41/Others!$B$2,0)</f>
        <v>6</v>
      </c>
      <c r="AK41">
        <f>ROUNDUP(I41/Others!$B$2,0)*100*1</f>
        <v>600</v>
      </c>
    </row>
    <row r="42" spans="1:37">
      <c r="A42" s="36">
        <f t="shared" si="1"/>
        <v>39</v>
      </c>
      <c r="B42" s="35"/>
      <c r="C42" s="36">
        <v>75</v>
      </c>
      <c r="D42" s="37"/>
      <c r="E42" s="76">
        <f t="shared" si="10"/>
        <v>520</v>
      </c>
      <c r="F42" s="77">
        <f t="shared" si="20"/>
        <v>12</v>
      </c>
      <c r="G42" s="77">
        <f t="shared" si="3"/>
        <v>260</v>
      </c>
      <c r="H42" s="76">
        <f t="shared" si="4"/>
        <v>2</v>
      </c>
      <c r="I42" s="36">
        <v>21600</v>
      </c>
      <c r="J42" s="37">
        <v>3600</v>
      </c>
      <c r="K42" s="37" t="s">
        <v>420</v>
      </c>
      <c r="L42" s="37"/>
      <c r="M42" s="37"/>
      <c r="N42" s="37"/>
      <c r="O42" s="35"/>
      <c r="P42" s="130">
        <f t="shared" si="11"/>
        <v>39</v>
      </c>
      <c r="Q42" s="80">
        <f t="shared" si="5"/>
        <v>12</v>
      </c>
      <c r="R42" s="80">
        <f t="shared" si="6"/>
        <v>260</v>
      </c>
      <c r="S42" s="79">
        <f t="shared" si="7"/>
        <v>2</v>
      </c>
      <c r="T42" s="80">
        <f t="shared" si="8"/>
        <v>43.333333333333336</v>
      </c>
      <c r="U42" s="79">
        <f>SUM(S$4:S42)/A42</f>
        <v>1.9091880341880341</v>
      </c>
      <c r="V42" s="80">
        <f>SUM(T$4:T42)/A42</f>
        <v>40.352564102564095</v>
      </c>
      <c r="W42" s="79">
        <f t="shared" si="12"/>
        <v>20</v>
      </c>
      <c r="X42" s="80">
        <f t="shared" si="13"/>
        <v>180</v>
      </c>
      <c r="Y42" s="138">
        <f t="shared" si="14"/>
        <v>21.666666666666668</v>
      </c>
      <c r="Z42" s="138">
        <f t="shared" si="9"/>
        <v>4.6153846153846156E-2</v>
      </c>
      <c r="AA42" s="138">
        <f>SUM(Y$4:Y42)/$A42</f>
        <v>23.136235203542896</v>
      </c>
      <c r="AB42" s="138">
        <f>SUM(Z$4:Z42)/$A42</f>
        <v>4.4952997785452052E-2</v>
      </c>
      <c r="AC42" s="138">
        <f t="shared" si="15"/>
        <v>40</v>
      </c>
      <c r="AD42" s="138">
        <f t="shared" si="16"/>
        <v>0.2</v>
      </c>
      <c r="AE42" s="138">
        <f t="shared" si="17"/>
        <v>0</v>
      </c>
      <c r="AF42" s="80">
        <f t="shared" si="18"/>
        <v>13</v>
      </c>
      <c r="AG42" s="80">
        <f t="shared" si="19"/>
        <v>280</v>
      </c>
      <c r="AH42" s="138">
        <f>SUM(F$4:F42)/SUM(I$4:I42)*3600</f>
        <v>1.4748953974895398</v>
      </c>
      <c r="AI42" s="138">
        <f>SUM(R$4:R42)/SUM(I$4:I42)*3600</f>
        <v>34.532277346084882</v>
      </c>
      <c r="AJ42">
        <f>ROUNDUP(I42/Others!$B$2,0)</f>
        <v>6</v>
      </c>
      <c r="AK42">
        <f>ROUNDUP(I42/Others!$B$2,0)*100*1</f>
        <v>600</v>
      </c>
    </row>
    <row r="43" spans="1:37">
      <c r="A43" s="36">
        <f t="shared" si="1"/>
        <v>40</v>
      </c>
      <c r="B43" s="35"/>
      <c r="C43" s="36">
        <v>77</v>
      </c>
      <c r="D43" s="37"/>
      <c r="E43" s="76">
        <f t="shared" si="10"/>
        <v>530</v>
      </c>
      <c r="F43" s="77">
        <f t="shared" si="20"/>
        <v>12</v>
      </c>
      <c r="G43" s="77">
        <f t="shared" si="3"/>
        <v>265</v>
      </c>
      <c r="H43" s="76">
        <f t="shared" si="4"/>
        <v>2</v>
      </c>
      <c r="I43" s="36">
        <v>21600</v>
      </c>
      <c r="J43" s="37">
        <v>3600</v>
      </c>
      <c r="K43" s="37" t="s">
        <v>420</v>
      </c>
      <c r="L43" s="37"/>
      <c r="M43" s="37"/>
      <c r="N43" s="37"/>
      <c r="O43" s="35"/>
      <c r="P43" s="130">
        <f t="shared" si="11"/>
        <v>40</v>
      </c>
      <c r="Q43" s="80">
        <f t="shared" si="5"/>
        <v>12</v>
      </c>
      <c r="R43" s="80">
        <f t="shared" si="6"/>
        <v>265</v>
      </c>
      <c r="S43" s="79">
        <f t="shared" si="7"/>
        <v>2</v>
      </c>
      <c r="T43" s="80">
        <f t="shared" si="8"/>
        <v>44.166666666666664</v>
      </c>
      <c r="U43" s="79">
        <f>SUM(S$4:S43)/A43</f>
        <v>1.9114583333333333</v>
      </c>
      <c r="V43" s="80">
        <f>SUM(T$4:T43)/A43</f>
        <v>40.447916666666664</v>
      </c>
      <c r="W43" s="79">
        <f t="shared" si="12"/>
        <v>20</v>
      </c>
      <c r="X43" s="80">
        <f t="shared" si="13"/>
        <v>180</v>
      </c>
      <c r="Y43" s="138">
        <f t="shared" si="14"/>
        <v>22.083333333333332</v>
      </c>
      <c r="Z43" s="138">
        <f t="shared" si="9"/>
        <v>4.5283018867924525E-2</v>
      </c>
      <c r="AA43" s="138">
        <f>SUM(Y$4:Y43)/$A43</f>
        <v>23.109912656787657</v>
      </c>
      <c r="AB43" s="138">
        <f>SUM(Z$4:Z43)/$A43</f>
        <v>4.4961248312513864E-2</v>
      </c>
      <c r="AC43" s="138">
        <f t="shared" si="15"/>
        <v>40</v>
      </c>
      <c r="AD43" s="138">
        <f t="shared" si="16"/>
        <v>0.2</v>
      </c>
      <c r="AE43" s="138">
        <f t="shared" si="17"/>
        <v>0</v>
      </c>
      <c r="AF43" s="80">
        <f t="shared" si="18"/>
        <v>13</v>
      </c>
      <c r="AG43" s="80">
        <f t="shared" si="19"/>
        <v>280</v>
      </c>
      <c r="AH43" s="138">
        <f>SUM(F$4:F43)/SUM(I$4:I43)*3600</f>
        <v>1.488649592549476</v>
      </c>
      <c r="AI43" s="138">
        <f>SUM(R$4:R43)/SUM(I$4:I43)*3600</f>
        <v>34.784633294528518</v>
      </c>
      <c r="AJ43">
        <f>ROUNDUP(I43/Others!$B$2,0)</f>
        <v>6</v>
      </c>
      <c r="AK43">
        <f>ROUNDUP(I43/Others!$B$2,0)*100*1</f>
        <v>600</v>
      </c>
    </row>
    <row r="44" spans="1:37">
      <c r="A44" s="36">
        <f t="shared" si="1"/>
        <v>41</v>
      </c>
      <c r="B44" s="35"/>
      <c r="C44" s="36">
        <v>79</v>
      </c>
      <c r="D44" s="37"/>
      <c r="E44" s="76">
        <f t="shared" si="10"/>
        <v>530</v>
      </c>
      <c r="F44" s="77">
        <f t="shared" si="20"/>
        <v>12</v>
      </c>
      <c r="G44" s="77">
        <f t="shared" si="3"/>
        <v>265</v>
      </c>
      <c r="H44" s="76">
        <f t="shared" si="4"/>
        <v>2</v>
      </c>
      <c r="I44" s="36">
        <v>21600</v>
      </c>
      <c r="J44" s="37">
        <v>3600</v>
      </c>
      <c r="K44" s="37" t="s">
        <v>420</v>
      </c>
      <c r="L44" s="37"/>
      <c r="M44" s="37"/>
      <c r="N44" s="37"/>
      <c r="O44" s="35"/>
      <c r="P44" s="130">
        <f t="shared" si="11"/>
        <v>41</v>
      </c>
      <c r="Q44" s="80">
        <f t="shared" si="5"/>
        <v>12</v>
      </c>
      <c r="R44" s="80">
        <f t="shared" si="6"/>
        <v>265</v>
      </c>
      <c r="S44" s="79">
        <f t="shared" si="7"/>
        <v>2</v>
      </c>
      <c r="T44" s="80">
        <f t="shared" si="8"/>
        <v>44.166666666666664</v>
      </c>
      <c r="U44" s="79">
        <f>SUM(S$4:S44)/A44</f>
        <v>1.9136178861788617</v>
      </c>
      <c r="V44" s="80">
        <f>SUM(T$4:T44)/A44</f>
        <v>40.538617886178862</v>
      </c>
      <c r="W44" s="79">
        <f t="shared" si="12"/>
        <v>20</v>
      </c>
      <c r="X44" s="80">
        <f t="shared" si="13"/>
        <v>180</v>
      </c>
      <c r="Y44" s="138">
        <f t="shared" si="14"/>
        <v>22.083333333333332</v>
      </c>
      <c r="Z44" s="138">
        <f t="shared" si="9"/>
        <v>4.5283018867924525E-2</v>
      </c>
      <c r="AA44" s="138">
        <f>SUM(Y$4:Y44)/$A44</f>
        <v>23.084874136703405</v>
      </c>
      <c r="AB44" s="138">
        <f>SUM(Z$4:Z44)/$A44</f>
        <v>4.496909637484095E-2</v>
      </c>
      <c r="AC44" s="138">
        <f t="shared" si="15"/>
        <v>40</v>
      </c>
      <c r="AD44" s="138">
        <f t="shared" si="16"/>
        <v>0.2</v>
      </c>
      <c r="AE44" s="138">
        <f t="shared" si="17"/>
        <v>0</v>
      </c>
      <c r="AF44" s="80">
        <f t="shared" si="18"/>
        <v>13</v>
      </c>
      <c r="AG44" s="80">
        <f t="shared" si="19"/>
        <v>280</v>
      </c>
      <c r="AH44" s="138">
        <f>SUM(F$4:F44)/SUM(I$4:I44)*3600</f>
        <v>1.5017016449234259</v>
      </c>
      <c r="AI44" s="138">
        <f>SUM(R$4:R44)/SUM(I$4:I44)*3600</f>
        <v>35.024106636415198</v>
      </c>
      <c r="AJ44">
        <f>ROUNDUP(I44/Others!$B$2,0)</f>
        <v>6</v>
      </c>
      <c r="AK44">
        <f>ROUNDUP(I44/Others!$B$2,0)*100*1</f>
        <v>600</v>
      </c>
    </row>
    <row r="45" spans="1:37">
      <c r="A45" s="36">
        <f t="shared" si="1"/>
        <v>42</v>
      </c>
      <c r="B45" s="35"/>
      <c r="C45" s="36">
        <v>81</v>
      </c>
      <c r="D45" s="37"/>
      <c r="E45" s="76">
        <f t="shared" si="10"/>
        <v>540</v>
      </c>
      <c r="F45" s="77">
        <f t="shared" si="20"/>
        <v>12</v>
      </c>
      <c r="G45" s="77">
        <f t="shared" si="3"/>
        <v>270</v>
      </c>
      <c r="H45" s="76">
        <f t="shared" si="4"/>
        <v>2</v>
      </c>
      <c r="I45" s="36">
        <v>21600</v>
      </c>
      <c r="J45" s="37">
        <v>3600</v>
      </c>
      <c r="K45" s="37" t="s">
        <v>420</v>
      </c>
      <c r="L45" s="37"/>
      <c r="M45" s="37"/>
      <c r="N45" s="37"/>
      <c r="O45" s="35"/>
      <c r="P45" s="130">
        <f t="shared" si="11"/>
        <v>42</v>
      </c>
      <c r="Q45" s="80">
        <f t="shared" si="5"/>
        <v>12</v>
      </c>
      <c r="R45" s="80">
        <f t="shared" si="6"/>
        <v>270</v>
      </c>
      <c r="S45" s="79">
        <f t="shared" si="7"/>
        <v>2</v>
      </c>
      <c r="T45" s="80">
        <f t="shared" si="8"/>
        <v>45</v>
      </c>
      <c r="U45" s="79">
        <f>SUM(S$4:S45)/A45</f>
        <v>1.915674603174603</v>
      </c>
      <c r="V45" s="80">
        <f>SUM(T$4:T45)/A45</f>
        <v>40.644841269841265</v>
      </c>
      <c r="W45" s="79">
        <f t="shared" si="12"/>
        <v>20</v>
      </c>
      <c r="X45" s="80">
        <f t="shared" si="13"/>
        <v>180</v>
      </c>
      <c r="Y45" s="138">
        <f t="shared" si="14"/>
        <v>22.5</v>
      </c>
      <c r="Z45" s="138">
        <f t="shared" si="9"/>
        <v>4.4444444444444446E-2</v>
      </c>
      <c r="AA45" s="138">
        <f>SUM(Y$4:Y45)/$A45</f>
        <v>23.070948562019993</v>
      </c>
      <c r="AB45" s="138">
        <f>SUM(Z$4:Z45)/$A45</f>
        <v>4.4956604662212463E-2</v>
      </c>
      <c r="AC45" s="138">
        <f t="shared" si="15"/>
        <v>40</v>
      </c>
      <c r="AD45" s="138">
        <f t="shared" si="16"/>
        <v>0.2</v>
      </c>
      <c r="AE45" s="138">
        <f t="shared" si="17"/>
        <v>0</v>
      </c>
      <c r="AF45" s="80">
        <f t="shared" si="18"/>
        <v>13</v>
      </c>
      <c r="AG45" s="80">
        <f t="shared" si="19"/>
        <v>280</v>
      </c>
      <c r="AH45" s="138">
        <f>SUM(F$4:F45)/SUM(I$4:I45)*3600</f>
        <v>1.5141039823008851</v>
      </c>
      <c r="AI45" s="138">
        <f>SUM(R$4:R45)/SUM(I$4:I45)*3600</f>
        <v>35.272400442477874</v>
      </c>
      <c r="AJ45">
        <f>ROUNDUP(I45/Others!$B$2,0)</f>
        <v>6</v>
      </c>
      <c r="AK45">
        <f>ROUNDUP(I45/Others!$B$2,0)*100*1</f>
        <v>600</v>
      </c>
    </row>
    <row r="46" spans="1:37">
      <c r="A46" s="36">
        <f t="shared" si="1"/>
        <v>43</v>
      </c>
      <c r="B46" s="35"/>
      <c r="C46" s="36">
        <v>83</v>
      </c>
      <c r="D46" s="37"/>
      <c r="E46" s="76">
        <f t="shared" si="10"/>
        <v>550</v>
      </c>
      <c r="F46" s="77">
        <f t="shared" si="20"/>
        <v>12</v>
      </c>
      <c r="G46" s="77">
        <f t="shared" si="3"/>
        <v>275</v>
      </c>
      <c r="H46" s="76">
        <f t="shared" si="4"/>
        <v>2</v>
      </c>
      <c r="I46" s="36">
        <v>21600</v>
      </c>
      <c r="J46" s="37">
        <v>3600</v>
      </c>
      <c r="K46" s="37" t="s">
        <v>420</v>
      </c>
      <c r="L46" s="37"/>
      <c r="M46" s="37"/>
      <c r="N46" s="37"/>
      <c r="O46" s="35"/>
      <c r="P46" s="130">
        <f t="shared" si="11"/>
        <v>43</v>
      </c>
      <c r="Q46" s="80">
        <f t="shared" si="5"/>
        <v>12</v>
      </c>
      <c r="R46" s="80">
        <f t="shared" si="6"/>
        <v>275</v>
      </c>
      <c r="S46" s="79">
        <f t="shared" si="7"/>
        <v>2</v>
      </c>
      <c r="T46" s="80">
        <f t="shared" si="8"/>
        <v>45.833333333333336</v>
      </c>
      <c r="U46" s="79">
        <f>SUM(S$4:S46)/A46</f>
        <v>1.9176356589147285</v>
      </c>
      <c r="V46" s="80">
        <f>SUM(T$4:T46)/A46</f>
        <v>40.765503875968989</v>
      </c>
      <c r="W46" s="79">
        <f t="shared" si="12"/>
        <v>20</v>
      </c>
      <c r="X46" s="80">
        <f t="shared" si="13"/>
        <v>180</v>
      </c>
      <c r="Y46" s="138">
        <f t="shared" si="14"/>
        <v>22.916666666666668</v>
      </c>
      <c r="Z46" s="138">
        <f t="shared" si="9"/>
        <v>4.363636363636364E-2</v>
      </c>
      <c r="AA46" s="138">
        <f>SUM(Y$4:Y46)/$A46</f>
        <v>23.067360610965263</v>
      </c>
      <c r="AB46" s="138">
        <f>SUM(Z$4:Z46)/$A46</f>
        <v>4.4925901382541565E-2</v>
      </c>
      <c r="AC46" s="138">
        <f t="shared" si="15"/>
        <v>40</v>
      </c>
      <c r="AD46" s="138">
        <f t="shared" si="16"/>
        <v>0.2</v>
      </c>
      <c r="AE46" s="138">
        <f t="shared" si="17"/>
        <v>0</v>
      </c>
      <c r="AF46" s="80">
        <f t="shared" si="18"/>
        <v>13</v>
      </c>
      <c r="AG46" s="80">
        <f t="shared" si="19"/>
        <v>280</v>
      </c>
      <c r="AH46" s="138">
        <f>SUM(F$4:F46)/SUM(I$4:I46)*3600</f>
        <v>1.5259039395574745</v>
      </c>
      <c r="AI46" s="138">
        <f>SUM(R$4:R46)/SUM(I$4:I46)*3600</f>
        <v>35.528872099298432</v>
      </c>
      <c r="AJ46">
        <f>ROUNDUP(I46/Others!$B$2,0)</f>
        <v>6</v>
      </c>
      <c r="AK46">
        <f>ROUNDUP(I46/Others!$B$2,0)*100*1</f>
        <v>600</v>
      </c>
    </row>
    <row r="47" spans="1:37">
      <c r="A47" s="36">
        <f t="shared" si="1"/>
        <v>44</v>
      </c>
      <c r="B47" s="35"/>
      <c r="C47" s="36">
        <v>85</v>
      </c>
      <c r="D47" s="37"/>
      <c r="E47" s="76">
        <f t="shared" si="10"/>
        <v>550</v>
      </c>
      <c r="F47" s="77">
        <f t="shared" si="20"/>
        <v>12</v>
      </c>
      <c r="G47" s="77">
        <f t="shared" si="3"/>
        <v>275</v>
      </c>
      <c r="H47" s="76">
        <f t="shared" si="4"/>
        <v>2</v>
      </c>
      <c r="I47" s="36">
        <v>21600</v>
      </c>
      <c r="J47" s="37">
        <v>3600</v>
      </c>
      <c r="K47" s="37" t="s">
        <v>420</v>
      </c>
      <c r="L47" s="37"/>
      <c r="M47" s="37"/>
      <c r="N47" s="37"/>
      <c r="O47" s="35"/>
      <c r="P47" s="130">
        <f t="shared" si="11"/>
        <v>44</v>
      </c>
      <c r="Q47" s="80">
        <f t="shared" si="5"/>
        <v>12</v>
      </c>
      <c r="R47" s="80">
        <f t="shared" si="6"/>
        <v>275</v>
      </c>
      <c r="S47" s="79">
        <f t="shared" si="7"/>
        <v>2</v>
      </c>
      <c r="T47" s="80">
        <f t="shared" si="8"/>
        <v>45.833333333333336</v>
      </c>
      <c r="U47" s="79">
        <f>SUM(S$4:S47)/A47</f>
        <v>1.9195075757575757</v>
      </c>
      <c r="V47" s="80">
        <f>SUM(T$4:T47)/A47</f>
        <v>40.880681818181813</v>
      </c>
      <c r="W47" s="79">
        <f t="shared" si="12"/>
        <v>20</v>
      </c>
      <c r="X47" s="80">
        <f t="shared" si="13"/>
        <v>180</v>
      </c>
      <c r="Y47" s="138">
        <f t="shared" si="14"/>
        <v>22.916666666666668</v>
      </c>
      <c r="Z47" s="138">
        <f t="shared" si="9"/>
        <v>4.363636363636364E-2</v>
      </c>
      <c r="AA47" s="138">
        <f>SUM(Y$4:Y47)/$A47</f>
        <v>23.06393574859484</v>
      </c>
      <c r="AB47" s="138">
        <f>SUM(Z$4:Z47)/$A47</f>
        <v>4.4896593706492065E-2</v>
      </c>
      <c r="AC47" s="138">
        <f t="shared" si="15"/>
        <v>40</v>
      </c>
      <c r="AD47" s="138">
        <f t="shared" si="16"/>
        <v>0.2</v>
      </c>
      <c r="AE47" s="138">
        <f t="shared" si="17"/>
        <v>0</v>
      </c>
      <c r="AF47" s="80">
        <f t="shared" si="18"/>
        <v>13</v>
      </c>
      <c r="AG47" s="80">
        <f t="shared" si="19"/>
        <v>280</v>
      </c>
      <c r="AH47" s="138">
        <f>SUM(F$4:F47)/SUM(I$4:I47)*3600</f>
        <v>1.5371443624868282</v>
      </c>
      <c r="AI47" s="138">
        <f>SUM(R$4:R47)/SUM(I$4:I47)*3600</f>
        <v>35.773182297154904</v>
      </c>
      <c r="AJ47">
        <f>ROUNDUP(I47/Others!$B$2,0)</f>
        <v>6</v>
      </c>
      <c r="AK47">
        <f>ROUNDUP(I47/Others!$B$2,0)*100*1</f>
        <v>600</v>
      </c>
    </row>
    <row r="48" spans="1:37">
      <c r="A48" s="36">
        <f t="shared" si="1"/>
        <v>45</v>
      </c>
      <c r="B48" s="35"/>
      <c r="C48" s="36">
        <v>87</v>
      </c>
      <c r="D48" s="37"/>
      <c r="E48" s="76">
        <f t="shared" ref="E48:E53" si="21">G48*2</f>
        <v>560</v>
      </c>
      <c r="F48" s="77">
        <f t="shared" si="20"/>
        <v>13</v>
      </c>
      <c r="G48" s="77">
        <f t="shared" si="3"/>
        <v>280</v>
      </c>
      <c r="H48" s="76">
        <f t="shared" si="4"/>
        <v>2</v>
      </c>
      <c r="I48" s="36">
        <v>21600</v>
      </c>
      <c r="J48" s="37">
        <v>3600</v>
      </c>
      <c r="K48" s="37" t="s">
        <v>420</v>
      </c>
      <c r="L48" s="37"/>
      <c r="M48" s="37"/>
      <c r="N48" s="37"/>
      <c r="O48" s="35"/>
      <c r="P48" s="130">
        <f t="shared" si="11"/>
        <v>45</v>
      </c>
      <c r="Q48" s="80">
        <f t="shared" si="5"/>
        <v>13</v>
      </c>
      <c r="R48" s="80">
        <f t="shared" ref="R48:R53" si="22">G48*(H48-1)</f>
        <v>280</v>
      </c>
      <c r="S48" s="79">
        <f t="shared" ref="S48:S53" si="23">Q48/(I48/3600)</f>
        <v>2.1666666666666665</v>
      </c>
      <c r="T48" s="80">
        <f t="shared" ref="T48:T53" si="24">R48/(I48/3600)</f>
        <v>46.666666666666664</v>
      </c>
      <c r="U48" s="79">
        <f>SUM(S$4:S48)/A48</f>
        <v>1.925</v>
      </c>
      <c r="V48" s="80">
        <f>SUM(T$4:T48)/A48</f>
        <v>41.009259259259252</v>
      </c>
      <c r="W48" s="79">
        <f t="shared" ref="W48:W53" si="25">IF(W47&gt;S48,W47,S48)</f>
        <v>20</v>
      </c>
      <c r="X48" s="80">
        <f t="shared" ref="X48:X53" si="26">IF(X47&gt;T48,X47,T48)</f>
        <v>180</v>
      </c>
      <c r="Y48" s="138">
        <f t="shared" si="14"/>
        <v>21.53846153846154</v>
      </c>
      <c r="Z48" s="138">
        <f t="shared" si="9"/>
        <v>4.642857142857143E-2</v>
      </c>
      <c r="AA48" s="138">
        <f>SUM(Y$4:Y48)/$A48</f>
        <v>23.030036321702987</v>
      </c>
      <c r="AB48" s="138">
        <f>SUM(Z$4:Z48)/$A48</f>
        <v>4.4930637655871603E-2</v>
      </c>
      <c r="AC48" s="138">
        <f t="shared" si="15"/>
        <v>40</v>
      </c>
      <c r="AD48" s="138">
        <f t="shared" si="16"/>
        <v>0.2</v>
      </c>
      <c r="AE48" s="138">
        <f t="shared" si="17"/>
        <v>0</v>
      </c>
      <c r="AF48" s="80">
        <f t="shared" si="18"/>
        <v>13</v>
      </c>
      <c r="AG48" s="80">
        <f t="shared" si="19"/>
        <v>280</v>
      </c>
      <c r="AH48" s="138">
        <f>SUM(F$4:F48)/SUM(I$4:I48)*3600</f>
        <v>1.5517241379310345</v>
      </c>
      <c r="AI48" s="138">
        <f>SUM(R$4:R48)/SUM(I$4:I48)*3600</f>
        <v>36.025476067936182</v>
      </c>
      <c r="AJ48">
        <f>ROUNDUP(I48/Others!$B$2,0)</f>
        <v>6</v>
      </c>
      <c r="AK48">
        <f>ROUNDUP(I48/Others!$B$2,0)*100*1</f>
        <v>600</v>
      </c>
    </row>
    <row r="49" spans="1:37">
      <c r="A49" s="36">
        <f t="shared" si="1"/>
        <v>46</v>
      </c>
      <c r="B49" s="35"/>
      <c r="C49" s="36">
        <v>89</v>
      </c>
      <c r="D49" s="37"/>
      <c r="E49" s="76">
        <f t="shared" si="21"/>
        <v>560</v>
      </c>
      <c r="F49" s="77">
        <f t="shared" si="20"/>
        <v>13</v>
      </c>
      <c r="G49" s="77">
        <f t="shared" si="3"/>
        <v>280</v>
      </c>
      <c r="H49" s="76">
        <f t="shared" si="4"/>
        <v>2</v>
      </c>
      <c r="I49" s="36">
        <v>21600</v>
      </c>
      <c r="J49" s="37">
        <v>3600</v>
      </c>
      <c r="K49" s="37" t="s">
        <v>420</v>
      </c>
      <c r="L49" s="37"/>
      <c r="M49" s="37"/>
      <c r="N49" s="37"/>
      <c r="O49" s="35"/>
      <c r="P49" s="130">
        <f t="shared" si="11"/>
        <v>46</v>
      </c>
      <c r="Q49" s="80">
        <f t="shared" si="5"/>
        <v>13</v>
      </c>
      <c r="R49" s="80">
        <f t="shared" si="22"/>
        <v>280</v>
      </c>
      <c r="S49" s="79">
        <f t="shared" si="23"/>
        <v>2.1666666666666665</v>
      </c>
      <c r="T49" s="80">
        <f t="shared" si="24"/>
        <v>46.666666666666664</v>
      </c>
      <c r="U49" s="79">
        <f>SUM(S$4:S49)/A49</f>
        <v>1.930253623188406</v>
      </c>
      <c r="V49" s="80">
        <f>SUM(T$4:T49)/A49</f>
        <v>41.132246376811594</v>
      </c>
      <c r="W49" s="79">
        <f t="shared" si="25"/>
        <v>20</v>
      </c>
      <c r="X49" s="80">
        <f t="shared" si="26"/>
        <v>180</v>
      </c>
      <c r="Y49" s="138">
        <f t="shared" si="14"/>
        <v>21.53846153846154</v>
      </c>
      <c r="Z49" s="138">
        <f t="shared" si="9"/>
        <v>4.642857142857143E-2</v>
      </c>
      <c r="AA49" s="138">
        <f>SUM(Y$4:Y49)/$A49</f>
        <v>22.997610782936867</v>
      </c>
      <c r="AB49" s="138">
        <f>SUM(Z$4:Z49)/$A49</f>
        <v>4.4963201433538991E-2</v>
      </c>
      <c r="AC49" s="138">
        <f t="shared" si="15"/>
        <v>40</v>
      </c>
      <c r="AD49" s="138">
        <f t="shared" si="16"/>
        <v>0.2</v>
      </c>
      <c r="AE49" s="138">
        <f t="shared" si="17"/>
        <v>0</v>
      </c>
      <c r="AF49" s="80">
        <f t="shared" si="18"/>
        <v>13</v>
      </c>
      <c r="AG49" s="80">
        <f t="shared" si="19"/>
        <v>280</v>
      </c>
      <c r="AH49" s="138">
        <f>SUM(F$4:F49)/SUM(I$4:I49)*3600</f>
        <v>1.5656438631790746</v>
      </c>
      <c r="AI49" s="138">
        <f>SUM(R$4:R49)/SUM(I$4:I49)*3600</f>
        <v>36.266348088531188</v>
      </c>
      <c r="AJ49">
        <f>ROUNDUP(I49/Others!$B$2,0)</f>
        <v>6</v>
      </c>
      <c r="AK49">
        <f>ROUNDUP(I49/Others!$B$2,0)*100*1</f>
        <v>600</v>
      </c>
    </row>
    <row r="50" spans="1:37">
      <c r="A50" s="36">
        <f t="shared" si="1"/>
        <v>47</v>
      </c>
      <c r="B50" s="35"/>
      <c r="C50" s="36">
        <v>91</v>
      </c>
      <c r="D50" s="37"/>
      <c r="E50" s="76">
        <f t="shared" si="21"/>
        <v>570</v>
      </c>
      <c r="F50" s="77">
        <f t="shared" si="20"/>
        <v>13</v>
      </c>
      <c r="G50" s="77">
        <f t="shared" si="3"/>
        <v>285</v>
      </c>
      <c r="H50" s="76">
        <f t="shared" si="4"/>
        <v>2</v>
      </c>
      <c r="I50" s="36">
        <v>21600</v>
      </c>
      <c r="J50" s="37">
        <v>3600</v>
      </c>
      <c r="K50" s="37" t="s">
        <v>420</v>
      </c>
      <c r="L50" s="37"/>
      <c r="M50" s="37"/>
      <c r="N50" s="37"/>
      <c r="O50" s="35"/>
      <c r="P50" s="130">
        <f t="shared" si="11"/>
        <v>47</v>
      </c>
      <c r="Q50" s="80">
        <f t="shared" si="5"/>
        <v>13</v>
      </c>
      <c r="R50" s="80">
        <f t="shared" si="22"/>
        <v>285</v>
      </c>
      <c r="S50" s="79">
        <f t="shared" si="23"/>
        <v>2.1666666666666665</v>
      </c>
      <c r="T50" s="80">
        <f t="shared" si="24"/>
        <v>47.5</v>
      </c>
      <c r="U50" s="79">
        <f>SUM(S$4:S50)/A50</f>
        <v>1.9352836879432627</v>
      </c>
      <c r="V50" s="80">
        <f>SUM(T$4:T50)/A50</f>
        <v>41.2677304964539</v>
      </c>
      <c r="W50" s="79">
        <f t="shared" si="25"/>
        <v>20</v>
      </c>
      <c r="X50" s="80">
        <f t="shared" si="26"/>
        <v>180</v>
      </c>
      <c r="Y50" s="138">
        <f t="shared" si="14"/>
        <v>21.923076923076923</v>
      </c>
      <c r="Z50" s="138">
        <f t="shared" si="9"/>
        <v>4.5614035087719301E-2</v>
      </c>
      <c r="AA50" s="138">
        <f>SUM(Y$4:Y50)/$A50</f>
        <v>22.974748360386656</v>
      </c>
      <c r="AB50" s="138">
        <f>SUM(Z$4:Z50)/$A50</f>
        <v>4.4977048958096018E-2</v>
      </c>
      <c r="AC50" s="138">
        <f t="shared" si="15"/>
        <v>40</v>
      </c>
      <c r="AD50" s="138">
        <f t="shared" si="16"/>
        <v>0.2</v>
      </c>
      <c r="AE50" s="138">
        <f t="shared" si="17"/>
        <v>0</v>
      </c>
      <c r="AF50" s="80">
        <f t="shared" si="18"/>
        <v>13</v>
      </c>
      <c r="AG50" s="80">
        <f t="shared" si="19"/>
        <v>285</v>
      </c>
      <c r="AH50" s="138">
        <f>SUM(F$4:F50)/SUM(I$4:I50)*3600</f>
        <v>1.5789473684210527</v>
      </c>
      <c r="AI50" s="138">
        <f>SUM(R$4:R50)/SUM(I$4:I50)*3600</f>
        <v>36.515002459419577</v>
      </c>
      <c r="AJ50">
        <f>ROUNDUP(I50/Others!$B$2,0)</f>
        <v>6</v>
      </c>
      <c r="AK50">
        <f>ROUNDUP(I50/Others!$B$2,0)*100*1</f>
        <v>600</v>
      </c>
    </row>
    <row r="51" spans="1:37">
      <c r="A51" s="36">
        <f t="shared" si="1"/>
        <v>48</v>
      </c>
      <c r="B51" s="35"/>
      <c r="C51" s="36">
        <v>93</v>
      </c>
      <c r="D51" s="37"/>
      <c r="E51" s="76">
        <f t="shared" si="21"/>
        <v>580</v>
      </c>
      <c r="F51" s="77">
        <f t="shared" si="20"/>
        <v>13</v>
      </c>
      <c r="G51" s="77">
        <f t="shared" si="3"/>
        <v>290</v>
      </c>
      <c r="H51" s="76">
        <f t="shared" si="4"/>
        <v>2</v>
      </c>
      <c r="I51" s="36">
        <v>21600</v>
      </c>
      <c r="J51" s="37">
        <v>3600</v>
      </c>
      <c r="K51" s="37" t="s">
        <v>420</v>
      </c>
      <c r="L51" s="37"/>
      <c r="M51" s="37"/>
      <c r="N51" s="37"/>
      <c r="O51" s="35"/>
      <c r="P51" s="130">
        <f t="shared" si="11"/>
        <v>48</v>
      </c>
      <c r="Q51" s="80">
        <f t="shared" si="5"/>
        <v>13</v>
      </c>
      <c r="R51" s="80">
        <f t="shared" si="22"/>
        <v>290</v>
      </c>
      <c r="S51" s="79">
        <f t="shared" si="23"/>
        <v>2.1666666666666665</v>
      </c>
      <c r="T51" s="80">
        <f t="shared" si="24"/>
        <v>48.333333333333336</v>
      </c>
      <c r="U51" s="79">
        <f>SUM(S$4:S51)/A51</f>
        <v>1.940104166666667</v>
      </c>
      <c r="V51" s="80">
        <f>SUM(T$4:T51)/A51</f>
        <v>41.41493055555555</v>
      </c>
      <c r="W51" s="79">
        <f t="shared" si="25"/>
        <v>20</v>
      </c>
      <c r="X51" s="80">
        <f t="shared" si="26"/>
        <v>180</v>
      </c>
      <c r="Y51" s="138">
        <f t="shared" si="14"/>
        <v>22.307692307692307</v>
      </c>
      <c r="Z51" s="138">
        <f t="shared" si="9"/>
        <v>4.4827586206896551E-2</v>
      </c>
      <c r="AA51" s="138">
        <f>SUM(Y$4:Y51)/$A51</f>
        <v>22.960851359288856</v>
      </c>
      <c r="AB51" s="138">
        <f>SUM(Z$4:Z51)/$A51</f>
        <v>4.4973935150779361E-2</v>
      </c>
      <c r="AC51" s="138">
        <f t="shared" si="15"/>
        <v>40</v>
      </c>
      <c r="AD51" s="138">
        <f t="shared" si="16"/>
        <v>0.2</v>
      </c>
      <c r="AE51" s="138">
        <f t="shared" si="17"/>
        <v>0</v>
      </c>
      <c r="AF51" s="80">
        <f t="shared" si="18"/>
        <v>13</v>
      </c>
      <c r="AG51" s="80">
        <f t="shared" si="19"/>
        <v>290</v>
      </c>
      <c r="AH51" s="138">
        <f>SUM(F$4:F51)/SUM(I$4:I51)*3600</f>
        <v>1.59167468719923</v>
      </c>
      <c r="AI51" s="138">
        <f>SUM(R$4:R51)/SUM(I$4:I51)*3600</f>
        <v>36.770933589990378</v>
      </c>
      <c r="AJ51">
        <f>ROUNDUP(I51/Others!$B$2,0)</f>
        <v>6</v>
      </c>
      <c r="AK51">
        <f>ROUNDUP(I51/Others!$B$2,0)*100*1</f>
        <v>600</v>
      </c>
    </row>
    <row r="52" spans="1:37">
      <c r="A52" s="36">
        <f t="shared" si="1"/>
        <v>49</v>
      </c>
      <c r="B52" s="35"/>
      <c r="C52" s="36">
        <v>95</v>
      </c>
      <c r="D52" s="37"/>
      <c r="E52" s="76">
        <f t="shared" si="21"/>
        <v>580</v>
      </c>
      <c r="F52" s="77">
        <f t="shared" si="20"/>
        <v>13</v>
      </c>
      <c r="G52" s="77">
        <f t="shared" si="3"/>
        <v>290</v>
      </c>
      <c r="H52" s="76">
        <f t="shared" si="4"/>
        <v>2</v>
      </c>
      <c r="I52" s="36">
        <v>21600</v>
      </c>
      <c r="J52" s="37">
        <v>3600</v>
      </c>
      <c r="K52" s="37" t="s">
        <v>420</v>
      </c>
      <c r="L52" s="37"/>
      <c r="M52" s="37"/>
      <c r="N52" s="37"/>
      <c r="O52" s="35"/>
      <c r="P52" s="130">
        <f t="shared" si="11"/>
        <v>49</v>
      </c>
      <c r="Q52" s="80">
        <f t="shared" si="5"/>
        <v>13</v>
      </c>
      <c r="R52" s="80">
        <f t="shared" si="22"/>
        <v>290</v>
      </c>
      <c r="S52" s="79">
        <f t="shared" si="23"/>
        <v>2.1666666666666665</v>
      </c>
      <c r="T52" s="80">
        <f t="shared" si="24"/>
        <v>48.333333333333336</v>
      </c>
      <c r="U52" s="79">
        <f>SUM(S$4:S52)/A52</f>
        <v>1.9447278911564629</v>
      </c>
      <c r="V52" s="80">
        <f>SUM(T$4:T52)/A52</f>
        <v>41.556122448979586</v>
      </c>
      <c r="W52" s="79">
        <f t="shared" si="25"/>
        <v>20</v>
      </c>
      <c r="X52" s="80">
        <f t="shared" si="26"/>
        <v>180</v>
      </c>
      <c r="Y52" s="138">
        <f t="shared" si="14"/>
        <v>22.307692307692307</v>
      </c>
      <c r="Z52" s="138">
        <f t="shared" si="9"/>
        <v>4.4827586206896551E-2</v>
      </c>
      <c r="AA52" s="138">
        <f>SUM(Y$4:Y52)/$A52</f>
        <v>22.947521582725663</v>
      </c>
      <c r="AB52" s="138">
        <f>SUM(Z$4:Z52)/$A52</f>
        <v>4.4970948437638894E-2</v>
      </c>
      <c r="AC52" s="138">
        <f t="shared" si="15"/>
        <v>40</v>
      </c>
      <c r="AD52" s="138">
        <f t="shared" si="16"/>
        <v>0.2</v>
      </c>
      <c r="AE52" s="138">
        <f t="shared" si="17"/>
        <v>0</v>
      </c>
      <c r="AF52" s="80">
        <f t="shared" si="18"/>
        <v>13</v>
      </c>
      <c r="AG52" s="80">
        <f t="shared" si="19"/>
        <v>290</v>
      </c>
      <c r="AH52" s="138">
        <f>SUM(F$4:F52)/SUM(I$4:I52)*3600</f>
        <v>1.6038624587847385</v>
      </c>
      <c r="AI52" s="138">
        <f>SUM(R$4:R52)/SUM(I$4:I52)*3600</f>
        <v>37.016015073009889</v>
      </c>
      <c r="AJ52">
        <f>ROUNDUP(I52/Others!$B$2,0)</f>
        <v>6</v>
      </c>
      <c r="AK52">
        <f>ROUNDUP(I52/Others!$B$2,0)*100*1</f>
        <v>600</v>
      </c>
    </row>
    <row r="53" spans="1:37">
      <c r="A53" s="36">
        <f t="shared" si="1"/>
        <v>50</v>
      </c>
      <c r="B53" s="35"/>
      <c r="C53" s="36">
        <v>97</v>
      </c>
      <c r="D53" s="37"/>
      <c r="E53" s="76">
        <f t="shared" si="21"/>
        <v>590</v>
      </c>
      <c r="F53" s="77">
        <f t="shared" si="20"/>
        <v>13</v>
      </c>
      <c r="G53" s="77">
        <f t="shared" si="3"/>
        <v>295</v>
      </c>
      <c r="H53" s="76">
        <f t="shared" si="4"/>
        <v>2</v>
      </c>
      <c r="I53" s="36">
        <v>21600</v>
      </c>
      <c r="J53" s="37">
        <v>3600</v>
      </c>
      <c r="K53" s="37" t="s">
        <v>420</v>
      </c>
      <c r="L53" s="37"/>
      <c r="M53" s="37"/>
      <c r="N53" s="37"/>
      <c r="O53" s="35"/>
      <c r="P53" s="130">
        <f t="shared" si="11"/>
        <v>50</v>
      </c>
      <c r="Q53" s="80">
        <f t="shared" si="5"/>
        <v>13</v>
      </c>
      <c r="R53" s="80">
        <f t="shared" si="22"/>
        <v>295</v>
      </c>
      <c r="S53" s="79">
        <f t="shared" si="23"/>
        <v>2.1666666666666665</v>
      </c>
      <c r="T53" s="80">
        <f t="shared" si="24"/>
        <v>49.166666666666664</v>
      </c>
      <c r="U53" s="79">
        <f>SUM(S$4:S53)/A53</f>
        <v>1.9491666666666672</v>
      </c>
      <c r="V53" s="80">
        <f>SUM(T$4:T53)/A53</f>
        <v>41.708333333333329</v>
      </c>
      <c r="W53" s="79">
        <f t="shared" si="25"/>
        <v>20</v>
      </c>
      <c r="X53" s="80">
        <f t="shared" si="26"/>
        <v>180</v>
      </c>
      <c r="Y53" s="138">
        <f t="shared" si="14"/>
        <v>22.692307692307693</v>
      </c>
      <c r="Z53" s="138">
        <f t="shared" si="9"/>
        <v>4.4067796610169491E-2</v>
      </c>
      <c r="AA53" s="138">
        <f>SUM(Y$4:Y53)/$A53</f>
        <v>22.942417304917303</v>
      </c>
      <c r="AB53" s="138">
        <f>SUM(Z$4:Z53)/$A53</f>
        <v>4.4952885401089507E-2</v>
      </c>
      <c r="AC53" s="138">
        <f t="shared" si="15"/>
        <v>40</v>
      </c>
      <c r="AD53" s="138">
        <f t="shared" si="16"/>
        <v>0.2</v>
      </c>
      <c r="AE53" s="138">
        <f t="shared" si="17"/>
        <v>0</v>
      </c>
      <c r="AF53" s="80">
        <f t="shared" si="18"/>
        <v>13</v>
      </c>
      <c r="AG53" s="80">
        <f t="shared" si="19"/>
        <v>295</v>
      </c>
      <c r="AH53" s="138">
        <f>SUM(F$4:F53)/SUM(I$4:I53)*3600</f>
        <v>1.6155442804428044</v>
      </c>
      <c r="AI53" s="138">
        <f>SUM(R$4:R53)/SUM(I$4:I53)*3600</f>
        <v>37.268219557195572</v>
      </c>
      <c r="AJ53">
        <f>ROUNDUP(I53/Others!$B$2,0)</f>
        <v>6</v>
      </c>
      <c r="AK53">
        <f>ROUNDUP(I53/Others!$B$2,0)*100*1</f>
        <v>600</v>
      </c>
    </row>
  </sheetData>
  <mergeCells count="5">
    <mergeCell ref="A2:B2"/>
    <mergeCell ref="C2:E2"/>
    <mergeCell ref="I2:O2"/>
    <mergeCell ref="F2:H2"/>
    <mergeCell ref="Q2:X2"/>
  </mergeCells>
  <phoneticPr fontId="5"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4" enableFormatConditionsCalculation="0"/>
  <dimension ref="A1:AA58"/>
  <sheetViews>
    <sheetView tabSelected="1" workbookViewId="0">
      <pane xSplit="2" ySplit="3" topLeftCell="C4" activePane="bottomRight" state="frozen"/>
      <selection pane="topRight" activeCell="C1" sqref="C1"/>
      <selection pane="bottomLeft" activeCell="A3" sqref="A3"/>
      <selection pane="bottomRight" activeCell="G39" sqref="G39"/>
    </sheetView>
  </sheetViews>
  <sheetFormatPr baseColWidth="10" defaultRowHeight="15" x14ac:dyDescent="0"/>
  <cols>
    <col min="2" max="2" width="24.6640625" bestFit="1" customWidth="1"/>
    <col min="5" max="5" width="11.6640625" bestFit="1" customWidth="1"/>
    <col min="6" max="6" width="11.33203125" bestFit="1" customWidth="1"/>
    <col min="7" max="7" width="14" bestFit="1" customWidth="1"/>
    <col min="8" max="10" width="14" customWidth="1"/>
    <col min="16" max="16" width="11.1640625" bestFit="1" customWidth="1"/>
    <col min="17" max="17" width="2.33203125" style="50" customWidth="1"/>
    <col min="18" max="18" width="11" bestFit="1" customWidth="1"/>
    <col min="19" max="19" width="12.1640625" bestFit="1" customWidth="1"/>
    <col min="20" max="20" width="13.6640625" bestFit="1" customWidth="1"/>
    <col min="21" max="21" width="18.33203125" bestFit="1" customWidth="1"/>
    <col min="23" max="23" width="17.5" bestFit="1" customWidth="1"/>
    <col min="24" max="24" width="16.6640625" bestFit="1" customWidth="1"/>
    <col min="25" max="25" width="16.33203125" bestFit="1" customWidth="1"/>
    <col min="26" max="26" width="16.33203125" customWidth="1"/>
    <col min="27" max="27" width="14" bestFit="1" customWidth="1"/>
  </cols>
  <sheetData>
    <row r="1" spans="1:27" ht="16" thickBot="1">
      <c r="B1" s="343" t="s">
        <v>543</v>
      </c>
      <c r="C1" s="343">
        <v>15</v>
      </c>
    </row>
    <row r="2" spans="1:27">
      <c r="A2" s="365" t="s">
        <v>3</v>
      </c>
      <c r="B2" s="366"/>
      <c r="C2" s="367" t="s">
        <v>4</v>
      </c>
      <c r="D2" s="368"/>
      <c r="E2" s="369"/>
      <c r="F2" s="370" t="s">
        <v>20</v>
      </c>
      <c r="G2" s="371"/>
      <c r="H2" s="230"/>
      <c r="I2" s="230"/>
      <c r="J2" s="336"/>
      <c r="K2" s="354" t="s">
        <v>14</v>
      </c>
      <c r="L2" s="360"/>
      <c r="M2" s="360"/>
      <c r="N2" s="360"/>
      <c r="O2" s="360"/>
      <c r="P2" s="355"/>
      <c r="R2" s="352" t="s">
        <v>19</v>
      </c>
      <c r="S2" s="352"/>
      <c r="T2" s="352"/>
      <c r="U2" s="238"/>
    </row>
    <row r="3" spans="1:27" ht="16" thickBot="1">
      <c r="A3" s="8" t="s">
        <v>399</v>
      </c>
      <c r="B3" s="337" t="s">
        <v>17</v>
      </c>
      <c r="C3" s="8" t="s">
        <v>0</v>
      </c>
      <c r="D3" s="9" t="s">
        <v>15</v>
      </c>
      <c r="E3" s="10" t="s">
        <v>16</v>
      </c>
      <c r="F3" s="11" t="s">
        <v>21</v>
      </c>
      <c r="G3" s="10" t="s">
        <v>22</v>
      </c>
      <c r="H3" s="11" t="s">
        <v>288</v>
      </c>
      <c r="I3" s="12" t="s">
        <v>289</v>
      </c>
      <c r="J3" s="10" t="s">
        <v>535</v>
      </c>
      <c r="K3" s="11" t="s">
        <v>27</v>
      </c>
      <c r="L3" s="12" t="s">
        <v>28</v>
      </c>
      <c r="M3" s="12" t="s">
        <v>534</v>
      </c>
      <c r="N3" s="12" t="s">
        <v>29</v>
      </c>
      <c r="O3" s="12" t="s">
        <v>30</v>
      </c>
      <c r="P3" s="10" t="s">
        <v>31</v>
      </c>
      <c r="R3" s="4" t="s">
        <v>239</v>
      </c>
      <c r="S3" s="4" t="s">
        <v>395</v>
      </c>
      <c r="T3" s="4" t="s">
        <v>396</v>
      </c>
      <c r="U3" s="4" t="s">
        <v>406</v>
      </c>
      <c r="V3" s="4" t="s">
        <v>245</v>
      </c>
      <c r="W3" s="4" t="s">
        <v>397</v>
      </c>
      <c r="X3" s="4" t="s">
        <v>248</v>
      </c>
      <c r="Y3" s="4" t="s">
        <v>246</v>
      </c>
      <c r="Z3" s="4" t="s">
        <v>249</v>
      </c>
      <c r="AA3" s="4" t="s">
        <v>247</v>
      </c>
    </row>
    <row r="4" spans="1:27">
      <c r="A4" s="341">
        <f>IF(ISNUMBER(A3),A3,0)+1</f>
        <v>1</v>
      </c>
      <c r="B4" s="35" t="s">
        <v>544</v>
      </c>
      <c r="C4" s="44">
        <v>5</v>
      </c>
      <c r="D4" s="77">
        <f>IF(E4="coins",IF(U4&lt;1000,ROUND(U4/10,0)*10,IF(U4&lt;9500,ROUND(U4/100,0)*100,ROUND(U4/1000,0)*1000)),IF(U4/50&lt;900,ROUNDUP(U4/500,0)*10-1,IF(U4/50&lt;8500,ROUNDUP(U4/5000,0)*100-1,ROUNDUP(U4/50000,0)*1000-1)))</f>
        <v>10000</v>
      </c>
      <c r="E4" s="47" t="s">
        <v>33</v>
      </c>
      <c r="F4" s="254">
        <v>5</v>
      </c>
      <c r="G4" s="256">
        <f>R4*K4*L4</f>
        <v>20</v>
      </c>
      <c r="H4" s="44" t="s">
        <v>290</v>
      </c>
      <c r="I4" s="45">
        <v>2</v>
      </c>
      <c r="J4" s="338">
        <f>IF(H4="Path&amp;River",IF(U4&lt;1000,ROUND(U4/10,0)*10,IF(U4&lt;10000,ROUND(U4/100,0)*100,ROUND(U4/1000,0)*1000)),IF(U4&lt;1000,ROUNDUP(U4/10,0)*5,IF(U4&lt;10000,ROUNDUP(U4/100,0)*50,ROUNDUP(U4/1000,0)*500)))</f>
        <v>5000</v>
      </c>
      <c r="K4" s="44">
        <v>1</v>
      </c>
      <c r="L4" s="45">
        <v>1</v>
      </c>
      <c r="M4" s="45" t="s">
        <v>370</v>
      </c>
      <c r="N4" s="46" t="s">
        <v>32</v>
      </c>
      <c r="O4" s="46" t="s">
        <v>32</v>
      </c>
      <c r="P4" s="47" t="s">
        <v>368</v>
      </c>
      <c r="R4" s="316">
        <v>20</v>
      </c>
      <c r="S4" s="252">
        <f>IF(E4="coins",D4/G4,"-")</f>
        <v>500</v>
      </c>
      <c r="T4" s="253" t="str">
        <f>IF(E4="magicWands",D4/G4,"-")</f>
        <v>-</v>
      </c>
      <c r="U4" s="252">
        <f>VLOOKUP(R4,'Decoration Background'!$A$2:$B$501,2)*K4*L4+10*F4</f>
        <v>9969</v>
      </c>
      <c r="V4">
        <f>F4/G4</f>
        <v>0.25</v>
      </c>
      <c r="W4">
        <f>F4/G4</f>
        <v>0.25</v>
      </c>
      <c r="X4" s="242">
        <f>IF(AND(ISNUMBER(X3),ISNUMBER(S4)),IF(X3&gt;S4,X3,S4),IF(ISNUMBER(S4),S4,X3))</f>
        <v>500</v>
      </c>
      <c r="Y4" s="153">
        <f>S4</f>
        <v>500</v>
      </c>
      <c r="Z4">
        <f>SUM(S4:S$4)/A4</f>
        <v>500</v>
      </c>
      <c r="AA4">
        <f>V4</f>
        <v>0.25</v>
      </c>
    </row>
    <row r="5" spans="1:27">
      <c r="A5" s="342">
        <f t="shared" ref="A5:A58" si="0">IF(ISNUMBER(A4),A4,0)+1</f>
        <v>2</v>
      </c>
      <c r="B5" s="35" t="s">
        <v>545</v>
      </c>
      <c r="C5" s="36">
        <v>5</v>
      </c>
      <c r="D5" s="77">
        <f>IF(E5="coins",IF(U5&lt;1000,ROUND(U5/10,0)*10,IF(U5&lt;9500,ROUND(U5/100,0)*100,ROUND(U5/1000,0)*1000)),IF(U5/50&lt;900,ROUNDUP(U5/500,0)*10-1,IF(U5/50&lt;8500,ROUNDUP(U5/5000,0)*100-1,ROUNDUP(U5/50000,0)*1000-1)))</f>
        <v>3299</v>
      </c>
      <c r="E5" s="35" t="s">
        <v>381</v>
      </c>
      <c r="F5" s="234">
        <v>5</v>
      </c>
      <c r="G5" s="257">
        <f t="shared" ref="G5:G58" si="1">R5*K5*L5</f>
        <v>80</v>
      </c>
      <c r="H5" s="36" t="s">
        <v>290</v>
      </c>
      <c r="I5" s="37">
        <v>1</v>
      </c>
      <c r="J5" s="35">
        <f>IF(H5="Path&amp;River",IF(U5&lt;1000,ROUND(U5/10,0)*10,IF(U5&lt;10000,ROUND(U5/100,0)*100,ROUND(U5/1000,0)*1000)),IF(U5&lt;1000,ROUNDUP(U5/10,0)*5,IF(U5&lt;10000,ROUNDUP(U5/100,0)*50,ROUNDUP(U5/1000,0)*500)))</f>
        <v>82000</v>
      </c>
      <c r="K5" s="36">
        <v>1</v>
      </c>
      <c r="L5" s="37">
        <v>1</v>
      </c>
      <c r="M5" s="37" t="s">
        <v>370</v>
      </c>
      <c r="N5" s="48" t="s">
        <v>32</v>
      </c>
      <c r="O5" s="48" t="s">
        <v>32</v>
      </c>
      <c r="P5" s="35" t="s">
        <v>369</v>
      </c>
      <c r="R5" s="316">
        <v>80</v>
      </c>
      <c r="S5" s="252" t="str">
        <f t="shared" ref="S5:S17" si="2">IF(E5="coins",D5/G5,"-")</f>
        <v>-</v>
      </c>
      <c r="T5" s="253">
        <f t="shared" ref="T5:T17" si="3">IF(E5="magicWands",D5/G5,"-")</f>
        <v>41.237499999999997</v>
      </c>
      <c r="U5" s="252">
        <f>VLOOKUP(R5,'Decoration Background'!$A$2:$B$501,2)*K5*L5+10*F5</f>
        <v>163973</v>
      </c>
      <c r="V5">
        <f t="shared" ref="V5:V17" si="4">F5/G5</f>
        <v>6.25E-2</v>
      </c>
      <c r="W5">
        <f t="shared" ref="W5:W17" si="5">F5/G5</f>
        <v>6.25E-2</v>
      </c>
      <c r="X5" s="242">
        <f>IF(AND(ISNUMBER(X4),ISNUMBER(S5)),IF(X4&gt;S5,X4,S5),IF(ISNUMBER(S5),S5,X4))</f>
        <v>500</v>
      </c>
      <c r="Y5">
        <f>IF(Y4&lt;S5,Y4,S5)</f>
        <v>500</v>
      </c>
      <c r="Z5">
        <f>SUM(S$4:S5)/A5</f>
        <v>250</v>
      </c>
      <c r="AA5">
        <f>IF(AA4&lt;V5,AA4,V5)</f>
        <v>6.25E-2</v>
      </c>
    </row>
    <row r="6" spans="1:27">
      <c r="A6" s="342">
        <f t="shared" si="0"/>
        <v>3</v>
      </c>
      <c r="B6" s="35" t="s">
        <v>546</v>
      </c>
      <c r="C6" s="36">
        <v>5</v>
      </c>
      <c r="D6" s="77">
        <f t="shared" ref="D6:D58" si="6">IF(E6="coins",IF(U6&lt;1000,ROUND(U6/10,0)*10,IF(U6&lt;9500,ROUND(U6/100,0)*100,ROUND(U6/1000,0)*1000)),IF(U6/50&lt;900,ROUNDUP(U6/500,0)*10-1,IF(U6/50&lt;8500,ROUNDUP(U6/5000,0)*100-1,ROUNDUP(U6/50000,0)*1000-1)))</f>
        <v>8999</v>
      </c>
      <c r="E6" s="35" t="s">
        <v>381</v>
      </c>
      <c r="F6" s="234">
        <v>5</v>
      </c>
      <c r="G6" s="257">
        <f t="shared" si="1"/>
        <v>170</v>
      </c>
      <c r="H6" s="36" t="s">
        <v>290</v>
      </c>
      <c r="I6" s="37">
        <v>3</v>
      </c>
      <c r="J6" s="35">
        <f t="shared" ref="J6:J55" si="7">IF(H6="Path&amp;River",IF(U6&lt;1000,ROUND(U6/10,0)*10,IF(U6&lt;10000,ROUND(U6/100,0)*100,ROUND(U6/1000,0)*1000)),IF(U6&lt;1000,ROUNDUP(U6/10,0)*5,IF(U6&lt;10000,ROUNDUP(U6/100,0)*50,ROUNDUP(U6/1000,0)*500)))</f>
        <v>220500</v>
      </c>
      <c r="K6" s="36">
        <v>1</v>
      </c>
      <c r="L6" s="37">
        <v>1</v>
      </c>
      <c r="M6" s="37" t="s">
        <v>370</v>
      </c>
      <c r="N6" s="48" t="s">
        <v>32</v>
      </c>
      <c r="O6" s="48" t="s">
        <v>32</v>
      </c>
      <c r="P6" s="35" t="s">
        <v>371</v>
      </c>
      <c r="R6" s="316">
        <v>170</v>
      </c>
      <c r="S6" s="252" t="str">
        <f t="shared" si="2"/>
        <v>-</v>
      </c>
      <c r="T6" s="253">
        <f t="shared" si="3"/>
        <v>52.935294117647061</v>
      </c>
      <c r="U6" s="252">
        <f>VLOOKUP(R6,'Decoration Background'!$A$2:$B$501,2)*K6*L6+10*F6</f>
        <v>440573</v>
      </c>
      <c r="V6">
        <f t="shared" si="4"/>
        <v>2.9411764705882353E-2</v>
      </c>
      <c r="W6">
        <f t="shared" si="5"/>
        <v>2.9411764705882353E-2</v>
      </c>
      <c r="X6" s="242">
        <f t="shared" ref="X6:X17" si="8">IF(AND(ISNUMBER(X5),ISNUMBER(S6)),IF(X5&gt;S6,X5,S6),IF(ISNUMBER(S6),S6,X5))</f>
        <v>500</v>
      </c>
      <c r="Y6">
        <f t="shared" ref="Y6:Y17" si="9">IF(Y5&lt;S6,Y5,S6)</f>
        <v>500</v>
      </c>
      <c r="Z6">
        <f>SUM(S$4:S6)/A6</f>
        <v>166.66666666666666</v>
      </c>
      <c r="AA6">
        <f t="shared" ref="AA6:AA17" si="10">IF(AA5&lt;V6,AA5,V6)</f>
        <v>2.9411764705882353E-2</v>
      </c>
    </row>
    <row r="7" spans="1:27">
      <c r="A7" s="342">
        <f t="shared" si="0"/>
        <v>4</v>
      </c>
      <c r="B7" s="35" t="s">
        <v>547</v>
      </c>
      <c r="C7" s="36">
        <v>5</v>
      </c>
      <c r="D7" s="77">
        <f t="shared" si="6"/>
        <v>46000</v>
      </c>
      <c r="E7" s="35" t="s">
        <v>33</v>
      </c>
      <c r="F7" s="234">
        <v>5</v>
      </c>
      <c r="G7" s="257">
        <f t="shared" si="1"/>
        <v>40</v>
      </c>
      <c r="H7" s="36" t="s">
        <v>290</v>
      </c>
      <c r="I7" s="37">
        <v>4</v>
      </c>
      <c r="J7" s="35">
        <f t="shared" si="7"/>
        <v>23500</v>
      </c>
      <c r="K7" s="36">
        <v>1</v>
      </c>
      <c r="L7" s="37">
        <v>1</v>
      </c>
      <c r="M7" s="37" t="s">
        <v>370</v>
      </c>
      <c r="N7" s="48" t="s">
        <v>32</v>
      </c>
      <c r="O7" s="48" t="s">
        <v>32</v>
      </c>
      <c r="P7" s="35" t="s">
        <v>372</v>
      </c>
      <c r="R7" s="316">
        <v>40</v>
      </c>
      <c r="S7" s="252">
        <f t="shared" si="2"/>
        <v>1150</v>
      </c>
      <c r="T7" s="253" t="str">
        <f t="shared" si="3"/>
        <v>-</v>
      </c>
      <c r="U7" s="252">
        <f>VLOOKUP(R7,'Decoration Background'!$A$2:$B$501,2)*K7*L7+10*F7</f>
        <v>46023</v>
      </c>
      <c r="V7">
        <f t="shared" si="4"/>
        <v>0.125</v>
      </c>
      <c r="W7">
        <f t="shared" si="5"/>
        <v>0.125</v>
      </c>
      <c r="X7" s="242">
        <f t="shared" si="8"/>
        <v>1150</v>
      </c>
      <c r="Y7">
        <f t="shared" si="9"/>
        <v>500</v>
      </c>
      <c r="Z7">
        <f>SUM(S$4:S7)/A7</f>
        <v>412.5</v>
      </c>
      <c r="AA7">
        <f t="shared" si="10"/>
        <v>2.9411764705882353E-2</v>
      </c>
    </row>
    <row r="8" spans="1:27">
      <c r="A8" s="342">
        <f t="shared" si="0"/>
        <v>5</v>
      </c>
      <c r="B8" s="35" t="s">
        <v>548</v>
      </c>
      <c r="C8" s="36">
        <v>5</v>
      </c>
      <c r="D8" s="77">
        <f t="shared" si="6"/>
        <v>549</v>
      </c>
      <c r="E8" s="35" t="s">
        <v>381</v>
      </c>
      <c r="F8" s="234">
        <v>5</v>
      </c>
      <c r="G8" s="257">
        <f t="shared" si="1"/>
        <v>30</v>
      </c>
      <c r="H8" s="36" t="s">
        <v>290</v>
      </c>
      <c r="I8" s="37">
        <v>5</v>
      </c>
      <c r="J8" s="35">
        <f t="shared" si="7"/>
        <v>14000</v>
      </c>
      <c r="K8" s="36">
        <v>1</v>
      </c>
      <c r="L8" s="37">
        <v>1</v>
      </c>
      <c r="M8" s="37" t="s">
        <v>370</v>
      </c>
      <c r="N8" s="48" t="s">
        <v>32</v>
      </c>
      <c r="O8" s="48" t="s">
        <v>32</v>
      </c>
      <c r="P8" s="35" t="s">
        <v>373</v>
      </c>
      <c r="R8" s="316">
        <v>30</v>
      </c>
      <c r="S8" s="252" t="str">
        <f t="shared" si="2"/>
        <v>-</v>
      </c>
      <c r="T8" s="253">
        <f t="shared" si="3"/>
        <v>18.3</v>
      </c>
      <c r="U8" s="252">
        <f>VLOOKUP(R8,'Decoration Background'!$A$2:$B$501,2)*K8*L8+10*F8</f>
        <v>27373</v>
      </c>
      <c r="V8">
        <f t="shared" si="4"/>
        <v>0.16666666666666666</v>
      </c>
      <c r="W8">
        <f t="shared" si="5"/>
        <v>0.16666666666666666</v>
      </c>
      <c r="X8" s="242">
        <f t="shared" si="8"/>
        <v>1150</v>
      </c>
      <c r="Y8">
        <f t="shared" si="9"/>
        <v>500</v>
      </c>
      <c r="Z8">
        <f>SUM(S$4:S8)/A8</f>
        <v>330</v>
      </c>
      <c r="AA8">
        <f t="shared" si="10"/>
        <v>2.9411764705882353E-2</v>
      </c>
    </row>
    <row r="9" spans="1:27">
      <c r="A9" s="342">
        <f t="shared" si="0"/>
        <v>6</v>
      </c>
      <c r="B9" s="35" t="s">
        <v>549</v>
      </c>
      <c r="C9" s="36">
        <v>5</v>
      </c>
      <c r="D9" s="77">
        <f t="shared" si="6"/>
        <v>2500</v>
      </c>
      <c r="E9" s="35" t="s">
        <v>33</v>
      </c>
      <c r="F9" s="234">
        <v>5</v>
      </c>
      <c r="G9" s="257">
        <f t="shared" si="1"/>
        <v>20</v>
      </c>
      <c r="H9" s="36" t="s">
        <v>290</v>
      </c>
      <c r="I9" s="37">
        <v>6</v>
      </c>
      <c r="J9" s="35">
        <f t="shared" si="7"/>
        <v>1250</v>
      </c>
      <c r="K9" s="36">
        <v>2</v>
      </c>
      <c r="L9" s="37">
        <v>2</v>
      </c>
      <c r="M9" s="37" t="s">
        <v>370</v>
      </c>
      <c r="N9" s="48" t="s">
        <v>32</v>
      </c>
      <c r="O9" s="48" t="s">
        <v>32</v>
      </c>
      <c r="P9" s="35" t="s">
        <v>374</v>
      </c>
      <c r="R9" s="316">
        <v>5</v>
      </c>
      <c r="S9" s="252">
        <f t="shared" si="2"/>
        <v>125</v>
      </c>
      <c r="T9" s="253" t="str">
        <f t="shared" si="3"/>
        <v>-</v>
      </c>
      <c r="U9" s="252">
        <f>VLOOKUP(R9,'Decoration Background'!$A$2:$B$501,2)*K9*L9+10*F9</f>
        <v>2450</v>
      </c>
      <c r="V9">
        <f t="shared" si="4"/>
        <v>0.25</v>
      </c>
      <c r="W9">
        <f t="shared" si="5"/>
        <v>0.25</v>
      </c>
      <c r="X9" s="242">
        <f t="shared" si="8"/>
        <v>1150</v>
      </c>
      <c r="Y9">
        <f t="shared" si="9"/>
        <v>125</v>
      </c>
      <c r="Z9">
        <f>SUM(S$4:S9)/A9</f>
        <v>295.83333333333331</v>
      </c>
      <c r="AA9">
        <f t="shared" si="10"/>
        <v>2.9411764705882353E-2</v>
      </c>
    </row>
    <row r="10" spans="1:27">
      <c r="A10" s="342">
        <f t="shared" si="0"/>
        <v>7</v>
      </c>
      <c r="B10" s="35" t="s">
        <v>550</v>
      </c>
      <c r="C10" s="36">
        <v>5</v>
      </c>
      <c r="D10" s="77">
        <f t="shared" si="6"/>
        <v>7200</v>
      </c>
      <c r="E10" s="35" t="s">
        <v>33</v>
      </c>
      <c r="F10" s="234">
        <v>5</v>
      </c>
      <c r="G10" s="257">
        <f t="shared" si="1"/>
        <v>40</v>
      </c>
      <c r="H10" s="36" t="s">
        <v>290</v>
      </c>
      <c r="I10" s="37">
        <v>7</v>
      </c>
      <c r="J10" s="35">
        <f t="shared" si="7"/>
        <v>3600</v>
      </c>
      <c r="K10" s="36">
        <v>2</v>
      </c>
      <c r="L10" s="37">
        <v>2</v>
      </c>
      <c r="M10" s="37" t="s">
        <v>370</v>
      </c>
      <c r="N10" s="48" t="s">
        <v>32</v>
      </c>
      <c r="O10" s="48" t="s">
        <v>32</v>
      </c>
      <c r="P10" s="35" t="s">
        <v>375</v>
      </c>
      <c r="R10" s="316">
        <v>10</v>
      </c>
      <c r="S10" s="252">
        <f t="shared" si="2"/>
        <v>180</v>
      </c>
      <c r="T10" s="253" t="str">
        <f t="shared" si="3"/>
        <v>-</v>
      </c>
      <c r="U10" s="252">
        <f>VLOOKUP(R10,'Decoration Background'!$A$2:$B$501,2)*K10*L10+10*F10</f>
        <v>7170</v>
      </c>
      <c r="V10">
        <f t="shared" si="4"/>
        <v>0.125</v>
      </c>
      <c r="W10">
        <f t="shared" si="5"/>
        <v>0.125</v>
      </c>
      <c r="X10" s="242">
        <f t="shared" si="8"/>
        <v>1150</v>
      </c>
      <c r="Y10">
        <f t="shared" si="9"/>
        <v>125</v>
      </c>
      <c r="Z10">
        <f>SUM(S$4:S10)/A10</f>
        <v>279.28571428571428</v>
      </c>
      <c r="AA10">
        <f t="shared" si="10"/>
        <v>2.9411764705882353E-2</v>
      </c>
    </row>
    <row r="11" spans="1:27">
      <c r="A11" s="342">
        <f t="shared" si="0"/>
        <v>8</v>
      </c>
      <c r="B11" s="35" t="s">
        <v>551</v>
      </c>
      <c r="C11" s="36">
        <v>17</v>
      </c>
      <c r="D11" s="77">
        <v>3499</v>
      </c>
      <c r="E11" s="35" t="s">
        <v>381</v>
      </c>
      <c r="F11" s="234">
        <v>5</v>
      </c>
      <c r="G11" s="257">
        <v>155</v>
      </c>
      <c r="H11" s="36" t="s">
        <v>376</v>
      </c>
      <c r="I11" s="37">
        <v>1</v>
      </c>
      <c r="J11" s="35">
        <f t="shared" si="7"/>
        <v>84500</v>
      </c>
      <c r="K11" s="36">
        <v>2</v>
      </c>
      <c r="L11" s="37">
        <v>2</v>
      </c>
      <c r="M11" s="37" t="s">
        <v>370</v>
      </c>
      <c r="N11" s="48" t="s">
        <v>32</v>
      </c>
      <c r="O11" s="48" t="s">
        <v>32</v>
      </c>
      <c r="P11" s="35" t="s">
        <v>374</v>
      </c>
      <c r="R11" s="316">
        <v>38</v>
      </c>
      <c r="S11" s="252" t="str">
        <f t="shared" si="2"/>
        <v>-</v>
      </c>
      <c r="T11" s="253">
        <f t="shared" si="3"/>
        <v>22.574193548387097</v>
      </c>
      <c r="U11" s="252">
        <f>VLOOKUP(R11,'Decoration Background'!$A$2:$B$501,2)*K11*L11+10*F11</f>
        <v>168542</v>
      </c>
      <c r="V11">
        <f t="shared" si="4"/>
        <v>3.2258064516129031E-2</v>
      </c>
      <c r="W11">
        <f t="shared" si="5"/>
        <v>3.2258064516129031E-2</v>
      </c>
      <c r="X11" s="242">
        <f t="shared" si="8"/>
        <v>1150</v>
      </c>
      <c r="Y11">
        <f t="shared" si="9"/>
        <v>125</v>
      </c>
      <c r="Z11">
        <f>SUM(S$4:S11)/A11</f>
        <v>244.375</v>
      </c>
      <c r="AA11">
        <f t="shared" si="10"/>
        <v>2.9411764705882353E-2</v>
      </c>
    </row>
    <row r="12" spans="1:27">
      <c r="A12" s="342">
        <f t="shared" si="0"/>
        <v>9</v>
      </c>
      <c r="B12" s="35" t="s">
        <v>552</v>
      </c>
      <c r="C12" s="36">
        <v>3</v>
      </c>
      <c r="D12" s="77">
        <f t="shared" si="6"/>
        <v>1300</v>
      </c>
      <c r="E12" s="35" t="s">
        <v>33</v>
      </c>
      <c r="F12" s="234">
        <v>5</v>
      </c>
      <c r="G12" s="257">
        <f t="shared" si="1"/>
        <v>12</v>
      </c>
      <c r="H12" s="36" t="s">
        <v>376</v>
      </c>
      <c r="I12" s="37">
        <v>2</v>
      </c>
      <c r="J12" s="35">
        <f t="shared" si="7"/>
        <v>650</v>
      </c>
      <c r="K12" s="36">
        <v>2</v>
      </c>
      <c r="L12" s="37">
        <v>2</v>
      </c>
      <c r="M12" s="37" t="s">
        <v>370</v>
      </c>
      <c r="N12" s="48" t="s">
        <v>32</v>
      </c>
      <c r="O12" s="48" t="s">
        <v>32</v>
      </c>
      <c r="P12" s="35" t="s">
        <v>377</v>
      </c>
      <c r="R12" s="316">
        <f t="shared" ref="R12:R58" si="11">IF(E12="coins",C12,C12*2)</f>
        <v>3</v>
      </c>
      <c r="S12" s="252">
        <f t="shared" si="2"/>
        <v>108.33333333333333</v>
      </c>
      <c r="T12" s="253" t="str">
        <f t="shared" si="3"/>
        <v>-</v>
      </c>
      <c r="U12" s="252">
        <f>VLOOKUP(R12,'Decoration Background'!$A$2:$B$501,2)*K12*L12+10*F12</f>
        <v>1258</v>
      </c>
      <c r="V12">
        <f t="shared" si="4"/>
        <v>0.41666666666666669</v>
      </c>
      <c r="W12">
        <f t="shared" si="5"/>
        <v>0.41666666666666669</v>
      </c>
      <c r="X12" s="242">
        <f t="shared" si="8"/>
        <v>1150</v>
      </c>
      <c r="Y12">
        <f t="shared" si="9"/>
        <v>108.33333333333333</v>
      </c>
      <c r="Z12">
        <f>SUM(S$4:S12)/A12</f>
        <v>229.25925925925927</v>
      </c>
      <c r="AA12">
        <f t="shared" si="10"/>
        <v>2.9411764705882353E-2</v>
      </c>
    </row>
    <row r="13" spans="1:27">
      <c r="A13" s="342">
        <f t="shared" si="0"/>
        <v>10</v>
      </c>
      <c r="B13" s="35" t="s">
        <v>553</v>
      </c>
      <c r="C13" s="36">
        <v>7</v>
      </c>
      <c r="D13" s="77">
        <f t="shared" si="6"/>
        <v>3800</v>
      </c>
      <c r="E13" s="35" t="s">
        <v>33</v>
      </c>
      <c r="F13" s="234">
        <v>5</v>
      </c>
      <c r="G13" s="257">
        <f t="shared" si="1"/>
        <v>28</v>
      </c>
      <c r="H13" s="36" t="s">
        <v>376</v>
      </c>
      <c r="I13" s="37">
        <v>3</v>
      </c>
      <c r="J13" s="35">
        <f t="shared" si="7"/>
        <v>1950</v>
      </c>
      <c r="K13" s="36">
        <v>2</v>
      </c>
      <c r="L13" s="37">
        <v>2</v>
      </c>
      <c r="M13" s="37" t="s">
        <v>370</v>
      </c>
      <c r="N13" s="48" t="s">
        <v>32</v>
      </c>
      <c r="O13" s="48" t="s">
        <v>32</v>
      </c>
      <c r="P13" s="35" t="s">
        <v>378</v>
      </c>
      <c r="R13" s="316">
        <f t="shared" si="11"/>
        <v>7</v>
      </c>
      <c r="S13" s="252">
        <f t="shared" si="2"/>
        <v>135.71428571428572</v>
      </c>
      <c r="T13" s="253" t="str">
        <f t="shared" si="3"/>
        <v>-</v>
      </c>
      <c r="U13" s="252">
        <f>VLOOKUP(R13,'Decoration Background'!$A$2:$B$501,2)*K13*L13+10*F13</f>
        <v>3802</v>
      </c>
      <c r="V13">
        <f t="shared" si="4"/>
        <v>0.17857142857142858</v>
      </c>
      <c r="W13">
        <f t="shared" si="5"/>
        <v>0.17857142857142858</v>
      </c>
      <c r="X13" s="242">
        <f t="shared" si="8"/>
        <v>1150</v>
      </c>
      <c r="Y13">
        <f t="shared" si="9"/>
        <v>108.33333333333333</v>
      </c>
      <c r="Z13">
        <f>SUM(S$4:S13)/A13</f>
        <v>219.90476190476193</v>
      </c>
      <c r="AA13">
        <f t="shared" si="10"/>
        <v>2.9411764705882353E-2</v>
      </c>
    </row>
    <row r="14" spans="1:27">
      <c r="A14" s="342">
        <f t="shared" si="0"/>
        <v>11</v>
      </c>
      <c r="B14" s="35" t="s">
        <v>554</v>
      </c>
      <c r="C14" s="36">
        <v>14</v>
      </c>
      <c r="D14" s="77">
        <f t="shared" si="6"/>
        <v>3299</v>
      </c>
      <c r="E14" s="35" t="s">
        <v>381</v>
      </c>
      <c r="F14" s="234">
        <v>5</v>
      </c>
      <c r="G14" s="257">
        <f t="shared" si="1"/>
        <v>225</v>
      </c>
      <c r="H14" s="36" t="s">
        <v>376</v>
      </c>
      <c r="I14" s="37">
        <v>4</v>
      </c>
      <c r="J14" s="35">
        <f t="shared" si="7"/>
        <v>81500</v>
      </c>
      <c r="K14" s="36">
        <v>3</v>
      </c>
      <c r="L14" s="37">
        <v>3</v>
      </c>
      <c r="M14" s="37" t="s">
        <v>370</v>
      </c>
      <c r="N14" s="48" t="s">
        <v>32</v>
      </c>
      <c r="O14" s="48" t="s">
        <v>32</v>
      </c>
      <c r="P14" s="35" t="s">
        <v>379</v>
      </c>
      <c r="R14" s="316">
        <v>25</v>
      </c>
      <c r="S14" s="252" t="str">
        <f t="shared" si="2"/>
        <v>-</v>
      </c>
      <c r="T14" s="253">
        <f t="shared" si="3"/>
        <v>14.662222222222223</v>
      </c>
      <c r="U14" s="252">
        <f>VLOOKUP(R14,'Decoration Background'!$A$2:$B$501,2)*K14*L14+10*F14</f>
        <v>162707</v>
      </c>
      <c r="V14">
        <f t="shared" si="4"/>
        <v>2.2222222222222223E-2</v>
      </c>
      <c r="W14">
        <f t="shared" si="5"/>
        <v>2.2222222222222223E-2</v>
      </c>
      <c r="X14" s="242">
        <f t="shared" si="8"/>
        <v>1150</v>
      </c>
      <c r="Y14">
        <f t="shared" si="9"/>
        <v>108.33333333333333</v>
      </c>
      <c r="Z14">
        <f>SUM(S$4:S14)/A14</f>
        <v>199.91341991341994</v>
      </c>
      <c r="AA14">
        <f t="shared" si="10"/>
        <v>2.2222222222222223E-2</v>
      </c>
    </row>
    <row r="15" spans="1:27">
      <c r="A15" s="342">
        <f t="shared" si="0"/>
        <v>12</v>
      </c>
      <c r="B15" s="35" t="s">
        <v>555</v>
      </c>
      <c r="C15" s="36">
        <v>15</v>
      </c>
      <c r="D15" s="77">
        <f t="shared" si="6"/>
        <v>5000</v>
      </c>
      <c r="E15" s="35" t="s">
        <v>33</v>
      </c>
      <c r="F15" s="234">
        <v>5</v>
      </c>
      <c r="G15" s="257">
        <f t="shared" si="1"/>
        <v>15</v>
      </c>
      <c r="H15" s="36" t="s">
        <v>376</v>
      </c>
      <c r="I15" s="37">
        <v>5</v>
      </c>
      <c r="J15" s="35">
        <f t="shared" si="7"/>
        <v>2550</v>
      </c>
      <c r="K15" s="36">
        <v>1</v>
      </c>
      <c r="L15" s="37">
        <v>1</v>
      </c>
      <c r="M15" s="37" t="s">
        <v>370</v>
      </c>
      <c r="N15" s="48" t="s">
        <v>32</v>
      </c>
      <c r="O15" s="48" t="s">
        <v>32</v>
      </c>
      <c r="P15" s="35" t="s">
        <v>380</v>
      </c>
      <c r="R15" s="316">
        <f t="shared" si="11"/>
        <v>15</v>
      </c>
      <c r="S15" s="252">
        <f t="shared" si="2"/>
        <v>333.33333333333331</v>
      </c>
      <c r="T15" s="253" t="str">
        <f t="shared" si="3"/>
        <v>-</v>
      </c>
      <c r="U15" s="252">
        <f>VLOOKUP(R15,'Decoration Background'!$A$2:$B$501,2)*K15*L15+10*F15</f>
        <v>5014</v>
      </c>
      <c r="V15">
        <f t="shared" si="4"/>
        <v>0.33333333333333331</v>
      </c>
      <c r="W15">
        <f t="shared" si="5"/>
        <v>0.33333333333333331</v>
      </c>
      <c r="X15" s="242">
        <f t="shared" si="8"/>
        <v>1150</v>
      </c>
      <c r="Y15">
        <f t="shared" si="9"/>
        <v>108.33333333333333</v>
      </c>
      <c r="Z15">
        <f>SUM(S$4:S15)/A15</f>
        <v>211.03174603174605</v>
      </c>
      <c r="AA15">
        <f t="shared" si="10"/>
        <v>2.2222222222222223E-2</v>
      </c>
    </row>
    <row r="16" spans="1:27">
      <c r="A16" s="342">
        <f t="shared" si="0"/>
        <v>13</v>
      </c>
      <c r="B16" s="35" t="s">
        <v>556</v>
      </c>
      <c r="C16" s="36">
        <v>20</v>
      </c>
      <c r="D16" s="77">
        <f t="shared" si="6"/>
        <v>40000</v>
      </c>
      <c r="E16" s="35" t="s">
        <v>33</v>
      </c>
      <c r="F16" s="234">
        <v>5</v>
      </c>
      <c r="G16" s="257">
        <f t="shared" si="1"/>
        <v>80</v>
      </c>
      <c r="H16" s="36" t="s">
        <v>376</v>
      </c>
      <c r="I16" s="37">
        <v>6</v>
      </c>
      <c r="J16" s="35">
        <f t="shared" si="7"/>
        <v>20000</v>
      </c>
      <c r="K16" s="36">
        <v>2</v>
      </c>
      <c r="L16" s="37">
        <v>2</v>
      </c>
      <c r="M16" s="37" t="s">
        <v>370</v>
      </c>
      <c r="N16" s="48" t="s">
        <v>32</v>
      </c>
      <c r="O16" s="48" t="s">
        <v>32</v>
      </c>
      <c r="P16" s="35" t="s">
        <v>380</v>
      </c>
      <c r="R16" s="316">
        <f t="shared" si="11"/>
        <v>20</v>
      </c>
      <c r="S16" s="252">
        <f t="shared" si="2"/>
        <v>500</v>
      </c>
      <c r="T16" s="253" t="str">
        <f t="shared" si="3"/>
        <v>-</v>
      </c>
      <c r="U16" s="252">
        <f>VLOOKUP(R16,'Decoration Background'!$A$2:$B$501,2)*K16*L16+10*F16</f>
        <v>39726</v>
      </c>
      <c r="V16">
        <f t="shared" si="4"/>
        <v>6.25E-2</v>
      </c>
      <c r="W16">
        <f t="shared" si="5"/>
        <v>6.25E-2</v>
      </c>
      <c r="X16" s="242">
        <f t="shared" si="8"/>
        <v>1150</v>
      </c>
      <c r="Y16">
        <f t="shared" si="9"/>
        <v>108.33333333333333</v>
      </c>
      <c r="Z16">
        <f>SUM(S$4:S16)/A16</f>
        <v>233.26007326007328</v>
      </c>
      <c r="AA16">
        <f t="shared" si="10"/>
        <v>2.2222222222222223E-2</v>
      </c>
    </row>
    <row r="17" spans="1:27">
      <c r="A17" s="342">
        <f t="shared" si="0"/>
        <v>14</v>
      </c>
      <c r="B17" s="35" t="s">
        <v>557</v>
      </c>
      <c r="C17" s="36">
        <v>25</v>
      </c>
      <c r="D17" s="77">
        <f t="shared" si="6"/>
        <v>163000</v>
      </c>
      <c r="E17" s="35" t="s">
        <v>33</v>
      </c>
      <c r="F17" s="234">
        <v>5</v>
      </c>
      <c r="G17" s="257">
        <f t="shared" si="1"/>
        <v>225</v>
      </c>
      <c r="H17" s="36" t="s">
        <v>376</v>
      </c>
      <c r="I17" s="37">
        <v>7</v>
      </c>
      <c r="J17" s="35">
        <f t="shared" si="7"/>
        <v>81500</v>
      </c>
      <c r="K17" s="36">
        <v>3</v>
      </c>
      <c r="L17" s="37">
        <v>3</v>
      </c>
      <c r="M17" s="37" t="s">
        <v>370</v>
      </c>
      <c r="N17" s="48" t="s">
        <v>32</v>
      </c>
      <c r="O17" s="48" t="s">
        <v>32</v>
      </c>
      <c r="P17" s="35" t="s">
        <v>379</v>
      </c>
      <c r="R17" s="316">
        <f t="shared" si="11"/>
        <v>25</v>
      </c>
      <c r="S17" s="252">
        <f t="shared" si="2"/>
        <v>724.44444444444446</v>
      </c>
      <c r="T17" s="253" t="str">
        <f t="shared" si="3"/>
        <v>-</v>
      </c>
      <c r="U17" s="252">
        <f>VLOOKUP(R17,'Decoration Background'!$A$2:$B$501,2)*K17*L17+10*F17</f>
        <v>162707</v>
      </c>
      <c r="V17">
        <f t="shared" si="4"/>
        <v>2.2222222222222223E-2</v>
      </c>
      <c r="W17">
        <f t="shared" si="5"/>
        <v>2.2222222222222223E-2</v>
      </c>
      <c r="X17" s="242">
        <f t="shared" si="8"/>
        <v>1150</v>
      </c>
      <c r="Y17">
        <f t="shared" si="9"/>
        <v>108.33333333333333</v>
      </c>
      <c r="Z17">
        <f>SUM(S$4:S17)/A17</f>
        <v>268.34467120181409</v>
      </c>
      <c r="AA17">
        <f t="shared" si="10"/>
        <v>2.2222222222222223E-2</v>
      </c>
    </row>
    <row r="18" spans="1:27">
      <c r="A18" s="342">
        <f t="shared" si="0"/>
        <v>15</v>
      </c>
      <c r="B18" s="35" t="s">
        <v>558</v>
      </c>
      <c r="C18" s="36">
        <v>1</v>
      </c>
      <c r="D18" s="77">
        <f t="shared" si="6"/>
        <v>180</v>
      </c>
      <c r="E18" s="35" t="s">
        <v>33</v>
      </c>
      <c r="F18" s="234">
        <v>0</v>
      </c>
      <c r="G18" s="257">
        <f t="shared" si="1"/>
        <v>2</v>
      </c>
      <c r="H18" s="36" t="s">
        <v>385</v>
      </c>
      <c r="I18" s="37">
        <v>1</v>
      </c>
      <c r="J18" s="35">
        <f t="shared" si="7"/>
        <v>180</v>
      </c>
      <c r="K18" s="36">
        <v>1</v>
      </c>
      <c r="L18" s="37">
        <v>1</v>
      </c>
      <c r="M18" s="37" t="s">
        <v>370</v>
      </c>
      <c r="N18" s="48" t="s">
        <v>370</v>
      </c>
      <c r="O18" s="48" t="s">
        <v>32</v>
      </c>
      <c r="P18" s="35"/>
      <c r="R18" s="316">
        <v>2</v>
      </c>
      <c r="S18" s="252">
        <f t="shared" ref="S18:S58" si="12">IF(E18="coins",D18/G18,"-")</f>
        <v>90</v>
      </c>
      <c r="T18" s="253" t="str">
        <f t="shared" ref="T18:T58" si="13">IF(E18="magicWands",D18/G18,"-")</f>
        <v>-</v>
      </c>
      <c r="U18" s="252">
        <f>VLOOKUP(R18,'Decoration Background'!$A$2:$B$501,2)*K18*L18+10*F18</f>
        <v>180</v>
      </c>
      <c r="V18">
        <f t="shared" ref="V18:V58" si="14">F18/G18</f>
        <v>0</v>
      </c>
      <c r="W18">
        <f t="shared" ref="W18:W58" si="15">F18/G18</f>
        <v>0</v>
      </c>
      <c r="X18" s="242">
        <f t="shared" ref="X18:X58" si="16">IF(AND(ISNUMBER(X17),ISNUMBER(S18)),IF(X17&gt;S18,X17,S18),IF(ISNUMBER(S18),S18,X17))</f>
        <v>1150</v>
      </c>
      <c r="Y18">
        <f t="shared" ref="Y18:Y58" si="17">IF(Y17&lt;S18,Y17,S18)</f>
        <v>90</v>
      </c>
      <c r="Z18">
        <f>SUM(S$4:S18)/A18</f>
        <v>256.45502645502648</v>
      </c>
      <c r="AA18">
        <f t="shared" ref="AA18:AA58" si="18">IF(AA17&lt;V18,AA17,V18)</f>
        <v>0</v>
      </c>
    </row>
    <row r="19" spans="1:27">
      <c r="A19" s="342">
        <f t="shared" si="0"/>
        <v>16</v>
      </c>
      <c r="B19" s="35" t="s">
        <v>559</v>
      </c>
      <c r="C19" s="36">
        <v>13</v>
      </c>
      <c r="D19" s="77">
        <f t="shared" si="6"/>
        <v>3300</v>
      </c>
      <c r="E19" s="35" t="s">
        <v>33</v>
      </c>
      <c r="F19" s="234">
        <v>0</v>
      </c>
      <c r="G19" s="257">
        <f>R19*K19*L19</f>
        <v>13</v>
      </c>
      <c r="H19" s="36" t="s">
        <v>385</v>
      </c>
      <c r="I19" s="37">
        <v>1</v>
      </c>
      <c r="J19" s="35">
        <f t="shared" si="7"/>
        <v>3300</v>
      </c>
      <c r="K19" s="36">
        <v>1</v>
      </c>
      <c r="L19" s="37">
        <v>1</v>
      </c>
      <c r="M19" s="37" t="s">
        <v>370</v>
      </c>
      <c r="N19" s="48" t="s">
        <v>370</v>
      </c>
      <c r="O19" s="48" t="s">
        <v>32</v>
      </c>
      <c r="P19" s="35"/>
      <c r="R19" s="316">
        <f t="shared" si="11"/>
        <v>13</v>
      </c>
      <c r="S19" s="252">
        <f t="shared" si="12"/>
        <v>253.84615384615384</v>
      </c>
      <c r="T19" s="253" t="str">
        <f t="shared" si="13"/>
        <v>-</v>
      </c>
      <c r="U19" s="252">
        <f>VLOOKUP(R19,'Decoration Background'!$A$2:$B$501,2)*K19*L19+10*F19</f>
        <v>3312</v>
      </c>
      <c r="V19">
        <f t="shared" si="14"/>
        <v>0</v>
      </c>
      <c r="W19">
        <f t="shared" si="15"/>
        <v>0</v>
      </c>
      <c r="X19" s="242">
        <f t="shared" si="16"/>
        <v>1150</v>
      </c>
      <c r="Y19">
        <f t="shared" si="17"/>
        <v>90</v>
      </c>
      <c r="Z19">
        <f>SUM(S$4:S19)/A19</f>
        <v>256.29197191697193</v>
      </c>
      <c r="AA19">
        <f t="shared" si="18"/>
        <v>0</v>
      </c>
    </row>
    <row r="20" spans="1:27">
      <c r="A20" s="342">
        <f t="shared" si="0"/>
        <v>17</v>
      </c>
      <c r="B20" s="35" t="s">
        <v>560</v>
      </c>
      <c r="C20" s="36">
        <v>9</v>
      </c>
      <c r="D20" s="77">
        <f t="shared" si="6"/>
        <v>1400</v>
      </c>
      <c r="E20" s="35" t="s">
        <v>33</v>
      </c>
      <c r="F20" s="234">
        <v>0</v>
      </c>
      <c r="G20" s="257">
        <f>R20*K20*L20</f>
        <v>9</v>
      </c>
      <c r="H20" s="36" t="s">
        <v>385</v>
      </c>
      <c r="I20" s="37">
        <v>1</v>
      </c>
      <c r="J20" s="35">
        <f t="shared" si="7"/>
        <v>1400</v>
      </c>
      <c r="K20" s="36">
        <v>1</v>
      </c>
      <c r="L20" s="37">
        <v>1</v>
      </c>
      <c r="M20" s="37" t="s">
        <v>370</v>
      </c>
      <c r="N20" s="48" t="s">
        <v>32</v>
      </c>
      <c r="O20" s="48" t="s">
        <v>32</v>
      </c>
      <c r="P20" s="35"/>
      <c r="R20" s="316">
        <f t="shared" si="11"/>
        <v>9</v>
      </c>
      <c r="S20" s="252">
        <f t="shared" si="12"/>
        <v>155.55555555555554</v>
      </c>
      <c r="T20" s="253" t="str">
        <f t="shared" si="13"/>
        <v>-</v>
      </c>
      <c r="U20" s="252">
        <f>VLOOKUP(R20,'Decoration Background'!$A$2:$B$501,2)*K20*L20+10*F20</f>
        <v>1442</v>
      </c>
      <c r="V20">
        <f t="shared" si="14"/>
        <v>0</v>
      </c>
      <c r="W20">
        <f t="shared" si="15"/>
        <v>0</v>
      </c>
      <c r="X20" s="242">
        <f t="shared" si="16"/>
        <v>1150</v>
      </c>
      <c r="Y20">
        <f t="shared" si="17"/>
        <v>90</v>
      </c>
      <c r="Z20">
        <f>SUM(S$4:S20)/A20</f>
        <v>250.36630036630038</v>
      </c>
      <c r="AA20">
        <f t="shared" si="18"/>
        <v>0</v>
      </c>
    </row>
    <row r="21" spans="1:27">
      <c r="A21" s="342">
        <f t="shared" si="0"/>
        <v>18</v>
      </c>
      <c r="B21" s="35" t="s">
        <v>561</v>
      </c>
      <c r="C21" s="36">
        <v>5</v>
      </c>
      <c r="D21" s="77">
        <f t="shared" si="6"/>
        <v>600</v>
      </c>
      <c r="E21" s="35" t="s">
        <v>33</v>
      </c>
      <c r="F21" s="234">
        <v>0</v>
      </c>
      <c r="G21" s="257">
        <f>R21*K21*L21</f>
        <v>5</v>
      </c>
      <c r="H21" s="36" t="s">
        <v>385</v>
      </c>
      <c r="I21" s="37">
        <v>1</v>
      </c>
      <c r="J21" s="35">
        <f t="shared" si="7"/>
        <v>600</v>
      </c>
      <c r="K21" s="36">
        <v>1</v>
      </c>
      <c r="L21" s="37">
        <v>1</v>
      </c>
      <c r="M21" s="37" t="s">
        <v>370</v>
      </c>
      <c r="N21" s="37" t="s">
        <v>370</v>
      </c>
      <c r="O21" s="48" t="s">
        <v>32</v>
      </c>
      <c r="P21" s="35"/>
      <c r="R21" s="316">
        <f t="shared" si="11"/>
        <v>5</v>
      </c>
      <c r="S21" s="252">
        <f t="shared" si="12"/>
        <v>120</v>
      </c>
      <c r="T21" s="253" t="str">
        <f t="shared" si="13"/>
        <v>-</v>
      </c>
      <c r="U21" s="252">
        <f>VLOOKUP(R21,'Decoration Background'!$A$2:$B$501,2)*K21*L21+10*F21</f>
        <v>600</v>
      </c>
      <c r="V21">
        <f t="shared" si="14"/>
        <v>0</v>
      </c>
      <c r="W21">
        <f t="shared" si="15"/>
        <v>0</v>
      </c>
      <c r="X21" s="242">
        <f t="shared" si="16"/>
        <v>1150</v>
      </c>
      <c r="Y21">
        <f t="shared" si="17"/>
        <v>90</v>
      </c>
      <c r="Z21">
        <f>SUM(S$4:S21)/A21</f>
        <v>243.12372812372814</v>
      </c>
      <c r="AA21">
        <f t="shared" si="18"/>
        <v>0</v>
      </c>
    </row>
    <row r="22" spans="1:27">
      <c r="A22" s="342">
        <f t="shared" si="0"/>
        <v>19</v>
      </c>
      <c r="B22" s="35" t="s">
        <v>586</v>
      </c>
      <c r="C22" s="36">
        <v>22</v>
      </c>
      <c r="D22" s="77">
        <f>IF(E22="coins",IF(U22&lt;1000,ROUND(U22/10,0)*10,IF(U22&lt;9500,ROUND(U22/100,0)*100,ROUND(U22/1000,0)*1000)),IF(U22/50&lt;900,ROUNDUP(U22/500,0)*10-1,IF(U22/50&lt;8500,ROUNDUP(U22/5000,0)*100-1,ROUNDUP(U22/50000,0)*1000-1)))</f>
        <v>13000</v>
      </c>
      <c r="E22" s="35" t="s">
        <v>33</v>
      </c>
      <c r="F22" s="234">
        <v>5</v>
      </c>
      <c r="G22" s="257">
        <f>R22*K22*L22</f>
        <v>22</v>
      </c>
      <c r="H22" s="36" t="s">
        <v>387</v>
      </c>
      <c r="I22" s="37">
        <v>13</v>
      </c>
      <c r="J22" s="35">
        <f>IF(H22="Path&amp;River",IF(U22&lt;1000,ROUND(U22/10,0)*10,IF(U22&lt;10000,ROUND(U22/100,0)*100,ROUND(U22/1000,0)*1000)),IF(U22&lt;1000,ROUNDUP(U22/10,0)*5,IF(U22&lt;10000,ROUNDUP(U22/100,0)*50,ROUNDUP(U22/1000,0)*500)))</f>
        <v>6500</v>
      </c>
      <c r="K22" s="36">
        <v>1</v>
      </c>
      <c r="L22" s="37">
        <v>1</v>
      </c>
      <c r="M22" s="37" t="s">
        <v>370</v>
      </c>
      <c r="N22" s="48" t="s">
        <v>32</v>
      </c>
      <c r="O22" s="48" t="s">
        <v>32</v>
      </c>
      <c r="P22" s="35" t="s">
        <v>394</v>
      </c>
      <c r="R22" s="316">
        <f>IF(E22="coins",C22,C22*2)</f>
        <v>22</v>
      </c>
      <c r="S22" s="252">
        <f>IF(E22="coins",D22/G22,"-")</f>
        <v>590.90909090909088</v>
      </c>
      <c r="T22" s="253" t="str">
        <f>IF(E22="magicWands",D22/G22,"-")</f>
        <v>-</v>
      </c>
      <c r="U22" s="252">
        <f>VLOOKUP(R22,'Decoration Background'!$A$2:$B$501,2)*K22*L22+10*F22</f>
        <v>12821</v>
      </c>
      <c r="V22">
        <f>F22/G22</f>
        <v>0.22727272727272727</v>
      </c>
      <c r="W22">
        <f>F22/G22</f>
        <v>0.22727272727272727</v>
      </c>
      <c r="X22" s="242">
        <f>IF(AND(ISNUMBER(X21),ISNUMBER(S22)),IF(X21&gt;S22,X21,S22),IF(ISNUMBER(S22),S22,X21))</f>
        <v>1150</v>
      </c>
      <c r="Y22">
        <f>IF(Y21&lt;S22,Y21,S22)</f>
        <v>90</v>
      </c>
      <c r="Z22">
        <f>SUM(S$4:S22)/A22</f>
        <v>261.42822090190515</v>
      </c>
      <c r="AA22">
        <f>IF(AA21&lt;V22,AA21,V22)</f>
        <v>0</v>
      </c>
    </row>
    <row r="23" spans="1:27">
      <c r="A23" s="342">
        <f t="shared" si="0"/>
        <v>20</v>
      </c>
      <c r="B23" s="35" t="s">
        <v>587</v>
      </c>
      <c r="C23" s="36">
        <v>37</v>
      </c>
      <c r="D23" s="77">
        <f>IF(E23="coins",IF(U23&lt;1000,ROUND(U23/10,0)*10,IF(U23&lt;9500,ROUND(U23/100,0)*100,ROUND(U23/1000,0)*1000)),IF(U23/50&lt;900,ROUNDUP(U23/500,0)*10-1,IF(U23/50&lt;8500,ROUNDUP(U23/5000,0)*100-1,ROUNDUP(U23/50000,0)*1000-1)))</f>
        <v>40000</v>
      </c>
      <c r="E23" s="35" t="s">
        <v>33</v>
      </c>
      <c r="F23" s="234">
        <v>5</v>
      </c>
      <c r="G23" s="257">
        <f>R23*K23*L23</f>
        <v>37</v>
      </c>
      <c r="H23" s="36" t="s">
        <v>387</v>
      </c>
      <c r="I23" s="37">
        <v>14</v>
      </c>
      <c r="J23" s="35">
        <f>IF(H23="Path&amp;River",IF(U23&lt;1000,ROUND(U23/10,0)*10,IF(U23&lt;10000,ROUND(U23/100,0)*100,ROUND(U23/1000,0)*1000)),IF(U23&lt;1000,ROUNDUP(U23/10,0)*5,IF(U23&lt;10000,ROUNDUP(U23/100,0)*50,ROUNDUP(U23/1000,0)*500)))</f>
        <v>20500</v>
      </c>
      <c r="K23" s="36">
        <v>1</v>
      </c>
      <c r="L23" s="37">
        <v>1</v>
      </c>
      <c r="M23" s="37" t="s">
        <v>370</v>
      </c>
      <c r="N23" s="48" t="s">
        <v>32</v>
      </c>
      <c r="O23" s="48" t="s">
        <v>32</v>
      </c>
      <c r="P23" s="35" t="s">
        <v>394</v>
      </c>
      <c r="R23" s="316">
        <f>IF(E23="coins",C23,C23*2)</f>
        <v>37</v>
      </c>
      <c r="S23" s="252">
        <f>IF(E23="coins",D23/G23,"-")</f>
        <v>1081.081081081081</v>
      </c>
      <c r="T23" s="253" t="str">
        <f>IF(E23="magicWands",D23/G23,"-")</f>
        <v>-</v>
      </c>
      <c r="U23" s="252">
        <f>VLOOKUP(R23,'Decoration Background'!$A$2:$B$501,2)*K23*L23+10*F23</f>
        <v>40323</v>
      </c>
      <c r="V23">
        <f>F23/G23</f>
        <v>0.13513513513513514</v>
      </c>
      <c r="W23">
        <f>F23/G23</f>
        <v>0.13513513513513514</v>
      </c>
      <c r="X23" s="242">
        <f>IF(AND(ISNUMBER(X22),ISNUMBER(S23)),IF(X22&gt;S23,X22,S23),IF(ISNUMBER(S23),S23,X22))</f>
        <v>1150</v>
      </c>
      <c r="Y23">
        <f>IF(Y22&lt;S23,Y22,S23)</f>
        <v>90</v>
      </c>
      <c r="Z23">
        <f>SUM(S$4:S23)/A23</f>
        <v>302.4108639108639</v>
      </c>
      <c r="AA23">
        <f>IF(AA22&lt;V23,AA22,V23)</f>
        <v>0</v>
      </c>
    </row>
    <row r="24" spans="1:27">
      <c r="A24" s="342">
        <f t="shared" si="0"/>
        <v>21</v>
      </c>
      <c r="B24" s="35" t="s">
        <v>588</v>
      </c>
      <c r="C24" s="36">
        <v>28</v>
      </c>
      <c r="D24" s="77">
        <f>IF(E24="coins",IF(U24&lt;1000,ROUND(U24/10,0)*10,IF(U24&lt;9500,ROUND(U24/100,0)*100,ROUND(U24/1000,0)*1000)),IF(U24/50&lt;900,ROUNDUP(U24/500,0)*10-1,IF(U24/50&lt;8500,ROUNDUP(U24/5000,0)*100-1,ROUNDUP(U24/50000,0)*1000-1)))</f>
        <v>24000</v>
      </c>
      <c r="E24" s="35" t="s">
        <v>33</v>
      </c>
      <c r="F24" s="234">
        <v>5</v>
      </c>
      <c r="G24" s="257">
        <f>R24*K24*L24</f>
        <v>28</v>
      </c>
      <c r="H24" s="36" t="s">
        <v>387</v>
      </c>
      <c r="I24" s="37">
        <v>15</v>
      </c>
      <c r="J24" s="35">
        <f>IF(H24="Path&amp;River",IF(U24&lt;1000,ROUND(U24/10,0)*10,IF(U24&lt;10000,ROUND(U24/100,0)*100,ROUND(U24/1000,0)*1000)),IF(U24&lt;1000,ROUNDUP(U24/10,0)*5,IF(U24&lt;10000,ROUNDUP(U24/100,0)*50,ROUNDUP(U24/1000,0)*500)))</f>
        <v>12000</v>
      </c>
      <c r="K24" s="36">
        <v>1</v>
      </c>
      <c r="L24" s="37">
        <v>1</v>
      </c>
      <c r="M24" s="37" t="s">
        <v>370</v>
      </c>
      <c r="N24" s="48" t="s">
        <v>32</v>
      </c>
      <c r="O24" s="48" t="s">
        <v>32</v>
      </c>
      <c r="P24" s="35" t="s">
        <v>394</v>
      </c>
      <c r="R24" s="316">
        <f>IF(E24="coins",C24,C24*2)</f>
        <v>28</v>
      </c>
      <c r="S24" s="252">
        <f>IF(E24="coins",D24/G24,"-")</f>
        <v>857.14285714285711</v>
      </c>
      <c r="T24" s="253" t="str">
        <f>IF(E24="magicWands",D24/G24,"-")</f>
        <v>-</v>
      </c>
      <c r="U24" s="252">
        <f>VLOOKUP(R24,'Decoration Background'!$A$2:$B$501,2)*K24*L24+10*F24</f>
        <v>23673</v>
      </c>
      <c r="V24">
        <f>F24/G24</f>
        <v>0.17857142857142858</v>
      </c>
      <c r="W24">
        <f>F24/G24</f>
        <v>0.17857142857142858</v>
      </c>
      <c r="X24" s="242">
        <f>IF(AND(ISNUMBER(X23),ISNUMBER(S24)),IF(X23&gt;S24,X23,S24),IF(ISNUMBER(S24),S24,X23))</f>
        <v>1150</v>
      </c>
      <c r="Y24">
        <f>IF(Y23&lt;S24,Y23,S24)</f>
        <v>90</v>
      </c>
      <c r="Z24">
        <f>SUM(S$4:S24)/A24</f>
        <v>328.82667311238737</v>
      </c>
      <c r="AA24">
        <f>IF(AA23&lt;V24,AA23,V24)</f>
        <v>0</v>
      </c>
    </row>
    <row r="25" spans="1:27">
      <c r="A25" s="342">
        <f t="shared" si="0"/>
        <v>22</v>
      </c>
      <c r="B25" s="35" t="s">
        <v>589</v>
      </c>
      <c r="C25" s="36">
        <v>40</v>
      </c>
      <c r="D25" s="77">
        <f>IF(E25="coins",IF(U25&lt;1000,ROUND(U25/10,0)*10,IF(U25&lt;9500,ROUND(U25/100,0)*100,ROUND(U25/1000,0)*1000)),IF(U25/50&lt;900,ROUNDUP(U25/500,0)*10-1,IF(U25/50&lt;8500,ROUNDUP(U25/5000,0)*100-1,ROUNDUP(U25/50000,0)*1000-1)))</f>
        <v>3299</v>
      </c>
      <c r="E25" s="35" t="s">
        <v>381</v>
      </c>
      <c r="F25" s="234">
        <v>5</v>
      </c>
      <c r="G25" s="257">
        <f>R25*K25*L25</f>
        <v>80</v>
      </c>
      <c r="H25" s="36" t="s">
        <v>387</v>
      </c>
      <c r="I25" s="37">
        <v>16</v>
      </c>
      <c r="J25" s="35">
        <f>IF(H25="Path&amp;River",IF(U25&lt;1000,ROUND(U25/10,0)*10,IF(U25&lt;10000,ROUND(U25/100,0)*100,ROUND(U25/1000,0)*1000)),IF(U25&lt;1000,ROUNDUP(U25/10,0)*5,IF(U25&lt;10000,ROUNDUP(U25/100,0)*50,ROUNDUP(U25/1000,0)*500)))</f>
        <v>82000</v>
      </c>
      <c r="K25" s="36">
        <v>1</v>
      </c>
      <c r="L25" s="37">
        <v>1</v>
      </c>
      <c r="M25" s="37" t="s">
        <v>370</v>
      </c>
      <c r="N25" s="48" t="s">
        <v>32</v>
      </c>
      <c r="O25" s="48" t="s">
        <v>32</v>
      </c>
      <c r="P25" s="35" t="s">
        <v>394</v>
      </c>
      <c r="R25" s="316">
        <f>IF(E25="coins",C25,C25*2)</f>
        <v>80</v>
      </c>
      <c r="S25" s="252" t="str">
        <f>IF(E25="coins",D25/G25,"-")</f>
        <v>-</v>
      </c>
      <c r="T25" s="253">
        <f>IF(E25="magicWands",D25/G25,"-")</f>
        <v>41.237499999999997</v>
      </c>
      <c r="U25" s="252">
        <f>VLOOKUP(R25,'Decoration Background'!$A$2:$B$501,2)*K25*L25+10*F25</f>
        <v>163973</v>
      </c>
      <c r="V25">
        <f>F25/G25</f>
        <v>6.25E-2</v>
      </c>
      <c r="W25">
        <f>F25/G25</f>
        <v>6.25E-2</v>
      </c>
      <c r="X25" s="242">
        <f>IF(AND(ISNUMBER(X24),ISNUMBER(S25)),IF(X24&gt;S25,X24,S25),IF(ISNUMBER(S25),S25,X24))</f>
        <v>1150</v>
      </c>
      <c r="Y25">
        <f>IF(Y24&lt;S25,Y24,S25)</f>
        <v>90</v>
      </c>
      <c r="Z25">
        <f>SUM(S$4:S25)/A25</f>
        <v>313.88000615273342</v>
      </c>
      <c r="AA25">
        <f>IF(AA24&lt;V25,AA24,V25)</f>
        <v>0</v>
      </c>
    </row>
    <row r="26" spans="1:27">
      <c r="A26" s="342">
        <f t="shared" si="0"/>
        <v>23</v>
      </c>
      <c r="B26" s="35" t="s">
        <v>562</v>
      </c>
      <c r="C26" s="36">
        <v>18</v>
      </c>
      <c r="D26" s="77">
        <f>IF(E26="coins",IF(U26&lt;1000,ROUND(U26/10,0)*10,IF(U26&lt;9500,ROUND(U26/100,0)*100,ROUND(U26/1000,0)*1000)),IF(U26/50&lt;900,ROUNDUP(U26/500,0)*10-1,IF(U26/50&lt;8500,ROUNDUP(U26/5000,0)*100-1,ROUNDUP(U26/50000,0)*1000-1)))</f>
        <v>7700</v>
      </c>
      <c r="E26" s="35" t="s">
        <v>33</v>
      </c>
      <c r="F26" s="234">
        <v>5</v>
      </c>
      <c r="G26" s="257">
        <f>R26*K26*L26</f>
        <v>18</v>
      </c>
      <c r="H26" s="36" t="s">
        <v>387</v>
      </c>
      <c r="I26" s="37">
        <v>1</v>
      </c>
      <c r="J26" s="35">
        <f>IF(H26="Path&amp;River",IF(U26&lt;1000,ROUND(U26/10,0)*10,IF(U26&lt;10000,ROUND(U26/100,0)*100,ROUND(U26/1000,0)*1000)),IF(U26&lt;1000,ROUNDUP(U26/10,0)*5,IF(U26&lt;10000,ROUNDUP(U26/100,0)*50,ROUNDUP(U26/1000,0)*500)))</f>
        <v>3900</v>
      </c>
      <c r="K26" s="36">
        <v>1</v>
      </c>
      <c r="L26" s="37">
        <v>1</v>
      </c>
      <c r="M26" s="37" t="s">
        <v>370</v>
      </c>
      <c r="N26" s="48" t="s">
        <v>32</v>
      </c>
      <c r="O26" s="48" t="s">
        <v>32</v>
      </c>
      <c r="P26" s="35" t="s">
        <v>389</v>
      </c>
      <c r="R26" s="316">
        <f>IF(E26="coins",C26,C26*2)</f>
        <v>18</v>
      </c>
      <c r="S26" s="252">
        <f>IF(E26="coins",D26/G26,"-")</f>
        <v>427.77777777777777</v>
      </c>
      <c r="T26" s="253" t="str">
        <f>IF(E26="magicWands",D26/G26,"-")</f>
        <v>-</v>
      </c>
      <c r="U26" s="252">
        <f>VLOOKUP(R26,'Decoration Background'!$A$2:$B$501,2)*K26*L26+10*F26</f>
        <v>7717</v>
      </c>
      <c r="V26">
        <f>F26/G26</f>
        <v>0.27777777777777779</v>
      </c>
      <c r="W26">
        <f>F26/G26</f>
        <v>0.27777777777777779</v>
      </c>
      <c r="X26" s="242">
        <f>IF(AND(ISNUMBER(X25),ISNUMBER(S26)),IF(X25&gt;S26,X25,S26),IF(ISNUMBER(S26),S26,X25))</f>
        <v>1150</v>
      </c>
      <c r="Y26">
        <f>IF(Y25&lt;S26,Y25,S26)</f>
        <v>90</v>
      </c>
      <c r="Z26">
        <f>SUM(S$4:S26)/A26</f>
        <v>318.83208317990926</v>
      </c>
      <c r="AA26">
        <f>IF(AA25&lt;V26,AA25,V26)</f>
        <v>0</v>
      </c>
    </row>
    <row r="27" spans="1:27">
      <c r="A27" s="342">
        <f t="shared" si="0"/>
        <v>24</v>
      </c>
      <c r="B27" s="35" t="s">
        <v>563</v>
      </c>
      <c r="C27" s="36">
        <v>21</v>
      </c>
      <c r="D27" s="77">
        <f>IF(E27="coins",IF(U27&lt;1000,ROUND(U27/10,0)*10,IF(U27&lt;9500,ROUND(U27/100,0)*100,ROUND(U27/1000,0)*1000)),IF(U27/50&lt;900,ROUNDUP(U27/500,0)*10-1,IF(U27/50&lt;8500,ROUNDUP(U27/5000,0)*100-1,ROUNDUP(U27/50000,0)*1000-1)))</f>
        <v>11000</v>
      </c>
      <c r="E27" s="35" t="s">
        <v>33</v>
      </c>
      <c r="F27" s="234">
        <v>5</v>
      </c>
      <c r="G27" s="257">
        <f>R27*K27*L27</f>
        <v>21</v>
      </c>
      <c r="H27" s="36" t="s">
        <v>387</v>
      </c>
      <c r="I27" s="37">
        <v>2</v>
      </c>
      <c r="J27" s="35">
        <f>IF(H27="Path&amp;River",IF(U27&lt;1000,ROUND(U27/10,0)*10,IF(U27&lt;10000,ROUND(U27/100,0)*100,ROUND(U27/1000,0)*1000)),IF(U27&lt;1000,ROUNDUP(U27/10,0)*5,IF(U27&lt;10000,ROUNDUP(U27/100,0)*50,ROUNDUP(U27/1000,0)*500)))</f>
        <v>6000</v>
      </c>
      <c r="K27" s="36">
        <v>1</v>
      </c>
      <c r="L27" s="37">
        <v>1</v>
      </c>
      <c r="M27" s="37" t="s">
        <v>370</v>
      </c>
      <c r="N27" s="48" t="s">
        <v>32</v>
      </c>
      <c r="O27" s="48" t="s">
        <v>32</v>
      </c>
      <c r="P27" s="35" t="s">
        <v>389</v>
      </c>
      <c r="R27" s="316">
        <f>IF(E27="coins",C27,C27*2)</f>
        <v>21</v>
      </c>
      <c r="S27" s="252">
        <f>IF(E27="coins",D27/G27,"-")</f>
        <v>523.80952380952385</v>
      </c>
      <c r="T27" s="253" t="str">
        <f>IF(E27="magicWands",D27/G27,"-")</f>
        <v>-</v>
      </c>
      <c r="U27" s="252">
        <f>VLOOKUP(R27,'Decoration Background'!$A$2:$B$501,2)*K27*L27+10*F27</f>
        <v>11320</v>
      </c>
      <c r="V27">
        <f>F27/G27</f>
        <v>0.23809523809523808</v>
      </c>
      <c r="W27">
        <f>F27/G27</f>
        <v>0.23809523809523808</v>
      </c>
      <c r="X27" s="242">
        <f>IF(AND(ISNUMBER(X26),ISNUMBER(S27)),IF(X26&gt;S27,X26,S27),IF(ISNUMBER(S27),S27,X26))</f>
        <v>1150</v>
      </c>
      <c r="Y27">
        <f>IF(Y26&lt;S27,Y26,S27)</f>
        <v>90</v>
      </c>
      <c r="Z27">
        <f>SUM(S$4:S27)/A27</f>
        <v>327.37280987280985</v>
      </c>
      <c r="AA27">
        <f>IF(AA26&lt;V27,AA26,V27)</f>
        <v>0</v>
      </c>
    </row>
    <row r="28" spans="1:27">
      <c r="A28" s="342">
        <f t="shared" si="0"/>
        <v>25</v>
      </c>
      <c r="B28" s="35" t="s">
        <v>590</v>
      </c>
      <c r="C28" s="36">
        <v>44</v>
      </c>
      <c r="D28" s="77">
        <f>IF(E28="coins",IF(U28&lt;1000,ROUND(U28/10,0)*10,IF(U28&lt;9500,ROUND(U28/100,0)*100,ROUND(U28/1000,0)*1000)),IF(U28/50&lt;900,ROUNDUP(U28/500,0)*10-1,IF(U28/50&lt;8500,ROUNDUP(U28/5000,0)*100-1,ROUNDUP(U28/50000,0)*1000-1)))</f>
        <v>54000</v>
      </c>
      <c r="E28" s="35" t="s">
        <v>33</v>
      </c>
      <c r="F28" s="234">
        <v>5</v>
      </c>
      <c r="G28" s="257">
        <f>R28*K28*L28</f>
        <v>44</v>
      </c>
      <c r="H28" s="36" t="s">
        <v>387</v>
      </c>
      <c r="I28" s="37">
        <v>17</v>
      </c>
      <c r="J28" s="35">
        <f>IF(H28="Path&amp;River",IF(U28&lt;1000,ROUND(U28/10,0)*10,IF(U28&lt;10000,ROUND(U28/100,0)*100,ROUND(U28/1000,0)*1000)),IF(U28&lt;1000,ROUNDUP(U28/10,0)*5,IF(U28&lt;10000,ROUNDUP(U28/100,0)*50,ROUNDUP(U28/1000,0)*500)))</f>
        <v>27500</v>
      </c>
      <c r="K28" s="36">
        <v>1</v>
      </c>
      <c r="L28" s="37">
        <v>1</v>
      </c>
      <c r="M28" s="37" t="s">
        <v>370</v>
      </c>
      <c r="N28" s="48" t="s">
        <v>32</v>
      </c>
      <c r="O28" s="48" t="s">
        <v>32</v>
      </c>
      <c r="P28" s="35" t="s">
        <v>394</v>
      </c>
      <c r="R28" s="316">
        <f>IF(E28="coins",C28,C28*2)</f>
        <v>44</v>
      </c>
      <c r="S28" s="252">
        <f>IF(E28="coins",D28/G28,"-")</f>
        <v>1227.2727272727273</v>
      </c>
      <c r="T28" s="253" t="str">
        <f>IF(E28="magicWands",D28/G28,"-")</f>
        <v>-</v>
      </c>
      <c r="U28" s="252">
        <f>VLOOKUP(R28,'Decoration Background'!$A$2:$B$501,2)*K28*L28+10*F28</f>
        <v>54323</v>
      </c>
      <c r="V28">
        <f>F28/G28</f>
        <v>0.11363636363636363</v>
      </c>
      <c r="W28">
        <f>F28/G28</f>
        <v>0.11363636363636363</v>
      </c>
      <c r="X28" s="242">
        <f>IF(AND(ISNUMBER(X27),ISNUMBER(S28)),IF(X27&gt;S28,X27,S28),IF(ISNUMBER(S28),S28,X27))</f>
        <v>1227.2727272727273</v>
      </c>
      <c r="Y28">
        <f>IF(Y27&lt;S28,Y27,S28)</f>
        <v>90</v>
      </c>
      <c r="Z28">
        <f>SUM(S$4:S28)/A28</f>
        <v>363.36880656880652</v>
      </c>
      <c r="AA28">
        <f>IF(AA27&lt;V28,AA27,V28)</f>
        <v>0</v>
      </c>
    </row>
    <row r="29" spans="1:27">
      <c r="A29" s="342">
        <f t="shared" si="0"/>
        <v>26</v>
      </c>
      <c r="B29" s="35" t="s">
        <v>591</v>
      </c>
      <c r="C29" s="36">
        <v>31</v>
      </c>
      <c r="D29" s="77">
        <f>IF(E29="coins",IF(U29&lt;1000,ROUND(U29/10,0)*10,IF(U29&lt;9500,ROUND(U29/100,0)*100,ROUND(U29/1000,0)*1000)),IF(U29/50&lt;900,ROUNDUP(U29/500,0)*10-1,IF(U29/50&lt;8500,ROUNDUP(U29/5000,0)*100-1,ROUNDUP(U29/50000,0)*1000-1)))</f>
        <v>29000</v>
      </c>
      <c r="E29" s="35" t="s">
        <v>33</v>
      </c>
      <c r="F29" s="234">
        <v>5</v>
      </c>
      <c r="G29" s="257">
        <f>R29*K29*L29</f>
        <v>31</v>
      </c>
      <c r="H29" s="36" t="s">
        <v>387</v>
      </c>
      <c r="I29" s="37">
        <v>18</v>
      </c>
      <c r="J29" s="35">
        <f>IF(H29="Path&amp;River",IF(U29&lt;1000,ROUND(U29/10,0)*10,IF(U29&lt;10000,ROUND(U29/100,0)*100,ROUND(U29/1000,0)*1000)),IF(U29&lt;1000,ROUNDUP(U29/10,0)*5,IF(U29&lt;10000,ROUNDUP(U29/100,0)*50,ROUNDUP(U29/1000,0)*500)))</f>
        <v>15000</v>
      </c>
      <c r="K29" s="36">
        <v>1</v>
      </c>
      <c r="L29" s="37">
        <v>1</v>
      </c>
      <c r="M29" s="37" t="s">
        <v>370</v>
      </c>
      <c r="N29" s="48" t="s">
        <v>32</v>
      </c>
      <c r="O29" s="48" t="s">
        <v>32</v>
      </c>
      <c r="P29" s="35" t="s">
        <v>394</v>
      </c>
      <c r="R29" s="316">
        <f>IF(E29="coins",C29,C29*2)</f>
        <v>31</v>
      </c>
      <c r="S29" s="252">
        <f>IF(E29="coins",D29/G29,"-")</f>
        <v>935.48387096774195</v>
      </c>
      <c r="T29" s="253" t="str">
        <f>IF(E29="magicWands",D29/G29,"-")</f>
        <v>-</v>
      </c>
      <c r="U29" s="252">
        <f>VLOOKUP(R29,'Decoration Background'!$A$2:$B$501,2)*K29*L29+10*F29</f>
        <v>29223</v>
      </c>
      <c r="V29">
        <f>F29/G29</f>
        <v>0.16129032258064516</v>
      </c>
      <c r="W29">
        <f>F29/G29</f>
        <v>0.16129032258064516</v>
      </c>
      <c r="X29" s="242">
        <f>IF(AND(ISNUMBER(X28),ISNUMBER(S29)),IF(X28&gt;S29,X28,S29),IF(ISNUMBER(S29),S29,X28))</f>
        <v>1227.2727272727273</v>
      </c>
      <c r="Y29">
        <f>IF(Y28&lt;S29,Y28,S29)</f>
        <v>90</v>
      </c>
      <c r="Z29">
        <f>SUM(S$4:S29)/A29</f>
        <v>385.37323212261174</v>
      </c>
      <c r="AA29">
        <f>IF(AA28&lt;V29,AA28,V29)</f>
        <v>0</v>
      </c>
    </row>
    <row r="30" spans="1:27">
      <c r="A30" s="342">
        <f t="shared" si="0"/>
        <v>27</v>
      </c>
      <c r="B30" s="35" t="s">
        <v>592</v>
      </c>
      <c r="C30" s="36">
        <v>32</v>
      </c>
      <c r="D30" s="77">
        <f>IF(E30="coins",IF(U30&lt;1000,ROUND(U30/10,0)*10,IF(U30&lt;9500,ROUND(U30/100,0)*100,ROUND(U30/1000,0)*1000)),IF(U30/50&lt;900,ROUNDUP(U30/500,0)*10-1,IF(U30/50&lt;8500,ROUNDUP(U30/5000,0)*100-1,ROUNDUP(U30/50000,0)*1000-1)))</f>
        <v>31000</v>
      </c>
      <c r="E30" s="35" t="s">
        <v>33</v>
      </c>
      <c r="F30" s="234">
        <v>5</v>
      </c>
      <c r="G30" s="257">
        <f>R30*K30*L30</f>
        <v>32</v>
      </c>
      <c r="H30" s="36" t="s">
        <v>387</v>
      </c>
      <c r="I30" s="37">
        <v>19</v>
      </c>
      <c r="J30" s="35">
        <f>IF(H30="Path&amp;River",IF(U30&lt;1000,ROUND(U30/10,0)*10,IF(U30&lt;10000,ROUND(U30/100,0)*100,ROUND(U30/1000,0)*1000)),IF(U30&lt;1000,ROUNDUP(U30/10,0)*5,IF(U30&lt;10000,ROUNDUP(U30/100,0)*50,ROUNDUP(U30/1000,0)*500)))</f>
        <v>16000</v>
      </c>
      <c r="K30" s="36">
        <v>1</v>
      </c>
      <c r="L30" s="37">
        <v>1</v>
      </c>
      <c r="M30" s="37" t="s">
        <v>370</v>
      </c>
      <c r="N30" s="48" t="s">
        <v>32</v>
      </c>
      <c r="O30" s="48" t="s">
        <v>32</v>
      </c>
      <c r="P30" s="35" t="s">
        <v>394</v>
      </c>
      <c r="R30" s="316">
        <f>IF(E30="coins",C30,C30*2)</f>
        <v>32</v>
      </c>
      <c r="S30" s="252">
        <f>IF(E30="coins",D30/G30,"-")</f>
        <v>968.75</v>
      </c>
      <c r="T30" s="253" t="str">
        <f>IF(E30="magicWands",D30/G30,"-")</f>
        <v>-</v>
      </c>
      <c r="U30" s="252">
        <f>VLOOKUP(R30,'Decoration Background'!$A$2:$B$501,2)*K30*L30+10*F30</f>
        <v>31073</v>
      </c>
      <c r="V30">
        <f>F30/G30</f>
        <v>0.15625</v>
      </c>
      <c r="W30">
        <f>F30/G30</f>
        <v>0.15625</v>
      </c>
      <c r="X30" s="242">
        <f>IF(AND(ISNUMBER(X29),ISNUMBER(S30)),IF(X29&gt;S30,X29,S30),IF(ISNUMBER(S30),S30,X29))</f>
        <v>1227.2727272727273</v>
      </c>
      <c r="Y30">
        <f>IF(Y29&lt;S30,Y29,S30)</f>
        <v>90</v>
      </c>
      <c r="Z30">
        <f>SUM(S$4:S30)/A30</f>
        <v>406.97977908103354</v>
      </c>
      <c r="AA30">
        <f>IF(AA29&lt;V30,AA29,V30)</f>
        <v>0</v>
      </c>
    </row>
    <row r="31" spans="1:27">
      <c r="A31" s="342">
        <f t="shared" si="0"/>
        <v>28</v>
      </c>
      <c r="B31" s="35" t="s">
        <v>593</v>
      </c>
      <c r="C31" s="36">
        <v>33</v>
      </c>
      <c r="D31" s="77">
        <f>IF(E31="coins",IF(U31&lt;1000,ROUND(U31/10,0)*10,IF(U31&lt;9500,ROUND(U31/100,0)*100,ROUND(U31/1000,0)*1000)),IF(U31/50&lt;900,ROUNDUP(U31/500,0)*10-1,IF(U31/50&lt;8500,ROUNDUP(U31/5000,0)*100-1,ROUNDUP(U31/50000,0)*1000-1)))</f>
        <v>33000</v>
      </c>
      <c r="E31" s="35" t="s">
        <v>33</v>
      </c>
      <c r="F31" s="234">
        <v>5</v>
      </c>
      <c r="G31" s="257">
        <f>R31*K31*L31</f>
        <v>33</v>
      </c>
      <c r="H31" s="36" t="s">
        <v>387</v>
      </c>
      <c r="I31" s="37">
        <v>20</v>
      </c>
      <c r="J31" s="35">
        <f>IF(H31="Path&amp;River",IF(U31&lt;1000,ROUND(U31/10,0)*10,IF(U31&lt;10000,ROUND(U31/100,0)*100,ROUND(U31/1000,0)*1000)),IF(U31&lt;1000,ROUNDUP(U31/10,0)*5,IF(U31&lt;10000,ROUNDUP(U31/100,0)*50,ROUNDUP(U31/1000,0)*500)))</f>
        <v>16500</v>
      </c>
      <c r="K31" s="36">
        <v>1</v>
      </c>
      <c r="L31" s="37">
        <v>1</v>
      </c>
      <c r="M31" s="37" t="s">
        <v>370</v>
      </c>
      <c r="N31" s="48" t="s">
        <v>32</v>
      </c>
      <c r="O31" s="48" t="s">
        <v>32</v>
      </c>
      <c r="P31" s="35" t="s">
        <v>394</v>
      </c>
      <c r="R31" s="316">
        <f>IF(E31="coins",C31,C31*2)</f>
        <v>33</v>
      </c>
      <c r="S31" s="252">
        <f>IF(E31="coins",D31/G31,"-")</f>
        <v>1000</v>
      </c>
      <c r="T31" s="253" t="str">
        <f>IF(E31="magicWands",D31/G31,"-")</f>
        <v>-</v>
      </c>
      <c r="U31" s="252">
        <f>VLOOKUP(R31,'Decoration Background'!$A$2:$B$501,2)*K31*L31+10*F31</f>
        <v>32923</v>
      </c>
      <c r="V31">
        <f>F31/G31</f>
        <v>0.15151515151515152</v>
      </c>
      <c r="W31">
        <f>F31/G31</f>
        <v>0.15151515151515152</v>
      </c>
      <c r="X31" s="242">
        <f>IF(AND(ISNUMBER(X30),ISNUMBER(S31)),IF(X30&gt;S31,X30,S31),IF(ISNUMBER(S31),S31,X30))</f>
        <v>1227.2727272727273</v>
      </c>
      <c r="Y31">
        <f>IF(Y30&lt;S31,Y30,S31)</f>
        <v>90</v>
      </c>
      <c r="Z31">
        <f>SUM(S$4:S31)/A31</f>
        <v>428.15907268528235</v>
      </c>
      <c r="AA31">
        <f>IF(AA30&lt;V31,AA30,V31)</f>
        <v>0</v>
      </c>
    </row>
    <row r="32" spans="1:27">
      <c r="A32" s="342">
        <f t="shared" si="0"/>
        <v>29</v>
      </c>
      <c r="B32" s="35" t="s">
        <v>594</v>
      </c>
      <c r="C32" s="36">
        <v>34</v>
      </c>
      <c r="D32" s="77">
        <f>IF(E32="coins",IF(U32&lt;1000,ROUND(U32/10,0)*10,IF(U32&lt;9500,ROUND(U32/100,0)*100,ROUND(U32/1000,0)*1000)),IF(U32/50&lt;900,ROUNDUP(U32/500,0)*10-1,IF(U32/50&lt;8500,ROUNDUP(U32/5000,0)*100-1,ROUNDUP(U32/50000,0)*1000-1)))</f>
        <v>35000</v>
      </c>
      <c r="E32" s="35" t="s">
        <v>33</v>
      </c>
      <c r="F32" s="234">
        <v>5</v>
      </c>
      <c r="G32" s="257">
        <f>R32*K32*L32</f>
        <v>34</v>
      </c>
      <c r="H32" s="36" t="s">
        <v>387</v>
      </c>
      <c r="I32" s="37">
        <v>21</v>
      </c>
      <c r="J32" s="35">
        <f>IF(H32="Path&amp;River",IF(U32&lt;1000,ROUND(U32/10,0)*10,IF(U32&lt;10000,ROUND(U32/100,0)*100,ROUND(U32/1000,0)*1000)),IF(U32&lt;1000,ROUNDUP(U32/10,0)*5,IF(U32&lt;10000,ROUNDUP(U32/100,0)*50,ROUNDUP(U32/1000,0)*500)))</f>
        <v>17500</v>
      </c>
      <c r="K32" s="36">
        <v>1</v>
      </c>
      <c r="L32" s="37">
        <v>1</v>
      </c>
      <c r="M32" s="37" t="s">
        <v>370</v>
      </c>
      <c r="N32" s="48" t="s">
        <v>32</v>
      </c>
      <c r="O32" s="48" t="s">
        <v>32</v>
      </c>
      <c r="P32" s="35" t="s">
        <v>394</v>
      </c>
      <c r="R32" s="316">
        <f>IF(E32="coins",C32,C32*2)</f>
        <v>34</v>
      </c>
      <c r="S32" s="252">
        <f>IF(E32="coins",D32/G32,"-")</f>
        <v>1029.4117647058824</v>
      </c>
      <c r="T32" s="253" t="str">
        <f>IF(E32="magicWands",D32/G32,"-")</f>
        <v>-</v>
      </c>
      <c r="U32" s="252">
        <f>VLOOKUP(R32,'Decoration Background'!$A$2:$B$501,2)*K32*L32+10*F32</f>
        <v>34773</v>
      </c>
      <c r="V32">
        <f>F32/G32</f>
        <v>0.14705882352941177</v>
      </c>
      <c r="W32">
        <f>F32/G32</f>
        <v>0.14705882352941177</v>
      </c>
      <c r="X32" s="242">
        <f>IF(AND(ISNUMBER(X31),ISNUMBER(S32)),IF(X31&gt;S32,X31,S32),IF(ISNUMBER(S32),S32,X31))</f>
        <v>1227.2727272727273</v>
      </c>
      <c r="Y32">
        <f>IF(Y31&lt;S32,Y31,S32)</f>
        <v>90</v>
      </c>
      <c r="Z32">
        <f>SUM(S$4:S32)/A32</f>
        <v>448.89192413426861</v>
      </c>
      <c r="AA32">
        <f>IF(AA31&lt;V32,AA31,V32)</f>
        <v>0</v>
      </c>
    </row>
    <row r="33" spans="1:27">
      <c r="A33" s="342">
        <f t="shared" si="0"/>
        <v>30</v>
      </c>
      <c r="B33" s="35" t="s">
        <v>567</v>
      </c>
      <c r="C33" s="36">
        <v>10</v>
      </c>
      <c r="D33" s="77">
        <f>IF(E33="coins",IF(U33&lt;1000,ROUND(U33/10,0)*10,IF(U33&lt;9500,ROUND(U33/100,0)*100,ROUND(U33/1000,0)*1000)),IF(U33/50&lt;900,ROUNDUP(U33/500,0)*10-1,IF(U33/50&lt;8500,ROUNDUP(U33/5000,0)*100-1,ROUNDUP(U33/50000,0)*1000-1)))</f>
        <v>1800</v>
      </c>
      <c r="E33" s="35" t="s">
        <v>33</v>
      </c>
      <c r="F33" s="234">
        <v>5</v>
      </c>
      <c r="G33" s="257">
        <f>R33*K33*L33</f>
        <v>10</v>
      </c>
      <c r="H33" s="36" t="s">
        <v>387</v>
      </c>
      <c r="I33" s="37">
        <v>6</v>
      </c>
      <c r="J33" s="35">
        <f>IF(H33="Path&amp;River",IF(U33&lt;1000,ROUND(U33/10,0)*10,IF(U33&lt;10000,ROUND(U33/100,0)*100,ROUND(U33/1000,0)*1000)),IF(U33&lt;1000,ROUNDUP(U33/10,0)*5,IF(U33&lt;10000,ROUNDUP(U33/100,0)*50,ROUNDUP(U33/1000,0)*500)))</f>
        <v>950</v>
      </c>
      <c r="K33" s="36">
        <v>1</v>
      </c>
      <c r="L33" s="37">
        <v>1</v>
      </c>
      <c r="M33" s="37" t="s">
        <v>370</v>
      </c>
      <c r="N33" s="48" t="s">
        <v>32</v>
      </c>
      <c r="O33" s="48" t="s">
        <v>32</v>
      </c>
      <c r="P33" s="35" t="s">
        <v>393</v>
      </c>
      <c r="R33" s="316">
        <f>IF(E33="coins",C33,C33*2)</f>
        <v>10</v>
      </c>
      <c r="S33" s="252">
        <f>IF(E33="coins",D33/G33,"-")</f>
        <v>180</v>
      </c>
      <c r="T33" s="253" t="str">
        <f>IF(E33="magicWands",D33/G33,"-")</f>
        <v>-</v>
      </c>
      <c r="U33" s="252">
        <f>VLOOKUP(R33,'Decoration Background'!$A$2:$B$501,2)*K33*L33+10*F33</f>
        <v>1830</v>
      </c>
      <c r="V33">
        <f>F33/G33</f>
        <v>0.5</v>
      </c>
      <c r="W33">
        <f>F33/G33</f>
        <v>0.5</v>
      </c>
      <c r="X33" s="242">
        <f>IF(AND(ISNUMBER(X32),ISNUMBER(S33)),IF(X32&gt;S33,X32,S33),IF(ISNUMBER(S33),S33,X32))</f>
        <v>1227.2727272727273</v>
      </c>
      <c r="Y33">
        <f>IF(Y32&lt;S33,Y32,S33)</f>
        <v>90</v>
      </c>
      <c r="Z33">
        <f>SUM(S$4:S33)/A33</f>
        <v>439.92885999645961</v>
      </c>
      <c r="AA33">
        <f>IF(AA32&lt;V33,AA32,V33)</f>
        <v>0</v>
      </c>
    </row>
    <row r="34" spans="1:27">
      <c r="A34" s="342">
        <f t="shared" si="0"/>
        <v>31</v>
      </c>
      <c r="B34" s="35" t="s">
        <v>568</v>
      </c>
      <c r="C34" s="36">
        <v>8</v>
      </c>
      <c r="D34" s="77">
        <f>IF(E34="coins",IF(U34&lt;1000,ROUND(U34/10,0)*10,IF(U34&lt;9500,ROUND(U34/100,0)*100,ROUND(U34/1000,0)*1000)),IF(U34/50&lt;900,ROUNDUP(U34/500,0)*10-1,IF(U34/50&lt;8500,ROUNDUP(U34/5000,0)*100-1,ROUNDUP(U34/50000,0)*1000-1)))</f>
        <v>1200</v>
      </c>
      <c r="E34" s="35" t="s">
        <v>33</v>
      </c>
      <c r="F34" s="234">
        <v>5</v>
      </c>
      <c r="G34" s="257">
        <f>R34*K34*L34</f>
        <v>8</v>
      </c>
      <c r="H34" s="36" t="s">
        <v>387</v>
      </c>
      <c r="I34" s="37">
        <v>7</v>
      </c>
      <c r="J34" s="35">
        <f>IF(H34="Path&amp;River",IF(U34&lt;1000,ROUND(U34/10,0)*10,IF(U34&lt;10000,ROUND(U34/100,0)*100,ROUND(U34/1000,0)*1000)),IF(U34&lt;1000,ROUNDUP(U34/10,0)*5,IF(U34&lt;10000,ROUNDUP(U34/100,0)*50,ROUNDUP(U34/1000,0)*500)))</f>
        <v>650</v>
      </c>
      <c r="K34" s="36">
        <v>1</v>
      </c>
      <c r="L34" s="37">
        <v>1</v>
      </c>
      <c r="M34" s="37" t="s">
        <v>370</v>
      </c>
      <c r="N34" s="48" t="s">
        <v>32</v>
      </c>
      <c r="O34" s="48" t="s">
        <v>32</v>
      </c>
      <c r="P34" s="35" t="s">
        <v>393</v>
      </c>
      <c r="R34" s="316">
        <f>IF(E34="coins",C34,C34*2)</f>
        <v>8</v>
      </c>
      <c r="S34" s="252">
        <f>IF(E34="coins",D34/G34,"-")</f>
        <v>150</v>
      </c>
      <c r="T34" s="253" t="str">
        <f>IF(E34="magicWands",D34/G34,"-")</f>
        <v>-</v>
      </c>
      <c r="U34" s="252">
        <f>VLOOKUP(R34,'Decoration Background'!$A$2:$B$501,2)*K34*L34+10*F34</f>
        <v>1215</v>
      </c>
      <c r="V34">
        <f>F34/G34</f>
        <v>0.625</v>
      </c>
      <c r="W34">
        <f>F34/G34</f>
        <v>0.625</v>
      </c>
      <c r="X34" s="242">
        <f>IF(AND(ISNUMBER(X33),ISNUMBER(S34)),IF(X33&gt;S34,X33,S34),IF(ISNUMBER(S34),S34,X33))</f>
        <v>1227.2727272727273</v>
      </c>
      <c r="Y34">
        <f>IF(Y33&lt;S34,Y33,S34)</f>
        <v>90</v>
      </c>
      <c r="Z34">
        <f>SUM(S$4:S34)/A34</f>
        <v>430.57631612560607</v>
      </c>
      <c r="AA34">
        <f>IF(AA33&lt;V34,AA33,V34)</f>
        <v>0</v>
      </c>
    </row>
    <row r="35" spans="1:27">
      <c r="A35" s="342">
        <f t="shared" si="0"/>
        <v>32</v>
      </c>
      <c r="B35" s="35" t="s">
        <v>569</v>
      </c>
      <c r="C35" s="36">
        <v>6</v>
      </c>
      <c r="D35" s="77">
        <f>IF(E35="coins",IF(U35&lt;1000,ROUND(U35/10,0)*10,IF(U35&lt;9500,ROUND(U35/100,0)*100,ROUND(U35/1000,0)*1000)),IF(U35/50&lt;900,ROUNDUP(U35/500,0)*10-1,IF(U35/50&lt;8500,ROUNDUP(U35/5000,0)*100-1,ROUNDUP(U35/50000,0)*1000-1)))</f>
        <v>800</v>
      </c>
      <c r="E35" s="35" t="s">
        <v>33</v>
      </c>
      <c r="F35" s="234">
        <v>5</v>
      </c>
      <c r="G35" s="257">
        <f>R35*K35*L35</f>
        <v>6</v>
      </c>
      <c r="H35" s="36" t="s">
        <v>387</v>
      </c>
      <c r="I35" s="37">
        <v>8</v>
      </c>
      <c r="J35" s="35">
        <f>IF(H35="Path&amp;River",IF(U35&lt;1000,ROUND(U35/10,0)*10,IF(U35&lt;10000,ROUND(U35/100,0)*100,ROUND(U35/1000,0)*1000)),IF(U35&lt;1000,ROUNDUP(U35/10,0)*5,IF(U35&lt;10000,ROUNDUP(U35/100,0)*50,ROUNDUP(U35/1000,0)*500)))</f>
        <v>405</v>
      </c>
      <c r="K35" s="36">
        <v>1</v>
      </c>
      <c r="L35" s="37">
        <v>1</v>
      </c>
      <c r="M35" s="37" t="s">
        <v>370</v>
      </c>
      <c r="N35" s="48" t="s">
        <v>32</v>
      </c>
      <c r="O35" s="48" t="s">
        <v>32</v>
      </c>
      <c r="P35" s="35" t="s">
        <v>393</v>
      </c>
      <c r="R35" s="316">
        <f>IF(E35="coins",C35,C35*2)</f>
        <v>6</v>
      </c>
      <c r="S35" s="252">
        <f>IF(E35="coins",D35/G35,"-")</f>
        <v>133.33333333333334</v>
      </c>
      <c r="T35" s="253" t="str">
        <f>IF(E35="magicWands",D35/G35,"-")</f>
        <v>-</v>
      </c>
      <c r="U35" s="252">
        <f>VLOOKUP(R35,'Decoration Background'!$A$2:$B$501,2)*K35*L35+10*F35</f>
        <v>802</v>
      </c>
      <c r="V35">
        <f>F35/G35</f>
        <v>0.83333333333333337</v>
      </c>
      <c r="W35">
        <f>F35/G35</f>
        <v>0.83333333333333337</v>
      </c>
      <c r="X35" s="242">
        <f>IF(AND(ISNUMBER(X34),ISNUMBER(S35)),IF(X34&gt;S35,X34,S35),IF(ISNUMBER(S35),S35,X34))</f>
        <v>1227.2727272727273</v>
      </c>
      <c r="Y35">
        <f>IF(Y34&lt;S35,Y34,S35)</f>
        <v>90</v>
      </c>
      <c r="Z35">
        <f>SUM(S$4:S35)/A35</f>
        <v>421.28747291334759</v>
      </c>
      <c r="AA35">
        <f>IF(AA34&lt;V35,AA34,V35)</f>
        <v>0</v>
      </c>
    </row>
    <row r="36" spans="1:27">
      <c r="A36" s="342">
        <f t="shared" si="0"/>
        <v>33</v>
      </c>
      <c r="B36" s="35" t="s">
        <v>570</v>
      </c>
      <c r="C36" s="36">
        <v>4</v>
      </c>
      <c r="D36" s="77">
        <f>IF(E36="coins",IF(U36&lt;1000,ROUND(U36/10,0)*10,IF(U36&lt;9500,ROUND(U36/100,0)*100,ROUND(U36/1000,0)*1000)),IF(U36/50&lt;900,ROUNDUP(U36/500,0)*10-1,IF(U36/50&lt;8500,ROUNDUP(U36/5000,0)*100-1,ROUNDUP(U36/50000,0)*1000-1)))</f>
        <v>500</v>
      </c>
      <c r="E36" s="35" t="s">
        <v>33</v>
      </c>
      <c r="F36" s="234">
        <v>5</v>
      </c>
      <c r="G36" s="257">
        <f>R36*K36*L36</f>
        <v>4</v>
      </c>
      <c r="H36" s="36" t="s">
        <v>387</v>
      </c>
      <c r="I36" s="37">
        <v>9</v>
      </c>
      <c r="J36" s="35">
        <f>IF(H36="Path&amp;River",IF(U36&lt;1000,ROUND(U36/10,0)*10,IF(U36&lt;10000,ROUND(U36/100,0)*100,ROUND(U36/1000,0)*1000)),IF(U36&lt;1000,ROUNDUP(U36/10,0)*5,IF(U36&lt;10000,ROUNDUP(U36/100,0)*50,ROUNDUP(U36/1000,0)*500)))</f>
        <v>255</v>
      </c>
      <c r="K36" s="36">
        <v>1</v>
      </c>
      <c r="L36" s="37">
        <v>1</v>
      </c>
      <c r="M36" s="37" t="s">
        <v>370</v>
      </c>
      <c r="N36" s="48" t="s">
        <v>32</v>
      </c>
      <c r="O36" s="48" t="s">
        <v>32</v>
      </c>
      <c r="P36" s="35" t="s">
        <v>393</v>
      </c>
      <c r="R36" s="316">
        <f>IF(E36="coins",C36,C36*2)</f>
        <v>4</v>
      </c>
      <c r="S36" s="252">
        <f>IF(E36="coins",D36/G36,"-")</f>
        <v>125</v>
      </c>
      <c r="T36" s="253" t="str">
        <f>IF(E36="magicWands",D36/G36,"-")</f>
        <v>-</v>
      </c>
      <c r="U36" s="252">
        <f>VLOOKUP(R36,'Decoration Background'!$A$2:$B$501,2)*K36*L36+10*F36</f>
        <v>501</v>
      </c>
      <c r="V36">
        <f>F36/G36</f>
        <v>1.25</v>
      </c>
      <c r="W36">
        <f>F36/G36</f>
        <v>1.25</v>
      </c>
      <c r="X36" s="242">
        <f>IF(AND(ISNUMBER(X35),ISNUMBER(S36)),IF(X35&gt;S36,X35,S36),IF(ISNUMBER(S36),S36,X35))</f>
        <v>1227.2727272727273</v>
      </c>
      <c r="Y36">
        <f>IF(Y35&lt;S36,Y35,S36)</f>
        <v>90</v>
      </c>
      <c r="Z36">
        <f>SUM(S$4:S36)/A36</f>
        <v>412.30906464324613</v>
      </c>
      <c r="AA36">
        <f>IF(AA35&lt;V36,AA35,V36)</f>
        <v>0</v>
      </c>
    </row>
    <row r="37" spans="1:27">
      <c r="A37" s="342">
        <f t="shared" si="0"/>
        <v>34</v>
      </c>
      <c r="B37" s="35" t="s">
        <v>571</v>
      </c>
      <c r="C37" s="36">
        <v>2</v>
      </c>
      <c r="D37" s="77">
        <f>IF(E37="coins",IF(U37&lt;1000,ROUND(U37/10,0)*10,IF(U37&lt;9500,ROUND(U37/100,0)*100,ROUND(U37/1000,0)*1000)),IF(U37/50&lt;900,ROUNDUP(U37/500,0)*10-1,IF(U37/50&lt;8500,ROUNDUP(U37/5000,0)*100-1,ROUNDUP(U37/50000,0)*1000-1)))</f>
        <v>230</v>
      </c>
      <c r="E37" s="35" t="s">
        <v>33</v>
      </c>
      <c r="F37" s="234">
        <v>5</v>
      </c>
      <c r="G37" s="257">
        <f>R37*K37*L37</f>
        <v>2</v>
      </c>
      <c r="H37" s="36" t="s">
        <v>387</v>
      </c>
      <c r="I37" s="37">
        <v>10</v>
      </c>
      <c r="J37" s="35">
        <f>IF(H37="Path&amp;River",IF(U37&lt;1000,ROUND(U37/10,0)*10,IF(U37&lt;10000,ROUND(U37/100,0)*100,ROUND(U37/1000,0)*1000)),IF(U37&lt;1000,ROUNDUP(U37/10,0)*5,IF(U37&lt;10000,ROUNDUP(U37/100,0)*50,ROUNDUP(U37/1000,0)*500)))</f>
        <v>115</v>
      </c>
      <c r="K37" s="36">
        <v>1</v>
      </c>
      <c r="L37" s="37">
        <v>1</v>
      </c>
      <c r="M37" s="37" t="s">
        <v>370</v>
      </c>
      <c r="N37" s="48" t="s">
        <v>32</v>
      </c>
      <c r="O37" s="48" t="s">
        <v>32</v>
      </c>
      <c r="P37" s="35" t="s">
        <v>393</v>
      </c>
      <c r="R37" s="316">
        <f>IF(E37="coins",C37,C37*2)</f>
        <v>2</v>
      </c>
      <c r="S37" s="252">
        <f>IF(E37="coins",D37/G37,"-")</f>
        <v>115</v>
      </c>
      <c r="T37" s="253" t="str">
        <f>IF(E37="magicWands",D37/G37,"-")</f>
        <v>-</v>
      </c>
      <c r="U37" s="252">
        <f>VLOOKUP(R37,'Decoration Background'!$A$2:$B$501,2)*K37*L37+10*F37</f>
        <v>230</v>
      </c>
      <c r="V37">
        <f>F37/G37</f>
        <v>2.5</v>
      </c>
      <c r="W37">
        <f>F37/G37</f>
        <v>2.5</v>
      </c>
      <c r="X37" s="242">
        <f>IF(AND(ISNUMBER(X36),ISNUMBER(S37)),IF(X36&gt;S37,X36,S37),IF(ISNUMBER(S37),S37,X36))</f>
        <v>1227.2727272727273</v>
      </c>
      <c r="Y37">
        <f>IF(Y36&lt;S37,Y36,S37)</f>
        <v>90</v>
      </c>
      <c r="Z37">
        <f>SUM(S$4:S37)/A37</f>
        <v>403.56468038903301</v>
      </c>
      <c r="AA37">
        <f>IF(AA36&lt;V37,AA36,V37)</f>
        <v>0</v>
      </c>
    </row>
    <row r="38" spans="1:27">
      <c r="A38" s="342">
        <f t="shared" si="0"/>
        <v>35</v>
      </c>
      <c r="B38" s="35" t="s">
        <v>572</v>
      </c>
      <c r="C38" s="36">
        <v>12</v>
      </c>
      <c r="D38" s="77">
        <f>IF(E38="coins",IF(U38&lt;1000,ROUND(U38/10,0)*10,IF(U38&lt;9500,ROUND(U38/100,0)*100,ROUND(U38/1000,0)*1000)),IF(U38/50&lt;900,ROUNDUP(U38/500,0)*10-1,IF(U38/50&lt;8500,ROUNDUP(U38/5000,0)*100-1,ROUNDUP(U38/50000,0)*1000-1)))</f>
        <v>2700</v>
      </c>
      <c r="E38" s="35" t="s">
        <v>33</v>
      </c>
      <c r="F38" s="234">
        <v>5</v>
      </c>
      <c r="G38" s="257">
        <f>R38*K38*L38</f>
        <v>12</v>
      </c>
      <c r="H38" s="36" t="s">
        <v>387</v>
      </c>
      <c r="I38" s="37">
        <v>11</v>
      </c>
      <c r="J38" s="35">
        <f>IF(H38="Path&amp;River",IF(U38&lt;1000,ROUND(U38/10,0)*10,IF(U38&lt;10000,ROUND(U38/100,0)*100,ROUND(U38/1000,0)*1000)),IF(U38&lt;1000,ROUNDUP(U38/10,0)*5,IF(U38&lt;10000,ROUNDUP(U38/100,0)*50,ROUNDUP(U38/1000,0)*500)))</f>
        <v>1400</v>
      </c>
      <c r="K38" s="36">
        <v>1</v>
      </c>
      <c r="L38" s="37">
        <v>1</v>
      </c>
      <c r="M38" s="37" t="s">
        <v>370</v>
      </c>
      <c r="N38" s="48" t="s">
        <v>32</v>
      </c>
      <c r="O38" s="48" t="s">
        <v>32</v>
      </c>
      <c r="P38" s="35" t="s">
        <v>394</v>
      </c>
      <c r="R38" s="316">
        <f>IF(E38="coins",C38,C38*2)</f>
        <v>12</v>
      </c>
      <c r="S38" s="252">
        <f>IF(E38="coins",D38/G38,"-")</f>
        <v>225</v>
      </c>
      <c r="T38" s="253" t="str">
        <f>IF(E38="magicWands",D38/G38,"-")</f>
        <v>-</v>
      </c>
      <c r="U38" s="252">
        <f>VLOOKUP(R38,'Decoration Background'!$A$2:$B$501,2)*K38*L38+10*F38</f>
        <v>2747</v>
      </c>
      <c r="V38">
        <f>F38/G38</f>
        <v>0.41666666666666669</v>
      </c>
      <c r="W38">
        <f>F38/G38</f>
        <v>0.41666666666666669</v>
      </c>
      <c r="X38" s="242">
        <f>IF(AND(ISNUMBER(X37),ISNUMBER(S38)),IF(X37&gt;S38,X37,S38),IF(ISNUMBER(S38),S38,X37))</f>
        <v>1227.2727272727273</v>
      </c>
      <c r="Y38">
        <f>IF(Y37&lt;S38,Y37,S38)</f>
        <v>90</v>
      </c>
      <c r="Z38">
        <f>SUM(S$4:S38)/A38</f>
        <v>398.46283237791778</v>
      </c>
      <c r="AA38">
        <f>IF(AA37&lt;V38,AA37,V38)</f>
        <v>0</v>
      </c>
    </row>
    <row r="39" spans="1:27">
      <c r="A39" s="342">
        <f t="shared" si="0"/>
        <v>36</v>
      </c>
      <c r="B39" s="35" t="s">
        <v>573</v>
      </c>
      <c r="C39" s="36">
        <v>14</v>
      </c>
      <c r="D39" s="77">
        <f>IF(E39="coins",IF(U39&lt;1000,ROUND(U39/10,0)*10,IF(U39&lt;9500,ROUND(U39/100,0)*100,ROUND(U39/1000,0)*1000)),IF(U39/50&lt;900,ROUNDUP(U39/500,0)*10-1,IF(U39/50&lt;8500,ROUNDUP(U39/5000,0)*100-1,ROUNDUP(U39/50000,0)*1000-1)))</f>
        <v>16000</v>
      </c>
      <c r="E39" s="35" t="s">
        <v>33</v>
      </c>
      <c r="F39" s="234">
        <v>5</v>
      </c>
      <c r="G39" s="257">
        <f>R39*K39*L39</f>
        <v>56</v>
      </c>
      <c r="H39" s="36" t="s">
        <v>387</v>
      </c>
      <c r="I39" s="37">
        <v>12</v>
      </c>
      <c r="J39" s="35">
        <f>IF(H39="Path&amp;River",IF(U39&lt;1000,ROUND(U39/10,0)*10,IF(U39&lt;10000,ROUND(U39/100,0)*100,ROUND(U39/1000,0)*1000)),IF(U39&lt;1000,ROUNDUP(U39/10,0)*5,IF(U39&lt;10000,ROUNDUP(U39/100,0)*50,ROUNDUP(U39/1000,0)*500)))</f>
        <v>8500</v>
      </c>
      <c r="K39" s="36">
        <v>2</v>
      </c>
      <c r="L39" s="37">
        <v>2</v>
      </c>
      <c r="M39" s="37" t="s">
        <v>370</v>
      </c>
      <c r="N39" s="48" t="s">
        <v>32</v>
      </c>
      <c r="O39" s="48" t="s">
        <v>32</v>
      </c>
      <c r="P39" s="35" t="s">
        <v>374</v>
      </c>
      <c r="R39" s="316">
        <f>IF(E39="coins",C39,C39*2)</f>
        <v>14</v>
      </c>
      <c r="S39" s="252">
        <f>IF(E39="coins",D39/G39,"-")</f>
        <v>285.71428571428572</v>
      </c>
      <c r="T39" s="253" t="str">
        <f>IF(E39="magicWands",D39/G39,"-")</f>
        <v>-</v>
      </c>
      <c r="U39" s="252">
        <f>VLOOKUP(R39,'Decoration Background'!$A$2:$B$501,2)*K39*L39+10*F39</f>
        <v>16302</v>
      </c>
      <c r="V39">
        <f>F39/G39</f>
        <v>8.9285714285714288E-2</v>
      </c>
      <c r="W39">
        <f>F39/G39</f>
        <v>8.9285714285714288E-2</v>
      </c>
      <c r="X39" s="242">
        <f>IF(AND(ISNUMBER(X38),ISNUMBER(S39)),IF(X38&gt;S39,X38,S39),IF(ISNUMBER(S39),S39,X38))</f>
        <v>1227.2727272727273</v>
      </c>
      <c r="Y39">
        <f>IF(Y38&lt;S39,Y38,S39)</f>
        <v>90</v>
      </c>
      <c r="Z39">
        <f>SUM(S$4:S39)/A39</f>
        <v>395.33092830392803</v>
      </c>
      <c r="AA39">
        <f>IF(AA38&lt;V39,AA38,V39)</f>
        <v>0</v>
      </c>
    </row>
    <row r="40" spans="1:27">
      <c r="A40" s="342">
        <f t="shared" si="0"/>
        <v>37</v>
      </c>
      <c r="B40" s="35" t="s">
        <v>595</v>
      </c>
      <c r="C40" s="36">
        <v>48</v>
      </c>
      <c r="D40" s="77">
        <f>IF(E40="coins",IF(U40&lt;1000,ROUND(U40/10,0)*10,IF(U40&lt;9500,ROUND(U40/100,0)*100,ROUND(U40/1000,0)*1000)),IF(U40/50&lt;900,ROUNDUP(U40/500,0)*10-1,IF(U40/50&lt;8500,ROUNDUP(U40/5000,0)*100-1,ROUNDUP(U40/50000,0)*1000-1)))</f>
        <v>63000</v>
      </c>
      <c r="E40" s="35" t="s">
        <v>33</v>
      </c>
      <c r="F40" s="234">
        <v>5</v>
      </c>
      <c r="G40" s="257">
        <f>R40*K40*L40</f>
        <v>48</v>
      </c>
      <c r="H40" s="36" t="s">
        <v>387</v>
      </c>
      <c r="I40" s="37">
        <v>22</v>
      </c>
      <c r="J40" s="35">
        <f>IF(H40="Path&amp;River",IF(U40&lt;1000,ROUND(U40/10,0)*10,IF(U40&lt;10000,ROUND(U40/100,0)*100,ROUND(U40/1000,0)*1000)),IF(U40&lt;1000,ROUNDUP(U40/10,0)*5,IF(U40&lt;10000,ROUNDUP(U40/100,0)*50,ROUNDUP(U40/1000,0)*500)))</f>
        <v>32000</v>
      </c>
      <c r="K40" s="36">
        <v>1</v>
      </c>
      <c r="L40" s="37">
        <v>1</v>
      </c>
      <c r="M40" s="37" t="s">
        <v>370</v>
      </c>
      <c r="N40" s="48" t="s">
        <v>32</v>
      </c>
      <c r="O40" s="48" t="s">
        <v>32</v>
      </c>
      <c r="P40" s="35" t="s">
        <v>394</v>
      </c>
      <c r="R40" s="316">
        <f>IF(E40="coins",C40,C40*2)</f>
        <v>48</v>
      </c>
      <c r="S40" s="252">
        <f>IF(E40="coins",D40/G40,"-")</f>
        <v>1312.5</v>
      </c>
      <c r="T40" s="253" t="str">
        <f>IF(E40="magicWands",D40/G40,"-")</f>
        <v>-</v>
      </c>
      <c r="U40" s="252">
        <f>VLOOKUP(R40,'Decoration Background'!$A$2:$B$501,2)*K40*L40+10*F40</f>
        <v>63423</v>
      </c>
      <c r="V40">
        <f>F40/G40</f>
        <v>0.10416666666666667</v>
      </c>
      <c r="W40">
        <f>F40/G40</f>
        <v>0.10416666666666667</v>
      </c>
      <c r="X40" s="242">
        <f>IF(AND(ISNUMBER(X39),ISNUMBER(S40)),IF(X39&gt;S40,X39,S40),IF(ISNUMBER(S40),S40,X39))</f>
        <v>1312.5</v>
      </c>
      <c r="Y40">
        <f>IF(Y39&lt;S40,Y39,S40)</f>
        <v>90</v>
      </c>
      <c r="Z40">
        <f>SUM(S$4:S40)/A40</f>
        <v>420.11928159301107</v>
      </c>
      <c r="AA40">
        <f>IF(AA39&lt;V40,AA39,V40)</f>
        <v>0</v>
      </c>
    </row>
    <row r="41" spans="1:27">
      <c r="A41" s="342">
        <f t="shared" si="0"/>
        <v>38</v>
      </c>
      <c r="B41" s="35" t="s">
        <v>564</v>
      </c>
      <c r="C41" s="36">
        <v>20</v>
      </c>
      <c r="D41" s="77">
        <f>IF(E41="coins",IF(U41&lt;1000,ROUND(U41/10,0)*10,IF(U41&lt;9500,ROUND(U41/100,0)*100,ROUND(U41/1000,0)*1000)),IF(U41/50&lt;900,ROUNDUP(U41/500,0)*10-1,IF(U41/50&lt;8500,ROUNDUP(U41/5000,0)*100-1,ROUNDUP(U41/50000,0)*1000-1)))</f>
        <v>3399</v>
      </c>
      <c r="E41" s="35" t="s">
        <v>381</v>
      </c>
      <c r="F41" s="234">
        <v>5</v>
      </c>
      <c r="G41" s="257">
        <f>R41*K41*L41</f>
        <v>152</v>
      </c>
      <c r="H41" s="36" t="s">
        <v>387</v>
      </c>
      <c r="I41" s="37">
        <v>3</v>
      </c>
      <c r="J41" s="35">
        <f>IF(H41="Path&amp;River",IF(U41&lt;1000,ROUND(U41/10,0)*10,IF(U41&lt;10000,ROUND(U41/100,0)*100,ROUND(U41/1000,0)*1000)),IF(U41&lt;1000,ROUNDUP(U41/10,0)*5,IF(U41&lt;10000,ROUNDUP(U41/100,0)*50,ROUNDUP(U41/1000,0)*500)))</f>
        <v>84500</v>
      </c>
      <c r="K41" s="36">
        <v>2</v>
      </c>
      <c r="L41" s="37">
        <v>2</v>
      </c>
      <c r="M41" s="37" t="s">
        <v>370</v>
      </c>
      <c r="N41" s="48" t="s">
        <v>32</v>
      </c>
      <c r="O41" s="48" t="s">
        <v>32</v>
      </c>
      <c r="P41" s="35" t="s">
        <v>390</v>
      </c>
      <c r="R41" s="316">
        <v>38</v>
      </c>
      <c r="S41" s="252" t="str">
        <f>IF(E41="coins",D41/G41,"-")</f>
        <v>-</v>
      </c>
      <c r="T41" s="253">
        <f>IF(E41="magicWands",D41/G41,"-")</f>
        <v>22.361842105263158</v>
      </c>
      <c r="U41" s="252">
        <f>VLOOKUP(R41,'Decoration Background'!$A$2:$B$501,2)*K41*L41+10*F41</f>
        <v>168542</v>
      </c>
      <c r="V41">
        <f>F41/G41</f>
        <v>3.2894736842105261E-2</v>
      </c>
      <c r="W41">
        <f>F41/G41</f>
        <v>3.2894736842105261E-2</v>
      </c>
      <c r="X41" s="242">
        <f>IF(AND(ISNUMBER(X40),ISNUMBER(S41)),IF(X40&gt;S41,X40,S41),IF(ISNUMBER(S41),S41,X40))</f>
        <v>1312.5</v>
      </c>
      <c r="Y41">
        <f>IF(Y40&lt;S41,Y40,S41)</f>
        <v>90</v>
      </c>
      <c r="Z41">
        <f>SUM(S$4:S41)/A41</f>
        <v>409.0635110247739</v>
      </c>
      <c r="AA41">
        <f>IF(AA40&lt;V41,AA40,V41)</f>
        <v>0</v>
      </c>
    </row>
    <row r="42" spans="1:27">
      <c r="A42" s="342">
        <f t="shared" si="0"/>
        <v>39</v>
      </c>
      <c r="B42" s="35" t="s">
        <v>566</v>
      </c>
      <c r="C42" s="36">
        <v>36</v>
      </c>
      <c r="D42" s="77">
        <f>IF(E42="coins",IF(U42&lt;1000,ROUND(U42/10,0)*10,IF(U42&lt;9500,ROUND(U42/100,0)*100,ROUND(U42/1000,0)*1000)),IF(U42/50&lt;900,ROUNDUP(U42/500,0)*10-1,IF(U42/50&lt;8500,ROUNDUP(U42/5000,0)*100-1,ROUNDUP(U42/50000,0)*1000-1)))</f>
        <v>4599</v>
      </c>
      <c r="E42" s="344" t="s">
        <v>381</v>
      </c>
      <c r="F42" s="234">
        <v>5</v>
      </c>
      <c r="G42" s="257">
        <f>R42*K42*L42</f>
        <v>180</v>
      </c>
      <c r="H42" s="36" t="s">
        <v>387</v>
      </c>
      <c r="I42" s="37">
        <v>5</v>
      </c>
      <c r="J42" s="35">
        <f>IF(H42="Path&amp;River",IF(U42&lt;1000,ROUND(U42/10,0)*10,IF(U42&lt;10000,ROUND(U42/100,0)*100,ROUND(U42/1000,0)*1000)),IF(U42&lt;1000,ROUNDUP(U42/10,0)*5,IF(U42&lt;10000,ROUNDUP(U42/100,0)*50,ROUNDUP(U42/1000,0)*500)))</f>
        <v>113000</v>
      </c>
      <c r="K42" s="36">
        <v>2</v>
      </c>
      <c r="L42" s="37">
        <v>2</v>
      </c>
      <c r="M42" s="37" t="s">
        <v>370</v>
      </c>
      <c r="N42" s="48" t="s">
        <v>32</v>
      </c>
      <c r="O42" s="48" t="s">
        <v>32</v>
      </c>
      <c r="P42" s="35" t="s">
        <v>392</v>
      </c>
      <c r="R42" s="316">
        <v>45</v>
      </c>
      <c r="S42" s="252" t="str">
        <f>IF(E42="coins",D42/G42,"-")</f>
        <v>-</v>
      </c>
      <c r="T42" s="253">
        <f>IF(E42="magicWands",D42/G42,"-")</f>
        <v>25.55</v>
      </c>
      <c r="U42" s="252">
        <f>VLOOKUP(R42,'Decoration Background'!$A$2:$B$501,2)*K42*L42+10*F42</f>
        <v>225942</v>
      </c>
      <c r="V42">
        <f>F42/G42</f>
        <v>2.7777777777777776E-2</v>
      </c>
      <c r="W42">
        <f>F42/G42</f>
        <v>2.7777777777777776E-2</v>
      </c>
      <c r="X42" s="242">
        <f>IF(AND(ISNUMBER(X41),ISNUMBER(S42)),IF(X41&gt;S42,X41,S42),IF(ISNUMBER(S42),S42,X41))</f>
        <v>1312.5</v>
      </c>
      <c r="Y42">
        <f>IF(Y41&lt;S42,Y41,S42)</f>
        <v>90</v>
      </c>
      <c r="Z42">
        <f>SUM(S$4:S42)/A42</f>
        <v>398.57470304977971</v>
      </c>
      <c r="AA42">
        <f>IF(AA41&lt;V42,AA41,V42)</f>
        <v>0</v>
      </c>
    </row>
    <row r="43" spans="1:27">
      <c r="A43" s="342">
        <f t="shared" si="0"/>
        <v>40</v>
      </c>
      <c r="B43" s="35" t="s">
        <v>565</v>
      </c>
      <c r="C43" s="36">
        <v>35</v>
      </c>
      <c r="D43" s="77">
        <f>IF(E43="coins",IF(U43&lt;1000,ROUND(U43/10,0)*10,IF(U43&lt;9500,ROUND(U43/100,0)*100,ROUND(U43/1000,0)*1000)),IF(U43/50&lt;900,ROUNDUP(U43/500,0)*10-1,IF(U43/50&lt;8500,ROUNDUP(U43/5000,0)*100-1,ROUNDUP(U43/50000,0)*1000-1)))</f>
        <v>37000</v>
      </c>
      <c r="E43" s="35" t="s">
        <v>33</v>
      </c>
      <c r="F43" s="234">
        <v>5</v>
      </c>
      <c r="G43" s="257">
        <f>R43*K43*L43</f>
        <v>35</v>
      </c>
      <c r="H43" s="36" t="s">
        <v>387</v>
      </c>
      <c r="I43" s="37">
        <v>4</v>
      </c>
      <c r="J43" s="35">
        <f>IF(H43="Path&amp;River",IF(U43&lt;1000,ROUND(U43/10,0)*10,IF(U43&lt;10000,ROUND(U43/100,0)*100,ROUND(U43/1000,0)*1000)),IF(U43&lt;1000,ROUNDUP(U43/10,0)*5,IF(U43&lt;10000,ROUNDUP(U43/100,0)*50,ROUNDUP(U43/1000,0)*500)))</f>
        <v>18500</v>
      </c>
      <c r="K43" s="36">
        <v>1</v>
      </c>
      <c r="L43" s="37">
        <v>1</v>
      </c>
      <c r="M43" s="37" t="s">
        <v>370</v>
      </c>
      <c r="N43" s="48" t="s">
        <v>32</v>
      </c>
      <c r="O43" s="48" t="s">
        <v>32</v>
      </c>
      <c r="P43" s="35" t="s">
        <v>391</v>
      </c>
      <c r="R43" s="316">
        <f>IF(E43="coins",C43,C43*2)</f>
        <v>35</v>
      </c>
      <c r="S43" s="252">
        <f>IF(E43="coins",D43/G43,"-")</f>
        <v>1057.1428571428571</v>
      </c>
      <c r="T43" s="253" t="str">
        <f>IF(E43="magicWands",D43/G43,"-")</f>
        <v>-</v>
      </c>
      <c r="U43" s="252">
        <f>VLOOKUP(R43,'Decoration Background'!$A$2:$B$501,2)*K43*L43+10*F43</f>
        <v>36623</v>
      </c>
      <c r="V43">
        <f>F43/G43</f>
        <v>0.14285714285714285</v>
      </c>
      <c r="W43">
        <f>F43/G43</f>
        <v>0.14285714285714285</v>
      </c>
      <c r="X43" s="242">
        <f>IF(AND(ISNUMBER(X42),ISNUMBER(S43)),IF(X42&gt;S43,X42,S43),IF(ISNUMBER(S43),S43,X42))</f>
        <v>1312.5</v>
      </c>
      <c r="Y43">
        <f>IF(Y42&lt;S43,Y42,S43)</f>
        <v>90</v>
      </c>
      <c r="Z43">
        <f>SUM(S$4:S43)/A43</f>
        <v>415.03890690210665</v>
      </c>
      <c r="AA43">
        <f>IF(AA42&lt;V43,AA42,V43)</f>
        <v>0</v>
      </c>
    </row>
    <row r="44" spans="1:27">
      <c r="A44" s="342">
        <f t="shared" si="0"/>
        <v>41</v>
      </c>
      <c r="B44" s="35" t="s">
        <v>596</v>
      </c>
      <c r="C44" s="36">
        <v>4</v>
      </c>
      <c r="D44" s="77">
        <f>IF(E44="coins",IF(U44&lt;1000,ROUND(U44/10,0)*10,IF(U44&lt;9500,ROUND(U44/100,0)*100,ROUND(U44/1000,0)*1000)),IF(U44/50&lt;900,ROUNDUP(U44/500,0)*10-1,IF(U44/50&lt;8500,ROUNDUP(U44/5000,0)*100-1,ROUNDUP(U44/50000,0)*1000-1)))</f>
        <v>39</v>
      </c>
      <c r="E44" s="35" t="s">
        <v>381</v>
      </c>
      <c r="F44" s="234">
        <v>5</v>
      </c>
      <c r="G44" s="257">
        <f>R44*K44*L44</f>
        <v>10</v>
      </c>
      <c r="H44" s="36" t="s">
        <v>387</v>
      </c>
      <c r="I44" s="37">
        <v>23</v>
      </c>
      <c r="J44" s="35">
        <f>IF(H44="Path&amp;River",IF(U44&lt;1000,ROUND(U44/10,0)*10,IF(U44&lt;10000,ROUND(U44/100,0)*100,ROUND(U44/1000,0)*1000)),IF(U44&lt;1000,ROUNDUP(U44/10,0)*5,IF(U44&lt;10000,ROUNDUP(U44/100,0)*50,ROUNDUP(U44/1000,0)*500)))</f>
        <v>950</v>
      </c>
      <c r="K44" s="36">
        <v>1</v>
      </c>
      <c r="L44" s="37">
        <v>1</v>
      </c>
      <c r="M44" s="37" t="s">
        <v>370</v>
      </c>
      <c r="N44" s="48" t="s">
        <v>32</v>
      </c>
      <c r="O44" s="48" t="s">
        <v>32</v>
      </c>
      <c r="P44" s="35" t="s">
        <v>394</v>
      </c>
      <c r="R44" s="316">
        <v>10</v>
      </c>
      <c r="S44" s="252" t="str">
        <f>IF(E44="coins",D44/G44,"-")</f>
        <v>-</v>
      </c>
      <c r="T44" s="253">
        <f>IF(E44="magicWands",D44/G44,"-")</f>
        <v>3.9</v>
      </c>
      <c r="U44" s="252">
        <f>VLOOKUP(R44,'Decoration Background'!$A$2:$B$501,2)*K44*L44+10*F44</f>
        <v>1830</v>
      </c>
      <c r="V44">
        <f>F44/G44</f>
        <v>0.5</v>
      </c>
      <c r="W44">
        <f>F44/G44</f>
        <v>0.5</v>
      </c>
      <c r="X44" s="242">
        <f>IF(AND(ISNUMBER(X43),ISNUMBER(S44)),IF(X43&gt;S44,X43,S44),IF(ISNUMBER(S44),S44,X43))</f>
        <v>1312.5</v>
      </c>
      <c r="Y44">
        <f>IF(Y43&lt;S44,Y43,S44)</f>
        <v>90</v>
      </c>
      <c r="Z44">
        <f>SUM(S$4:S44)/A44</f>
        <v>404.91600673376257</v>
      </c>
      <c r="AA44">
        <f>IF(AA43&lt;V44,AA43,V44)</f>
        <v>0</v>
      </c>
    </row>
    <row r="45" spans="1:27">
      <c r="A45" s="342">
        <f t="shared" si="0"/>
        <v>42</v>
      </c>
      <c r="B45" s="35" t="s">
        <v>597</v>
      </c>
      <c r="C45" s="36">
        <v>11</v>
      </c>
      <c r="D45" s="77">
        <f t="shared" si="6"/>
        <v>199</v>
      </c>
      <c r="E45" s="35" t="s">
        <v>381</v>
      </c>
      <c r="F45" s="234">
        <v>5</v>
      </c>
      <c r="G45" s="257">
        <f>R45*K45*L45</f>
        <v>20</v>
      </c>
      <c r="H45" s="36" t="s">
        <v>387</v>
      </c>
      <c r="I45" s="37">
        <v>24</v>
      </c>
      <c r="J45" s="35">
        <f>IF(H45="Path&amp;River",IF(U45&lt;1000,ROUND(U45/10,0)*10,IF(U45&lt;10000,ROUND(U45/100,0)*100,ROUND(U45/1000,0)*1000)),IF(U45&lt;1000,ROUNDUP(U45/10,0)*5,IF(U45&lt;10000,ROUNDUP(U45/100,0)*50,ROUNDUP(U45/1000,0)*500)))</f>
        <v>5000</v>
      </c>
      <c r="K45" s="36">
        <v>1</v>
      </c>
      <c r="L45" s="37">
        <v>1</v>
      </c>
      <c r="M45" s="37" t="s">
        <v>370</v>
      </c>
      <c r="N45" s="48" t="s">
        <v>32</v>
      </c>
      <c r="O45" s="48" t="s">
        <v>32</v>
      </c>
      <c r="P45" s="35" t="s">
        <v>394</v>
      </c>
      <c r="R45" s="316">
        <v>20</v>
      </c>
      <c r="S45" s="252" t="str">
        <f>IF(E45="coins",D45/G45,"-")</f>
        <v>-</v>
      </c>
      <c r="T45" s="253">
        <f>IF(E45="magicWands",D45/G45,"-")</f>
        <v>9.9499999999999993</v>
      </c>
      <c r="U45" s="252">
        <f>VLOOKUP(R45,'Decoration Background'!$A$2:$B$501,2)*K45*L45+10*F45</f>
        <v>9969</v>
      </c>
      <c r="V45">
        <f>F45/G45</f>
        <v>0.25</v>
      </c>
      <c r="W45">
        <f>F45/G45</f>
        <v>0.25</v>
      </c>
      <c r="X45" s="242">
        <f>IF(AND(ISNUMBER(X44),ISNUMBER(S45)),IF(X44&gt;S45,X44,S45),IF(ISNUMBER(S45),S45,X44))</f>
        <v>1312.5</v>
      </c>
      <c r="Y45">
        <f>IF(Y44&lt;S45,Y44,S45)</f>
        <v>90</v>
      </c>
      <c r="Z45">
        <f>SUM(S$4:S45)/A45</f>
        <v>395.27514943057776</v>
      </c>
      <c r="AA45">
        <f>IF(AA44&lt;V45,AA44,V45)</f>
        <v>0</v>
      </c>
    </row>
    <row r="46" spans="1:27">
      <c r="A46" s="342">
        <f t="shared" si="0"/>
        <v>43</v>
      </c>
      <c r="B46" s="35" t="s">
        <v>574</v>
      </c>
      <c r="C46" s="36">
        <v>24</v>
      </c>
      <c r="D46" s="77">
        <f t="shared" si="6"/>
        <v>549</v>
      </c>
      <c r="E46" s="35" t="s">
        <v>381</v>
      </c>
      <c r="F46" s="234">
        <v>5</v>
      </c>
      <c r="G46" s="257">
        <f t="shared" si="1"/>
        <v>30</v>
      </c>
      <c r="H46" s="36" t="s">
        <v>398</v>
      </c>
      <c r="I46" s="37">
        <v>1</v>
      </c>
      <c r="J46" s="35">
        <f t="shared" si="7"/>
        <v>14000</v>
      </c>
      <c r="K46" s="36">
        <v>1</v>
      </c>
      <c r="L46" s="37">
        <v>1</v>
      </c>
      <c r="M46" s="37" t="s">
        <v>370</v>
      </c>
      <c r="N46" s="48" t="s">
        <v>32</v>
      </c>
      <c r="O46" s="48" t="s">
        <v>32</v>
      </c>
      <c r="P46" s="35" t="s">
        <v>400</v>
      </c>
      <c r="R46" s="316">
        <v>30</v>
      </c>
      <c r="S46" s="252" t="str">
        <f t="shared" si="12"/>
        <v>-</v>
      </c>
      <c r="T46" s="253">
        <f t="shared" si="13"/>
        <v>18.3</v>
      </c>
      <c r="U46" s="252">
        <f>VLOOKUP(R46,'Decoration Background'!$A$2:$B$501,2)*K46*L46+10*F46</f>
        <v>27373</v>
      </c>
      <c r="V46">
        <f t="shared" si="14"/>
        <v>0.16666666666666666</v>
      </c>
      <c r="W46">
        <f t="shared" si="15"/>
        <v>0.16666666666666666</v>
      </c>
      <c r="X46" s="242">
        <f>IF(AND(ISNUMBER(X33),ISNUMBER(S46)),IF(X33&gt;S46,X33,S46),IF(ISNUMBER(S46),S46,X33))</f>
        <v>1227.2727272727273</v>
      </c>
      <c r="Y46">
        <f>IF(Y33&lt;S46,Y33,S46)</f>
        <v>90</v>
      </c>
      <c r="Z46">
        <f>SUM(S$4:S46)/A46</f>
        <v>386.08270409498294</v>
      </c>
      <c r="AA46">
        <f>IF(AA33&lt;V46,AA33,V46)</f>
        <v>0</v>
      </c>
    </row>
    <row r="47" spans="1:27">
      <c r="A47" s="342">
        <f t="shared" si="0"/>
        <v>44</v>
      </c>
      <c r="B47" s="35" t="s">
        <v>575</v>
      </c>
      <c r="C47" s="36">
        <v>23</v>
      </c>
      <c r="D47" s="77">
        <f t="shared" si="6"/>
        <v>58000</v>
      </c>
      <c r="E47" s="35" t="s">
        <v>33</v>
      </c>
      <c r="F47" s="234">
        <v>5</v>
      </c>
      <c r="G47" s="257">
        <f t="shared" si="1"/>
        <v>92</v>
      </c>
      <c r="H47" s="36" t="s">
        <v>398</v>
      </c>
      <c r="I47" s="37">
        <v>2</v>
      </c>
      <c r="J47" s="35">
        <f t="shared" si="7"/>
        <v>29000</v>
      </c>
      <c r="K47" s="36">
        <v>2</v>
      </c>
      <c r="L47" s="37">
        <v>2</v>
      </c>
      <c r="M47" s="37" t="s">
        <v>370</v>
      </c>
      <c r="N47" s="48" t="s">
        <v>32</v>
      </c>
      <c r="O47" s="48" t="s">
        <v>32</v>
      </c>
      <c r="P47" s="35" t="s">
        <v>368</v>
      </c>
      <c r="R47" s="316">
        <f t="shared" si="11"/>
        <v>23</v>
      </c>
      <c r="S47" s="252">
        <f t="shared" si="12"/>
        <v>630.43478260869563</v>
      </c>
      <c r="T47" s="253" t="str">
        <f t="shared" si="13"/>
        <v>-</v>
      </c>
      <c r="U47" s="252">
        <f>VLOOKUP(R47,'Decoration Background'!$A$2:$B$501,2)*K47*L47+10*F47</f>
        <v>57738</v>
      </c>
      <c r="V47">
        <f t="shared" si="14"/>
        <v>5.434782608695652E-2</v>
      </c>
      <c r="W47">
        <f t="shared" si="15"/>
        <v>5.434782608695652E-2</v>
      </c>
      <c r="X47" s="242">
        <f t="shared" si="16"/>
        <v>1227.2727272727273</v>
      </c>
      <c r="Y47">
        <f t="shared" si="17"/>
        <v>90</v>
      </c>
      <c r="Z47">
        <f>SUM(S$4:S47)/A47</f>
        <v>391.63616042484006</v>
      </c>
      <c r="AA47">
        <f t="shared" si="18"/>
        <v>0</v>
      </c>
    </row>
    <row r="48" spans="1:27">
      <c r="A48" s="342">
        <f t="shared" si="0"/>
        <v>45</v>
      </c>
      <c r="B48" s="35" t="s">
        <v>576</v>
      </c>
      <c r="C48" s="36">
        <v>26</v>
      </c>
      <c r="D48" s="77">
        <f t="shared" si="6"/>
        <v>80000</v>
      </c>
      <c r="E48" s="35" t="s">
        <v>33</v>
      </c>
      <c r="F48" s="234">
        <v>5</v>
      </c>
      <c r="G48" s="257">
        <f t="shared" si="1"/>
        <v>104</v>
      </c>
      <c r="H48" s="36" t="s">
        <v>398</v>
      </c>
      <c r="I48" s="37">
        <v>3</v>
      </c>
      <c r="J48" s="35">
        <f t="shared" si="7"/>
        <v>40000</v>
      </c>
      <c r="K48" s="36">
        <v>2</v>
      </c>
      <c r="L48" s="37">
        <v>2</v>
      </c>
      <c r="M48" s="37" t="s">
        <v>370</v>
      </c>
      <c r="N48" s="48" t="s">
        <v>32</v>
      </c>
      <c r="O48" s="48" t="s">
        <v>32</v>
      </c>
      <c r="P48" s="35" t="s">
        <v>401</v>
      </c>
      <c r="R48" s="316">
        <f t="shared" si="11"/>
        <v>26</v>
      </c>
      <c r="S48" s="252">
        <f t="shared" si="12"/>
        <v>769.23076923076928</v>
      </c>
      <c r="T48" s="253" t="str">
        <f t="shared" si="13"/>
        <v>-</v>
      </c>
      <c r="U48" s="252">
        <f>VLOOKUP(R48,'Decoration Background'!$A$2:$B$501,2)*K48*L48+10*F48</f>
        <v>79742</v>
      </c>
      <c r="V48">
        <f t="shared" si="14"/>
        <v>4.807692307692308E-2</v>
      </c>
      <c r="W48">
        <f t="shared" si="15"/>
        <v>4.807692307692308E-2</v>
      </c>
      <c r="X48" s="242">
        <f t="shared" si="16"/>
        <v>1227.2727272727273</v>
      </c>
      <c r="Y48">
        <f t="shared" si="17"/>
        <v>90</v>
      </c>
      <c r="Z48">
        <f>SUM(S$4:S48)/A48</f>
        <v>400.02715173163847</v>
      </c>
      <c r="AA48">
        <f t="shared" si="18"/>
        <v>0</v>
      </c>
    </row>
    <row r="49" spans="1:27">
      <c r="A49" s="342">
        <f t="shared" si="0"/>
        <v>46</v>
      </c>
      <c r="B49" s="35" t="s">
        <v>577</v>
      </c>
      <c r="C49" s="36">
        <v>27</v>
      </c>
      <c r="D49" s="77">
        <f t="shared" si="6"/>
        <v>8999</v>
      </c>
      <c r="E49" s="35" t="s">
        <v>381</v>
      </c>
      <c r="F49" s="234">
        <v>5</v>
      </c>
      <c r="G49" s="257">
        <f t="shared" si="1"/>
        <v>260</v>
      </c>
      <c r="H49" s="36" t="s">
        <v>398</v>
      </c>
      <c r="I49" s="37">
        <v>4</v>
      </c>
      <c r="J49" s="35">
        <f t="shared" si="7"/>
        <v>222000</v>
      </c>
      <c r="K49" s="36">
        <v>2</v>
      </c>
      <c r="L49" s="37">
        <v>2</v>
      </c>
      <c r="M49" s="37" t="s">
        <v>370</v>
      </c>
      <c r="N49" s="48" t="s">
        <v>32</v>
      </c>
      <c r="O49" s="48" t="s">
        <v>32</v>
      </c>
      <c r="P49" s="35" t="s">
        <v>368</v>
      </c>
      <c r="R49" s="316">
        <v>65</v>
      </c>
      <c r="S49" s="252" t="str">
        <f t="shared" si="12"/>
        <v>-</v>
      </c>
      <c r="T49" s="253">
        <f t="shared" si="13"/>
        <v>34.611538461538458</v>
      </c>
      <c r="U49" s="252">
        <f>VLOOKUP(R49,'Decoration Background'!$A$2:$B$501,2)*K49*L49+10*F49</f>
        <v>443942</v>
      </c>
      <c r="V49">
        <f t="shared" si="14"/>
        <v>1.9230769230769232E-2</v>
      </c>
      <c r="W49">
        <f t="shared" si="15"/>
        <v>1.9230769230769232E-2</v>
      </c>
      <c r="X49" s="242">
        <f t="shared" si="16"/>
        <v>1227.2727272727273</v>
      </c>
      <c r="Y49">
        <f t="shared" si="17"/>
        <v>90</v>
      </c>
      <c r="Z49">
        <f>SUM(S$4:S49)/A49</f>
        <v>391.3309093026898</v>
      </c>
      <c r="AA49">
        <f t="shared" si="18"/>
        <v>0</v>
      </c>
    </row>
    <row r="50" spans="1:27">
      <c r="A50" s="342">
        <f t="shared" si="0"/>
        <v>47</v>
      </c>
      <c r="B50" s="35" t="s">
        <v>578</v>
      </c>
      <c r="C50" s="36">
        <v>30</v>
      </c>
      <c r="D50" s="77">
        <f t="shared" si="6"/>
        <v>109000</v>
      </c>
      <c r="E50" s="35" t="s">
        <v>33</v>
      </c>
      <c r="F50" s="234">
        <v>5</v>
      </c>
      <c r="G50" s="257">
        <f t="shared" si="1"/>
        <v>120</v>
      </c>
      <c r="H50" s="36" t="s">
        <v>398</v>
      </c>
      <c r="I50" s="37">
        <v>5</v>
      </c>
      <c r="J50" s="35">
        <f t="shared" si="7"/>
        <v>55000</v>
      </c>
      <c r="K50" s="36">
        <v>2</v>
      </c>
      <c r="L50" s="37">
        <v>2</v>
      </c>
      <c r="M50" s="37" t="s">
        <v>370</v>
      </c>
      <c r="N50" s="48" t="s">
        <v>32</v>
      </c>
      <c r="O50" s="48" t="s">
        <v>32</v>
      </c>
      <c r="P50" s="35" t="s">
        <v>371</v>
      </c>
      <c r="R50" s="316">
        <f t="shared" si="11"/>
        <v>30</v>
      </c>
      <c r="S50" s="252">
        <f t="shared" si="12"/>
        <v>908.33333333333337</v>
      </c>
      <c r="T50" s="253" t="str">
        <f t="shared" si="13"/>
        <v>-</v>
      </c>
      <c r="U50" s="252">
        <f>VLOOKUP(R50,'Decoration Background'!$A$2:$B$501,2)*K50*L50+10*F50</f>
        <v>109342</v>
      </c>
      <c r="V50">
        <f t="shared" si="14"/>
        <v>4.1666666666666664E-2</v>
      </c>
      <c r="W50">
        <f t="shared" si="15"/>
        <v>4.1666666666666664E-2</v>
      </c>
      <c r="X50" s="242">
        <f t="shared" si="16"/>
        <v>1227.2727272727273</v>
      </c>
      <c r="Y50">
        <f t="shared" si="17"/>
        <v>90</v>
      </c>
      <c r="Z50">
        <f>SUM(S$4:S50)/A50</f>
        <v>402.33096087780984</v>
      </c>
      <c r="AA50">
        <f t="shared" si="18"/>
        <v>0</v>
      </c>
    </row>
    <row r="51" spans="1:27">
      <c r="A51" s="342">
        <f t="shared" si="0"/>
        <v>48</v>
      </c>
      <c r="B51" s="35" t="s">
        <v>579</v>
      </c>
      <c r="C51" s="36">
        <v>19</v>
      </c>
      <c r="D51" s="77">
        <f t="shared" si="6"/>
        <v>7700</v>
      </c>
      <c r="E51" s="35" t="s">
        <v>33</v>
      </c>
      <c r="F51" s="234">
        <v>5</v>
      </c>
      <c r="G51" s="257">
        <f t="shared" si="1"/>
        <v>18</v>
      </c>
      <c r="H51" s="36" t="s">
        <v>398</v>
      </c>
      <c r="I51" s="37">
        <v>6</v>
      </c>
      <c r="J51" s="35">
        <f t="shared" si="7"/>
        <v>3900</v>
      </c>
      <c r="K51" s="36">
        <v>1</v>
      </c>
      <c r="L51" s="37">
        <v>1</v>
      </c>
      <c r="M51" s="37" t="s">
        <v>370</v>
      </c>
      <c r="N51" s="48" t="s">
        <v>32</v>
      </c>
      <c r="O51" s="48" t="s">
        <v>32</v>
      </c>
      <c r="P51" s="35" t="s">
        <v>371</v>
      </c>
      <c r="R51" s="316">
        <v>18</v>
      </c>
      <c r="S51" s="252">
        <f t="shared" si="12"/>
        <v>427.77777777777777</v>
      </c>
      <c r="T51" s="253" t="str">
        <f t="shared" si="13"/>
        <v>-</v>
      </c>
      <c r="U51" s="252">
        <f>VLOOKUP(R51,'Decoration Background'!$A$2:$B$501,2)*K51*L51+10*F51</f>
        <v>7717</v>
      </c>
      <c r="V51">
        <f t="shared" si="14"/>
        <v>0.27777777777777779</v>
      </c>
      <c r="W51">
        <f t="shared" si="15"/>
        <v>0.27777777777777779</v>
      </c>
      <c r="X51" s="242">
        <f t="shared" si="16"/>
        <v>1227.2727272727273</v>
      </c>
      <c r="Y51">
        <f t="shared" si="17"/>
        <v>90</v>
      </c>
      <c r="Z51">
        <f>SUM(S$4:S51)/A51</f>
        <v>402.8611028965592</v>
      </c>
      <c r="AA51">
        <f t="shared" si="18"/>
        <v>0</v>
      </c>
    </row>
    <row r="52" spans="1:27">
      <c r="A52" s="342">
        <f t="shared" si="0"/>
        <v>49</v>
      </c>
      <c r="B52" s="35" t="s">
        <v>580</v>
      </c>
      <c r="C52" s="36">
        <v>19</v>
      </c>
      <c r="D52" s="77">
        <f t="shared" si="6"/>
        <v>8800</v>
      </c>
      <c r="E52" s="35" t="s">
        <v>33</v>
      </c>
      <c r="F52" s="234">
        <v>5</v>
      </c>
      <c r="G52" s="257">
        <f t="shared" si="1"/>
        <v>19</v>
      </c>
      <c r="H52" s="36" t="s">
        <v>398</v>
      </c>
      <c r="I52" s="37">
        <v>7</v>
      </c>
      <c r="J52" s="35">
        <f t="shared" si="7"/>
        <v>4400</v>
      </c>
      <c r="K52" s="36">
        <v>1</v>
      </c>
      <c r="L52" s="37">
        <v>1</v>
      </c>
      <c r="M52" s="37" t="s">
        <v>370</v>
      </c>
      <c r="N52" s="48" t="s">
        <v>32</v>
      </c>
      <c r="O52" s="48" t="s">
        <v>32</v>
      </c>
      <c r="P52" s="35" t="s">
        <v>402</v>
      </c>
      <c r="R52" s="316">
        <f t="shared" si="11"/>
        <v>19</v>
      </c>
      <c r="S52" s="252">
        <f t="shared" si="12"/>
        <v>463.15789473684208</v>
      </c>
      <c r="T52" s="253" t="str">
        <f t="shared" si="13"/>
        <v>-</v>
      </c>
      <c r="U52" s="252">
        <f>VLOOKUP(R52,'Decoration Background'!$A$2:$B$501,2)*K52*L52+10*F52</f>
        <v>8768</v>
      </c>
      <c r="V52">
        <f t="shared" si="14"/>
        <v>0.26315789473684209</v>
      </c>
      <c r="W52">
        <f t="shared" si="15"/>
        <v>0.26315789473684209</v>
      </c>
      <c r="X52" s="242">
        <f t="shared" si="16"/>
        <v>1227.2727272727273</v>
      </c>
      <c r="Y52">
        <f t="shared" si="17"/>
        <v>90</v>
      </c>
      <c r="Z52">
        <f>SUM(S$4:S52)/A52</f>
        <v>404.09164966880991</v>
      </c>
      <c r="AA52">
        <f t="shared" si="18"/>
        <v>0</v>
      </c>
    </row>
    <row r="53" spans="1:27">
      <c r="A53" s="342">
        <f t="shared" si="0"/>
        <v>50</v>
      </c>
      <c r="B53" s="35" t="s">
        <v>581</v>
      </c>
      <c r="C53" s="36">
        <v>3</v>
      </c>
      <c r="D53" s="77">
        <f t="shared" si="6"/>
        <v>350</v>
      </c>
      <c r="E53" s="35" t="s">
        <v>33</v>
      </c>
      <c r="F53" s="234">
        <v>5</v>
      </c>
      <c r="G53" s="257">
        <f t="shared" si="1"/>
        <v>3</v>
      </c>
      <c r="H53" s="36" t="s">
        <v>398</v>
      </c>
      <c r="I53" s="37">
        <v>8</v>
      </c>
      <c r="J53" s="35">
        <f t="shared" si="7"/>
        <v>180</v>
      </c>
      <c r="K53" s="36">
        <v>1</v>
      </c>
      <c r="L53" s="37">
        <v>1</v>
      </c>
      <c r="M53" s="37" t="s">
        <v>370</v>
      </c>
      <c r="N53" s="48" t="s">
        <v>32</v>
      </c>
      <c r="O53" s="48" t="s">
        <v>32</v>
      </c>
      <c r="P53" s="35" t="s">
        <v>403</v>
      </c>
      <c r="R53" s="316">
        <f t="shared" si="11"/>
        <v>3</v>
      </c>
      <c r="S53" s="252">
        <f t="shared" si="12"/>
        <v>116.66666666666667</v>
      </c>
      <c r="T53" s="253" t="str">
        <f t="shared" si="13"/>
        <v>-</v>
      </c>
      <c r="U53" s="252">
        <f>VLOOKUP(R53,'Decoration Background'!$A$2:$B$501,2)*K53*L53+10*F53</f>
        <v>352</v>
      </c>
      <c r="V53">
        <f t="shared" si="14"/>
        <v>1.6666666666666667</v>
      </c>
      <c r="W53">
        <f t="shared" si="15"/>
        <v>1.6666666666666667</v>
      </c>
      <c r="X53" s="242">
        <f t="shared" si="16"/>
        <v>1227.2727272727273</v>
      </c>
      <c r="Y53">
        <f t="shared" si="17"/>
        <v>90</v>
      </c>
      <c r="Z53">
        <f>SUM(S$4:S53)/A53</f>
        <v>398.34315000876705</v>
      </c>
      <c r="AA53">
        <f t="shared" si="18"/>
        <v>0</v>
      </c>
    </row>
    <row r="54" spans="1:27">
      <c r="A54" s="342">
        <f t="shared" si="0"/>
        <v>51</v>
      </c>
      <c r="B54" s="35" t="s">
        <v>582</v>
      </c>
      <c r="C54" s="36">
        <v>10</v>
      </c>
      <c r="D54" s="77">
        <f t="shared" si="6"/>
        <v>7200</v>
      </c>
      <c r="E54" s="35" t="s">
        <v>33</v>
      </c>
      <c r="F54" s="234">
        <v>5</v>
      </c>
      <c r="G54" s="257">
        <f t="shared" si="1"/>
        <v>40</v>
      </c>
      <c r="H54" s="36" t="s">
        <v>398</v>
      </c>
      <c r="I54" s="37">
        <v>9</v>
      </c>
      <c r="J54" s="35">
        <f t="shared" si="7"/>
        <v>3600</v>
      </c>
      <c r="K54" s="36">
        <v>2</v>
      </c>
      <c r="L54" s="37">
        <v>2</v>
      </c>
      <c r="M54" s="37" t="s">
        <v>370</v>
      </c>
      <c r="N54" s="48" t="s">
        <v>32</v>
      </c>
      <c r="O54" s="48" t="s">
        <v>32</v>
      </c>
      <c r="P54" s="35" t="s">
        <v>380</v>
      </c>
      <c r="R54" s="316">
        <f t="shared" si="11"/>
        <v>10</v>
      </c>
      <c r="S54" s="252">
        <f t="shared" si="12"/>
        <v>180</v>
      </c>
      <c r="T54" s="253" t="str">
        <f t="shared" si="13"/>
        <v>-</v>
      </c>
      <c r="U54" s="252">
        <f>VLOOKUP(R54,'Decoration Background'!$A$2:$B$501,2)*K54*L54+10*F54</f>
        <v>7170</v>
      </c>
      <c r="V54">
        <f t="shared" si="14"/>
        <v>0.125</v>
      </c>
      <c r="W54">
        <f t="shared" si="15"/>
        <v>0.125</v>
      </c>
      <c r="X54" s="242">
        <f t="shared" si="16"/>
        <v>1227.2727272727273</v>
      </c>
      <c r="Y54">
        <f t="shared" si="17"/>
        <v>90</v>
      </c>
      <c r="Z54">
        <f>SUM(S$4:S54)/A54</f>
        <v>394.06191177330101</v>
      </c>
      <c r="AA54">
        <f t="shared" si="18"/>
        <v>0</v>
      </c>
    </row>
    <row r="55" spans="1:27">
      <c r="A55" s="342">
        <f t="shared" si="0"/>
        <v>52</v>
      </c>
      <c r="B55" s="35" t="s">
        <v>583</v>
      </c>
      <c r="C55" s="36">
        <v>16</v>
      </c>
      <c r="D55" s="77">
        <f t="shared" si="6"/>
        <v>53000</v>
      </c>
      <c r="E55" s="35" t="s">
        <v>33</v>
      </c>
      <c r="F55" s="234">
        <v>5</v>
      </c>
      <c r="G55" s="257">
        <f t="shared" si="1"/>
        <v>144</v>
      </c>
      <c r="H55" s="36" t="s">
        <v>398</v>
      </c>
      <c r="I55" s="37">
        <v>10</v>
      </c>
      <c r="J55" s="35">
        <f t="shared" si="7"/>
        <v>26500</v>
      </c>
      <c r="K55" s="36">
        <v>3</v>
      </c>
      <c r="L55" s="37">
        <v>3</v>
      </c>
      <c r="M55" s="37" t="s">
        <v>370</v>
      </c>
      <c r="N55" s="48" t="s">
        <v>32</v>
      </c>
      <c r="O55" s="48" t="s">
        <v>32</v>
      </c>
      <c r="P55" s="35" t="s">
        <v>404</v>
      </c>
      <c r="R55" s="316">
        <f t="shared" si="11"/>
        <v>16</v>
      </c>
      <c r="S55" s="252">
        <f t="shared" si="12"/>
        <v>368.05555555555554</v>
      </c>
      <c r="T55" s="253" t="str">
        <f t="shared" si="13"/>
        <v>-</v>
      </c>
      <c r="U55" s="252">
        <f>VLOOKUP(R55,'Decoration Background'!$A$2:$B$501,2)*K55*L55+10*F55</f>
        <v>52835</v>
      </c>
      <c r="V55">
        <f t="shared" si="14"/>
        <v>3.4722222222222224E-2</v>
      </c>
      <c r="W55">
        <f t="shared" si="15"/>
        <v>3.4722222222222224E-2</v>
      </c>
      <c r="X55" s="242">
        <f t="shared" si="16"/>
        <v>1227.2727272727273</v>
      </c>
      <c r="Y55">
        <f t="shared" si="17"/>
        <v>90</v>
      </c>
      <c r="Z55">
        <f>SUM(S$4:S55)/A55</f>
        <v>393.56178953834439</v>
      </c>
      <c r="AA55">
        <f t="shared" si="18"/>
        <v>0</v>
      </c>
    </row>
    <row r="56" spans="1:27">
      <c r="A56" s="342">
        <f t="shared" si="0"/>
        <v>53</v>
      </c>
      <c r="B56" s="255"/>
      <c r="C56" s="36">
        <v>999</v>
      </c>
      <c r="D56" s="77">
        <f t="shared" si="6"/>
        <v>1774000</v>
      </c>
      <c r="E56" s="35" t="s">
        <v>33</v>
      </c>
      <c r="F56" s="234">
        <v>1</v>
      </c>
      <c r="G56" s="257">
        <f t="shared" si="1"/>
        <v>999</v>
      </c>
      <c r="H56" s="36"/>
      <c r="I56" s="37"/>
      <c r="J56" s="35"/>
      <c r="K56" s="36">
        <v>1</v>
      </c>
      <c r="L56" s="37">
        <v>1</v>
      </c>
      <c r="M56" s="37" t="s">
        <v>370</v>
      </c>
      <c r="N56" s="48" t="s">
        <v>32</v>
      </c>
      <c r="O56" s="48" t="s">
        <v>32</v>
      </c>
      <c r="P56" s="35" t="s">
        <v>34</v>
      </c>
      <c r="R56" s="316">
        <f t="shared" si="11"/>
        <v>999</v>
      </c>
      <c r="S56" s="252">
        <f t="shared" si="12"/>
        <v>1775.7757757757759</v>
      </c>
      <c r="T56" s="253" t="str">
        <f t="shared" si="13"/>
        <v>-</v>
      </c>
      <c r="U56" s="252">
        <f>VLOOKUP(R56,'Decoration Background'!$A$2:$B$501,2)*K56*L56+10*F56</f>
        <v>1773683</v>
      </c>
      <c r="V56">
        <f t="shared" si="14"/>
        <v>1.001001001001001E-3</v>
      </c>
      <c r="W56">
        <f t="shared" si="15"/>
        <v>1.001001001001001E-3</v>
      </c>
      <c r="X56" s="242">
        <f t="shared" si="16"/>
        <v>1775.7757757757759</v>
      </c>
      <c r="Y56">
        <f t="shared" si="17"/>
        <v>90</v>
      </c>
      <c r="Z56">
        <f>SUM(S$4:S56)/A56</f>
        <v>419.64129871263549</v>
      </c>
      <c r="AA56">
        <f t="shared" si="18"/>
        <v>0</v>
      </c>
    </row>
    <row r="57" spans="1:27">
      <c r="A57" s="342">
        <f t="shared" si="0"/>
        <v>54</v>
      </c>
      <c r="B57" s="35"/>
      <c r="C57" s="36">
        <v>999</v>
      </c>
      <c r="D57" s="77">
        <f t="shared" si="6"/>
        <v>1774000</v>
      </c>
      <c r="E57" s="35" t="s">
        <v>33</v>
      </c>
      <c r="F57" s="234">
        <v>1</v>
      </c>
      <c r="G57" s="257">
        <f t="shared" si="1"/>
        <v>999</v>
      </c>
      <c r="H57" s="36"/>
      <c r="I57" s="37"/>
      <c r="J57" s="35"/>
      <c r="K57" s="36">
        <v>1</v>
      </c>
      <c r="L57" s="37">
        <v>1</v>
      </c>
      <c r="M57" s="37" t="s">
        <v>370</v>
      </c>
      <c r="N57" s="48" t="s">
        <v>32</v>
      </c>
      <c r="O57" s="48" t="s">
        <v>32</v>
      </c>
      <c r="P57" s="35" t="s">
        <v>34</v>
      </c>
      <c r="R57" s="316">
        <f t="shared" si="11"/>
        <v>999</v>
      </c>
      <c r="S57" s="252">
        <f t="shared" si="12"/>
        <v>1775.7757757757759</v>
      </c>
      <c r="T57" s="253" t="str">
        <f t="shared" si="13"/>
        <v>-</v>
      </c>
      <c r="U57" s="252">
        <f>VLOOKUP(R57,'Decoration Background'!$A$2:$B$501,2)*K57*L57+10*F57</f>
        <v>1773683</v>
      </c>
      <c r="V57">
        <f t="shared" si="14"/>
        <v>1.001001001001001E-3</v>
      </c>
      <c r="W57">
        <f t="shared" si="15"/>
        <v>1.001001001001001E-3</v>
      </c>
      <c r="X57" s="242">
        <f t="shared" si="16"/>
        <v>1775.7757757757759</v>
      </c>
      <c r="Y57">
        <f t="shared" si="17"/>
        <v>90</v>
      </c>
      <c r="Z57">
        <f>SUM(S$4:S57)/A57</f>
        <v>444.75490013973069</v>
      </c>
      <c r="AA57">
        <f t="shared" si="18"/>
        <v>0</v>
      </c>
    </row>
    <row r="58" spans="1:27">
      <c r="A58" s="342">
        <f t="shared" si="0"/>
        <v>55</v>
      </c>
      <c r="B58" s="35"/>
      <c r="C58" s="36">
        <v>999</v>
      </c>
      <c r="D58" s="77">
        <f t="shared" si="6"/>
        <v>1774000</v>
      </c>
      <c r="E58" s="35" t="s">
        <v>33</v>
      </c>
      <c r="F58" s="234">
        <v>1</v>
      </c>
      <c r="G58" s="257">
        <f t="shared" si="1"/>
        <v>999</v>
      </c>
      <c r="H58" s="36"/>
      <c r="I58" s="37"/>
      <c r="J58" s="35"/>
      <c r="K58" s="36">
        <v>1</v>
      </c>
      <c r="L58" s="37">
        <v>1</v>
      </c>
      <c r="M58" s="37" t="s">
        <v>370</v>
      </c>
      <c r="N58" s="48" t="s">
        <v>32</v>
      </c>
      <c r="O58" s="48" t="s">
        <v>32</v>
      </c>
      <c r="P58" s="35" t="s">
        <v>34</v>
      </c>
      <c r="R58" s="316">
        <f t="shared" si="11"/>
        <v>999</v>
      </c>
      <c r="S58" s="252">
        <f t="shared" si="12"/>
        <v>1775.7757757757759</v>
      </c>
      <c r="T58" s="253" t="str">
        <f t="shared" si="13"/>
        <v>-</v>
      </c>
      <c r="U58" s="252">
        <f>VLOOKUP(R58,'Decoration Background'!$A$2:$B$501,2)*K58*L58+10*F58</f>
        <v>1773683</v>
      </c>
      <c r="V58">
        <f t="shared" si="14"/>
        <v>1.001001001001001E-3</v>
      </c>
      <c r="W58">
        <f t="shared" si="15"/>
        <v>1.001001001001001E-3</v>
      </c>
      <c r="X58" s="242">
        <f t="shared" si="16"/>
        <v>1775.7757757757759</v>
      </c>
      <c r="Y58">
        <f t="shared" si="17"/>
        <v>90</v>
      </c>
      <c r="Z58">
        <f>SUM(S$4:S58)/A58</f>
        <v>468.9552796967497</v>
      </c>
      <c r="AA58">
        <f t="shared" si="18"/>
        <v>0</v>
      </c>
    </row>
  </sheetData>
  <sortState ref="B22:AA45">
    <sortCondition ref="B22"/>
  </sortState>
  <mergeCells count="5">
    <mergeCell ref="A2:B2"/>
    <mergeCell ref="C2:E2"/>
    <mergeCell ref="F2:G2"/>
    <mergeCell ref="K2:P2"/>
    <mergeCell ref="R2:T2"/>
  </mergeCells>
  <conditionalFormatting sqref="M4:O33 M46:O58">
    <cfRule type="cellIs" dxfId="80" priority="43" operator="equal">
      <formula>"false"</formula>
    </cfRule>
    <cfRule type="cellIs" dxfId="79" priority="44" operator="equal">
      <formula>"true"</formula>
    </cfRule>
  </conditionalFormatting>
  <conditionalFormatting sqref="E46:E58 E4:E44">
    <cfRule type="cellIs" dxfId="78" priority="37" operator="equal">
      <formula>"coins"</formula>
    </cfRule>
    <cfRule type="cellIs" dxfId="77" priority="38" operator="equal">
      <formula>"magicWands"</formula>
    </cfRule>
  </conditionalFormatting>
  <conditionalFormatting sqref="G4:G58">
    <cfRule type="expression" dxfId="46" priority="1">
      <formula>H4="Specials"</formula>
    </cfRule>
    <cfRule type="expression" dxfId="76" priority="33" stopIfTrue="1">
      <formula>E4="magicWands"</formula>
    </cfRule>
    <cfRule type="expression" dxfId="75" priority="34" stopIfTrue="1">
      <formula>AND($E4="coins",G4/(K4*L4)&lt;=C4)</formula>
    </cfRule>
    <cfRule type="expression" dxfId="74" priority="35" stopIfTrue="1">
      <formula>G4/(K4*L4)&lt;6</formula>
    </cfRule>
  </conditionalFormatting>
  <conditionalFormatting sqref="R46:R58 R4:R33">
    <cfRule type="expression" dxfId="73" priority="29" stopIfTrue="1">
      <formula>IF(OR(E4="magicWands",R4&lt;=5,R4&lt;=C4,H4="Specials"),TRUE)</formula>
    </cfRule>
    <cfRule type="cellIs" dxfId="72" priority="32" operator="greaterThan">
      <formula>C4</formula>
    </cfRule>
  </conditionalFormatting>
  <conditionalFormatting sqref="S4:S33 S46:S58">
    <cfRule type="colorScale" priority="108">
      <colorScale>
        <cfvo type="min"/>
        <cfvo type="percentile" val="50"/>
        <cfvo type="max"/>
        <color rgb="FFF8696B"/>
        <color rgb="FFFFEB84"/>
        <color rgb="FF63BE7B"/>
      </colorScale>
    </cfRule>
  </conditionalFormatting>
  <conditionalFormatting sqref="T4:T33 T46:T58">
    <cfRule type="colorScale" priority="110">
      <colorScale>
        <cfvo type="min"/>
        <cfvo type="percentile" val="50"/>
        <cfvo type="max"/>
        <color rgb="FFF8696B"/>
        <color rgb="FFFFEB84"/>
        <color rgb="FF63BE7B"/>
      </colorScale>
    </cfRule>
  </conditionalFormatting>
  <conditionalFormatting sqref="C4:C44 C46:C58">
    <cfRule type="cellIs" dxfId="71" priority="27" operator="equal">
      <formula>$C$1</formula>
    </cfRule>
  </conditionalFormatting>
  <conditionalFormatting sqref="F4:F58">
    <cfRule type="expression" dxfId="70" priority="26">
      <formula>IF(AND(F4&gt;0,H4="Path&amp;River"),TRUE)</formula>
    </cfRule>
  </conditionalFormatting>
  <conditionalFormatting sqref="B4:B58">
    <cfRule type="expression" dxfId="69" priority="15" stopIfTrue="1">
      <formula>IF(AND(H4="Decorations",E4="magicWands"),TRUE)</formula>
    </cfRule>
    <cfRule type="expression" dxfId="68" priority="16" stopIfTrue="1">
      <formula>IF(AND(H4="Decorations",E4="coins"),TRUE)</formula>
    </cfRule>
    <cfRule type="expression" dxfId="67" priority="17" stopIfTrue="1">
      <formula>IF(AND(H4="Nature",E4="magicWands"),TRUE)</formula>
    </cfRule>
    <cfRule type="expression" dxfId="66" priority="18" stopIfTrue="1">
      <formula>IF(AND(H4="Nature",E4="coins"),TRUE)</formula>
    </cfRule>
    <cfRule type="expression" dxfId="65" priority="19" stopIfTrue="1">
      <formula>IF(AND(H4="Path&amp;River",E4="magicWands"),TRUE)</formula>
    </cfRule>
    <cfRule type="expression" dxfId="64" priority="20" stopIfTrue="1">
      <formula>IF(AND(H4="Path&amp;River",E4="coins"),TRUE)</formula>
    </cfRule>
    <cfRule type="expression" dxfId="63" priority="21" stopIfTrue="1">
      <formula>IF(AND(H4="Buildings",E4="magicWands"),TRUE)</formula>
    </cfRule>
    <cfRule type="expression" dxfId="62" priority="22" stopIfTrue="1">
      <formula>IF(AND(H4="Buildings",E4="coins"),TRUE)</formula>
    </cfRule>
    <cfRule type="expression" dxfId="61" priority="23" stopIfTrue="1">
      <formula>IF(AND(H4="Specials",E4="magicWands"),TRUE)</formula>
    </cfRule>
    <cfRule type="expression" dxfId="60" priority="24" stopIfTrue="1">
      <formula>IF(AND(H4="Specials",E4="coins"),TRUE)</formula>
    </cfRule>
  </conditionalFormatting>
  <conditionalFormatting sqref="M34:O45">
    <cfRule type="cellIs" dxfId="57" priority="12" operator="equal">
      <formula>"false"</formula>
    </cfRule>
    <cfRule type="cellIs" dxfId="56" priority="13" operator="equal">
      <formula>"true"</formula>
    </cfRule>
  </conditionalFormatting>
  <conditionalFormatting sqref="R45 R34:R43">
    <cfRule type="expression" dxfId="54" priority="8" stopIfTrue="1">
      <formula>IF(OR(E34="magicWands",R34&lt;=5,R34&lt;=C34,H34="Specials"),TRUE)</formula>
    </cfRule>
    <cfRule type="cellIs" dxfId="53" priority="9" operator="greaterThan">
      <formula>C34</formula>
    </cfRule>
  </conditionalFormatting>
  <conditionalFormatting sqref="S34:S45">
    <cfRule type="colorScale" priority="10">
      <colorScale>
        <cfvo type="min"/>
        <cfvo type="percentile" val="50"/>
        <cfvo type="max"/>
        <color rgb="FFF8696B"/>
        <color rgb="FFFFEB84"/>
        <color rgb="FF63BE7B"/>
      </colorScale>
    </cfRule>
  </conditionalFormatting>
  <conditionalFormatting sqref="T34:T45">
    <cfRule type="colorScale" priority="11">
      <colorScale>
        <cfvo type="min"/>
        <cfvo type="percentile" val="50"/>
        <cfvo type="max"/>
        <color rgb="FFF8696B"/>
        <color rgb="FFFFEB84"/>
        <color rgb="FF63BE7B"/>
      </colorScale>
    </cfRule>
  </conditionalFormatting>
  <conditionalFormatting sqref="R44">
    <cfRule type="expression" dxfId="52" priority="6" stopIfTrue="1">
      <formula>IF(OR(E44="magicWands",R44&lt;=5,R44&lt;=C44,H44="Specials"),TRUE)</formula>
    </cfRule>
    <cfRule type="cellIs" dxfId="51" priority="7" operator="greaterThan">
      <formula>C44</formula>
    </cfRule>
  </conditionalFormatting>
  <conditionalFormatting sqref="E45">
    <cfRule type="cellIs" dxfId="50" priority="3" operator="equal">
      <formula>"coins"</formula>
    </cfRule>
    <cfRule type="cellIs" dxfId="49" priority="4" operator="equal">
      <formula>"magicWands"</formula>
    </cfRule>
  </conditionalFormatting>
  <conditionalFormatting sqref="C45">
    <cfRule type="cellIs" dxfId="48" priority="2" operator="equal">
      <formula>$C$1</formula>
    </cfRule>
  </conditionalFormatting>
  <pageMargins left="0.75" right="0.75" top="1" bottom="1" header="0.5" footer="0.5"/>
  <pageSetup paperSize="9" orientation="portrait"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notContainsText" priority="45" operator="notContains" id="{57E576E3-BC40-954C-9248-D4134EE5FFB5}">
            <xm:f>ISERROR(SEARCH(OR("false","true"),M4))</xm:f>
            <xm:f>OR("false","true")</xm:f>
            <x14:dxf>
              <font>
                <color auto="1"/>
              </font>
              <fill>
                <patternFill patternType="solid">
                  <fgColor indexed="64"/>
                  <bgColor theme="9" tint="-0.499984740745262"/>
                </patternFill>
              </fill>
            </x14:dxf>
          </x14:cfRule>
          <xm:sqref>M4:O33 M46:O58</xm:sqref>
        </x14:conditionalFormatting>
        <x14:conditionalFormatting xmlns:xm="http://schemas.microsoft.com/office/excel/2006/main">
          <x14:cfRule type="notContainsText" priority="39" operator="notContains" id="{41B030C3-654E-654A-8051-34A4A3F24361}">
            <xm:f>ISERROR(SEARCH(OR("coins","magicWands"),E4))</xm:f>
            <xm:f>OR("coins","magicWands")</xm:f>
            <x14:dxf>
              <font>
                <color auto="1"/>
              </font>
              <fill>
                <patternFill patternType="solid">
                  <fgColor indexed="64"/>
                  <bgColor theme="9" tint="-0.499984740745262"/>
                </patternFill>
              </fill>
            </x14:dxf>
          </x14:cfRule>
          <xm:sqref>E46:E58 E4:E44</xm:sqref>
        </x14:conditionalFormatting>
        <x14:conditionalFormatting xmlns:xm="http://schemas.microsoft.com/office/excel/2006/main">
          <x14:cfRule type="notContainsText" priority="14" operator="notContains" id="{49A0855E-5A6C-D747-97BE-8E3CBF706915}">
            <xm:f>ISERROR(SEARCH(OR("false","true"),M34))</xm:f>
            <xm:f>OR("false","true")</xm:f>
            <x14:dxf>
              <font>
                <color auto="1"/>
              </font>
              <fill>
                <patternFill patternType="solid">
                  <fgColor indexed="64"/>
                  <bgColor theme="9" tint="-0.499984740745262"/>
                </patternFill>
              </fill>
            </x14:dxf>
          </x14:cfRule>
          <xm:sqref>M34:O45</xm:sqref>
        </x14:conditionalFormatting>
        <x14:conditionalFormatting xmlns:xm="http://schemas.microsoft.com/office/excel/2006/main">
          <x14:cfRule type="notContainsText" priority="5" operator="notContains" id="{15EA87AB-39D8-6949-9E1F-AA2FCA297774}">
            <xm:f>ISERROR(SEARCH(OR("coins","magicWands"),E45))</xm:f>
            <xm:f>OR("coins","magicWands")</xm:f>
            <x14:dxf>
              <font>
                <color auto="1"/>
              </font>
              <fill>
                <patternFill patternType="solid">
                  <fgColor indexed="64"/>
                  <bgColor theme="9" tint="-0.499984740745262"/>
                </patternFill>
              </fill>
            </x14:dxf>
          </x14:cfRule>
          <xm:sqref>E45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1"/>
  <sheetViews>
    <sheetView workbookViewId="0">
      <selection activeCell="B4" sqref="B4:B501"/>
    </sheetView>
  </sheetViews>
  <sheetFormatPr baseColWidth="10" defaultRowHeight="15" x14ac:dyDescent="0"/>
  <cols>
    <col min="5" max="5" width="15.1640625" bestFit="1" customWidth="1"/>
    <col min="7" max="7" width="15.83203125" bestFit="1" customWidth="1"/>
    <col min="8" max="8" width="12.83203125" bestFit="1" customWidth="1"/>
    <col min="11" max="11" width="28.33203125" bestFit="1" customWidth="1"/>
  </cols>
  <sheetData>
    <row r="1" spans="1:11">
      <c r="A1" t="s">
        <v>473</v>
      </c>
      <c r="B1" t="s">
        <v>474</v>
      </c>
      <c r="C1" t="s">
        <v>475</v>
      </c>
      <c r="D1" t="s">
        <v>476</v>
      </c>
      <c r="E1" t="s">
        <v>477</v>
      </c>
      <c r="F1" t="s">
        <v>478</v>
      </c>
      <c r="G1" t="s">
        <v>479</v>
      </c>
      <c r="H1" t="s">
        <v>480</v>
      </c>
      <c r="I1" t="s">
        <v>481</v>
      </c>
      <c r="J1" t="s">
        <v>482</v>
      </c>
      <c r="K1" t="s">
        <v>483</v>
      </c>
    </row>
    <row r="2" spans="1:11">
      <c r="A2">
        <v>1</v>
      </c>
      <c r="B2">
        <v>80</v>
      </c>
      <c r="C2">
        <f t="shared" ref="C2:C33" si="0">ROUND(B2/2,0)</f>
        <v>40</v>
      </c>
      <c r="E2">
        <f t="shared" ref="E2:E33" si="1">ROUND(B2/A2,0)</f>
        <v>80</v>
      </c>
      <c r="F2">
        <v>60</v>
      </c>
      <c r="G2" s="272">
        <f t="shared" ref="G2:G33" si="2">B2/F2-1</f>
        <v>0.33333333333333326</v>
      </c>
      <c r="H2">
        <f>SUM(B$2:B2)*3</f>
        <v>240</v>
      </c>
      <c r="I2">
        <f>VLOOKUP(A2,Overview!A$4:L$202,12)</f>
        <v>851</v>
      </c>
      <c r="J2" s="158">
        <f>H2/I2-1</f>
        <v>-0.71797884841363102</v>
      </c>
      <c r="K2" t="str">
        <f>IF(J2&lt;-0.5,"Cheaper than it should be",IF(J2&gt;-0.3,"More expensive than it should be","about perfect"))</f>
        <v>Cheaper than it should be</v>
      </c>
    </row>
    <row r="3" spans="1:11">
      <c r="A3">
        <v>2</v>
      </c>
      <c r="B3">
        <v>180</v>
      </c>
      <c r="C3">
        <f t="shared" si="0"/>
        <v>90</v>
      </c>
      <c r="D3">
        <f>B3-B2</f>
        <v>100</v>
      </c>
      <c r="E3">
        <f t="shared" si="1"/>
        <v>90</v>
      </c>
      <c r="F3">
        <f>VLOOKUP(A3-1,Overview!$A$4:$K$202,11)/3*0.6</f>
        <v>170.20000000000002</v>
      </c>
      <c r="G3" s="272">
        <f t="shared" si="2"/>
        <v>5.7579318448883532E-2</v>
      </c>
      <c r="H3">
        <f>SUM(B$2:B3)*3</f>
        <v>780</v>
      </c>
      <c r="I3">
        <f>VLOOKUP(A3,Overview!A$4:L$202,12)</f>
        <v>2134</v>
      </c>
      <c r="J3" s="158">
        <f t="shared" ref="J3:J66" si="3">H3/I3-1</f>
        <v>-0.63448922211808811</v>
      </c>
      <c r="K3" t="str">
        <f t="shared" ref="K3:K66" si="4">IF(J3&lt;-0.5,"Cheaper than it should be",IF(J3&gt;-0.3,"More expensive than it should be","about perfect"))</f>
        <v>Cheaper than it should be</v>
      </c>
    </row>
    <row r="4" spans="1:11">
      <c r="A4">
        <v>3</v>
      </c>
      <c r="B4">
        <f>IF(J3&gt;-0.4,B3+ROUNDUP(E3/50,0)*50,ROUNDUP(MAX(MIN(VLOOKUP(A4,Overview!$A$4:$K$202,11)/3*0.6,IF(A4&gt;2,B3+MIN(MAX(A3*50,1850),(B3-B2)*1.22,(B3-B2)+150),999)),B3+(B3-B2)),0))</f>
        <v>302</v>
      </c>
      <c r="C4">
        <f t="shared" si="0"/>
        <v>151</v>
      </c>
      <c r="D4">
        <f t="shared" ref="D4:D67" si="5">B4-B3</f>
        <v>122</v>
      </c>
      <c r="E4">
        <f t="shared" si="1"/>
        <v>101</v>
      </c>
      <c r="F4">
        <f>VLOOKUP(A4-1,Overview!$A$4:$K$202,11)/3*0.6</f>
        <v>256.60000000000002</v>
      </c>
      <c r="G4" s="272">
        <f t="shared" si="2"/>
        <v>0.17692907248635992</v>
      </c>
      <c r="H4">
        <f>SUM(B$2:B4)*3</f>
        <v>1686</v>
      </c>
      <c r="I4">
        <f>VLOOKUP(A4,Overview!A$4:L$202,12)</f>
        <v>3767</v>
      </c>
      <c r="J4" s="158">
        <f t="shared" si="3"/>
        <v>-0.55242898858508105</v>
      </c>
      <c r="K4" t="str">
        <f t="shared" si="4"/>
        <v>Cheaper than it should be</v>
      </c>
    </row>
    <row r="5" spans="1:11">
      <c r="A5">
        <v>4</v>
      </c>
      <c r="B5">
        <f>IF(J4&gt;-0.4,B4+ROUNDUP(E4/50,0)*50,ROUNDUP(MAX(MIN(VLOOKUP(A5,Overview!$A$4:$K$202,11)/3*0.6,IF(A5&gt;2,B4+MIN(MAX(A4*50,1850),(B4-B3)*1.22,(B4-B3)+150),999)),B4+(B4-B3)),0))</f>
        <v>451</v>
      </c>
      <c r="C5">
        <f t="shared" si="0"/>
        <v>226</v>
      </c>
      <c r="D5">
        <f t="shared" si="5"/>
        <v>149</v>
      </c>
      <c r="E5">
        <f t="shared" si="1"/>
        <v>113</v>
      </c>
      <c r="F5">
        <f>VLOOKUP(A5-1,Overview!$A$4:$K$202,11)/3*0.6</f>
        <v>326.60000000000002</v>
      </c>
      <c r="G5" s="272">
        <f t="shared" si="2"/>
        <v>0.38089406001224724</v>
      </c>
      <c r="H5">
        <f>SUM(B$2:B5)*3</f>
        <v>3039</v>
      </c>
      <c r="I5">
        <f>VLOOKUP(A5,Overview!A$4:L$202,12)</f>
        <v>6057</v>
      </c>
      <c r="J5" s="158">
        <f t="shared" si="3"/>
        <v>-0.49826646854878653</v>
      </c>
      <c r="K5" t="str">
        <f t="shared" si="4"/>
        <v>about perfect</v>
      </c>
    </row>
    <row r="6" spans="1:11">
      <c r="A6">
        <v>5</v>
      </c>
      <c r="B6">
        <f>IF(J5&gt;-0.4,B5+ROUNDUP(E5/50,0)*50,ROUNDUP(MAX(MIN(VLOOKUP(A6,Overview!$A$4:$K$202,11)/3*0.6,IF(A6&gt;2,B5+MIN(MAX(A5*50,1850),(B5-B4)*1.22,(B5-B4)+150),999)),B5+(B5-B4)),0))</f>
        <v>600</v>
      </c>
      <c r="C6">
        <f t="shared" si="0"/>
        <v>300</v>
      </c>
      <c r="D6">
        <f t="shared" si="5"/>
        <v>149</v>
      </c>
      <c r="E6">
        <f t="shared" si="1"/>
        <v>120</v>
      </c>
      <c r="F6">
        <f>VLOOKUP(A6-1,Overview!$A$4:$K$202,11)/3*0.6</f>
        <v>458</v>
      </c>
      <c r="G6" s="272">
        <f t="shared" si="2"/>
        <v>0.31004366812227069</v>
      </c>
      <c r="H6">
        <f>SUM(B$2:B6)*3</f>
        <v>4839</v>
      </c>
      <c r="I6">
        <f>VLOOKUP(A6,Overview!A$4:L$202,12)</f>
        <v>8816</v>
      </c>
      <c r="J6" s="158">
        <f t="shared" si="3"/>
        <v>-0.45111161524500909</v>
      </c>
      <c r="K6" t="str">
        <f t="shared" si="4"/>
        <v>about perfect</v>
      </c>
    </row>
    <row r="7" spans="1:11">
      <c r="A7">
        <v>6</v>
      </c>
      <c r="B7">
        <f>IF(J6&gt;-0.4,B6+ROUNDUP(E6/50,0)*50,ROUNDUP(MAX(MIN(VLOOKUP(A7,Overview!$A$4:$K$202,11)/3*0.6,IF(A7&gt;2,B6+MIN(MAX(A6*50,1850),(B6-B5)*1.22,(B6-B5)+150),999)),B6+(B6-B5)),0))</f>
        <v>752</v>
      </c>
      <c r="C7">
        <f t="shared" si="0"/>
        <v>376</v>
      </c>
      <c r="D7">
        <f t="shared" si="5"/>
        <v>152</v>
      </c>
      <c r="E7">
        <f t="shared" si="1"/>
        <v>125</v>
      </c>
      <c r="F7">
        <f>VLOOKUP(A7-1,Overview!$A$4:$K$202,11)/3*0.6</f>
        <v>551.79999999999995</v>
      </c>
      <c r="G7" s="272">
        <f t="shared" si="2"/>
        <v>0.36281261326567615</v>
      </c>
      <c r="H7">
        <f>SUM(B$2:B7)*3</f>
        <v>7095</v>
      </c>
      <c r="I7">
        <f>VLOOKUP(A7,Overview!A$4:L$202,12)</f>
        <v>12574</v>
      </c>
      <c r="J7" s="158">
        <f t="shared" si="3"/>
        <v>-0.43574041673294095</v>
      </c>
      <c r="K7" t="str">
        <f t="shared" si="4"/>
        <v>about perfect</v>
      </c>
    </row>
    <row r="8" spans="1:11">
      <c r="A8">
        <v>7</v>
      </c>
      <c r="B8">
        <f>IF(J7&gt;-0.4,B7+ROUNDUP(E7/50,0)*50,ROUNDUP(MAX(MIN(VLOOKUP(A8,Overview!$A$4:$K$202,11)/3*0.6,IF(A8&gt;2,B7+MIN(MAX(A7*50,1850),(B7-B6)*1.22,(B7-B6)+150),999)),B7+(B7-B6)),0))</f>
        <v>938</v>
      </c>
      <c r="C8">
        <f t="shared" si="0"/>
        <v>469</v>
      </c>
      <c r="D8">
        <f t="shared" si="5"/>
        <v>186</v>
      </c>
      <c r="E8">
        <f t="shared" si="1"/>
        <v>134</v>
      </c>
      <c r="F8">
        <f>VLOOKUP(A8-1,Overview!$A$4:$K$202,11)/3*0.6</f>
        <v>751.6</v>
      </c>
      <c r="G8" s="272">
        <f t="shared" si="2"/>
        <v>0.24800425758382105</v>
      </c>
      <c r="H8">
        <f>SUM(B$2:B8)*3</f>
        <v>9909</v>
      </c>
      <c r="I8">
        <f>VLOOKUP(A8,Overview!A$4:L$202,12)</f>
        <v>17714</v>
      </c>
      <c r="J8" s="158">
        <f t="shared" si="3"/>
        <v>-0.44061194535395731</v>
      </c>
      <c r="K8" t="str">
        <f t="shared" si="4"/>
        <v>about perfect</v>
      </c>
    </row>
    <row r="9" spans="1:11">
      <c r="A9">
        <v>8</v>
      </c>
      <c r="B9">
        <f>IF(J8&gt;-0.4,B8+ROUNDUP(E8/50,0)*50,ROUNDUP(MAX(MIN(VLOOKUP(A9,Overview!$A$4:$K$202,11)/3*0.6,IF(A9&gt;2,B8+MIN(MAX(A8*50,1850),(B8-B7)*1.22,(B8-B7)+150),999)),B8+(B8-B7)),0))</f>
        <v>1165</v>
      </c>
      <c r="C9">
        <f t="shared" si="0"/>
        <v>583</v>
      </c>
      <c r="D9">
        <f t="shared" si="5"/>
        <v>227</v>
      </c>
      <c r="E9">
        <f t="shared" si="1"/>
        <v>146</v>
      </c>
      <c r="F9">
        <f>VLOOKUP(A9-1,Overview!$A$4:$K$202,11)/3*0.6</f>
        <v>1028</v>
      </c>
      <c r="G9" s="272">
        <f t="shared" si="2"/>
        <v>0.13326848249027234</v>
      </c>
      <c r="H9">
        <f>SUM(B$2:B9)*3</f>
        <v>13404</v>
      </c>
      <c r="I9">
        <f>VLOOKUP(A9,Overview!A$4:L$202,12)</f>
        <v>25697</v>
      </c>
      <c r="J9" s="158">
        <f t="shared" si="3"/>
        <v>-0.47838269058644978</v>
      </c>
      <c r="K9" t="str">
        <f t="shared" si="4"/>
        <v>about perfect</v>
      </c>
    </row>
    <row r="10" spans="1:11">
      <c r="A10">
        <v>9</v>
      </c>
      <c r="B10">
        <f>IF(J9&gt;-0.4,B9+ROUNDUP(E9/50,0)*50,ROUNDUP(MAX(MIN(VLOOKUP(A10,Overview!$A$4:$K$202,11)/3*0.6,IF(A10&gt;2,B9+MIN(MAX(A9*50,1850),(B9-B8)*1.22,(B9-B8)+150),999)),B9+(B9-B8)),0))</f>
        <v>1442</v>
      </c>
      <c r="C10">
        <f t="shared" si="0"/>
        <v>721</v>
      </c>
      <c r="D10">
        <f t="shared" si="5"/>
        <v>277</v>
      </c>
      <c r="E10">
        <f t="shared" si="1"/>
        <v>160</v>
      </c>
      <c r="F10">
        <f>VLOOKUP(A10-1,Overview!$A$4:$K$202,11)/3*0.6</f>
        <v>1596.6</v>
      </c>
      <c r="G10" s="272">
        <f t="shared" si="2"/>
        <v>-9.6830765376424877E-2</v>
      </c>
      <c r="H10">
        <f>SUM(B$2:B10)*3</f>
        <v>17730</v>
      </c>
      <c r="I10">
        <f>VLOOKUP(A10,Overview!A$4:L$202,12)</f>
        <v>34621</v>
      </c>
      <c r="J10" s="158">
        <f t="shared" si="3"/>
        <v>-0.48788307674532794</v>
      </c>
      <c r="K10" t="str">
        <f t="shared" si="4"/>
        <v>about perfect</v>
      </c>
    </row>
    <row r="11" spans="1:11">
      <c r="A11">
        <v>10</v>
      </c>
      <c r="B11">
        <f>IF(J10&gt;-0.4,B10+ROUNDUP(E10/50,0)*50,ROUNDUP(MAX(MIN(VLOOKUP(A11,Overview!$A$4:$K$202,11)/3*0.6,IF(A11&gt;2,B10+MIN(MAX(A10*50,1850),(B10-B9)*1.22,(B10-B9)+150),999)),B10+(B10-B9)),0))</f>
        <v>1780</v>
      </c>
      <c r="C11">
        <f t="shared" si="0"/>
        <v>890</v>
      </c>
      <c r="D11">
        <f t="shared" si="5"/>
        <v>338</v>
      </c>
      <c r="E11">
        <f t="shared" si="1"/>
        <v>178</v>
      </c>
      <c r="F11">
        <f>VLOOKUP(A11-1,Overview!$A$4:$K$202,11)/3*0.6</f>
        <v>1784.8</v>
      </c>
      <c r="G11" s="272">
        <f t="shared" si="2"/>
        <v>-2.6893769610040197E-3</v>
      </c>
      <c r="H11">
        <f>SUM(B$2:B11)*3</f>
        <v>23070</v>
      </c>
      <c r="I11">
        <f>VLOOKUP(A11,Overview!A$4:L$202,12)</f>
        <v>45101</v>
      </c>
      <c r="J11" s="158">
        <f t="shared" si="3"/>
        <v>-0.48848140839449239</v>
      </c>
      <c r="K11" t="str">
        <f t="shared" si="4"/>
        <v>about perfect</v>
      </c>
    </row>
    <row r="12" spans="1:11">
      <c r="A12">
        <v>11</v>
      </c>
      <c r="B12">
        <f>IF(J11&gt;-0.4,B11+ROUNDUP(E11/50,0)*50,ROUNDUP(MAX(MIN(VLOOKUP(A12,Overview!$A$4:$K$202,11)/3*0.6,IF(A12&gt;2,B11+MIN(MAX(A11*50,1850),(B11-B10)*1.22,(B11-B10)+150),999)),B11+(B11-B10)),0))</f>
        <v>2193</v>
      </c>
      <c r="C12">
        <f t="shared" si="0"/>
        <v>1097</v>
      </c>
      <c r="D12">
        <f t="shared" si="5"/>
        <v>413</v>
      </c>
      <c r="E12">
        <f t="shared" si="1"/>
        <v>199</v>
      </c>
      <c r="F12">
        <f>VLOOKUP(A12-1,Overview!$A$4:$K$202,11)/3*0.6</f>
        <v>2096</v>
      </c>
      <c r="G12" s="272">
        <f t="shared" si="2"/>
        <v>4.6278625954198516E-2</v>
      </c>
      <c r="H12">
        <f>SUM(B$2:B12)*3</f>
        <v>29649</v>
      </c>
      <c r="I12">
        <f>VLOOKUP(A12,Overview!A$4:L$202,12)</f>
        <v>57309</v>
      </c>
      <c r="J12" s="158">
        <f t="shared" si="3"/>
        <v>-0.48264670470606708</v>
      </c>
      <c r="K12" t="str">
        <f t="shared" si="4"/>
        <v>about perfect</v>
      </c>
    </row>
    <row r="13" spans="1:11">
      <c r="A13">
        <v>12</v>
      </c>
      <c r="B13">
        <f>IF(J12&gt;-0.4,B12+ROUNDUP(E12/50,0)*50,ROUNDUP(MAX(MIN(VLOOKUP(A13,Overview!$A$4:$K$202,11)/3*0.6,IF(A13&gt;2,B12+MIN(MAX(A12*50,1850),(B12-B11)*1.22,(B12-B11)+150),999)),B12+(B12-B11)),0))</f>
        <v>2697</v>
      </c>
      <c r="C13">
        <f t="shared" si="0"/>
        <v>1349</v>
      </c>
      <c r="D13">
        <f t="shared" si="5"/>
        <v>504</v>
      </c>
      <c r="E13">
        <f t="shared" si="1"/>
        <v>225</v>
      </c>
      <c r="F13">
        <f>VLOOKUP(A13-1,Overview!$A$4:$K$202,11)/3*0.6</f>
        <v>2441.6</v>
      </c>
      <c r="G13" s="272">
        <f t="shared" si="2"/>
        <v>0.10460353866317162</v>
      </c>
      <c r="H13">
        <f>SUM(B$2:B13)*3</f>
        <v>37740</v>
      </c>
      <c r="I13">
        <f>VLOOKUP(A13,Overview!A$4:L$202,12)</f>
        <v>73596</v>
      </c>
      <c r="J13" s="158">
        <f t="shared" si="3"/>
        <v>-0.48720039132561554</v>
      </c>
      <c r="K13" t="str">
        <f t="shared" si="4"/>
        <v>about perfect</v>
      </c>
    </row>
    <row r="14" spans="1:11">
      <c r="A14">
        <v>13</v>
      </c>
      <c r="B14">
        <f>IF(J13&gt;-0.4,B13+ROUNDUP(E13/50,0)*50,ROUNDUP(MAX(MIN(VLOOKUP(A14,Overview!$A$4:$K$202,11)/3*0.6,IF(A14&gt;2,B13+MIN(MAX(A13*50,1850),(B13-B12)*1.22,(B13-B12)+150),999)),B13+(B13-B12)),0))</f>
        <v>3312</v>
      </c>
      <c r="C14">
        <f t="shared" si="0"/>
        <v>1656</v>
      </c>
      <c r="D14">
        <f t="shared" si="5"/>
        <v>615</v>
      </c>
      <c r="E14">
        <f t="shared" si="1"/>
        <v>255</v>
      </c>
      <c r="F14">
        <f>VLOOKUP(A14-1,Overview!$A$4:$K$202,11)/3*0.6</f>
        <v>3257.4</v>
      </c>
      <c r="G14" s="272">
        <f t="shared" si="2"/>
        <v>1.6761834592005975E-2</v>
      </c>
      <c r="H14">
        <f>SUM(B$2:B14)*3</f>
        <v>47676</v>
      </c>
      <c r="I14">
        <f>VLOOKUP(A14,Overview!A$4:L$202,12)</f>
        <v>92010</v>
      </c>
      <c r="J14" s="158">
        <f t="shared" si="3"/>
        <v>-0.48183893055102711</v>
      </c>
      <c r="K14" t="str">
        <f t="shared" si="4"/>
        <v>about perfect</v>
      </c>
    </row>
    <row r="15" spans="1:11">
      <c r="A15">
        <v>14</v>
      </c>
      <c r="B15">
        <f>IF(J14&gt;-0.4,B14+ROUNDUP(E14/50,0)*50,ROUNDUP(MAX(MIN(VLOOKUP(A15,Overview!$A$4:$K$202,11)/3*0.6,IF(A15&gt;2,B14+MIN(MAX(A14*50,1850),(B14-B13)*1.22,(B14-B13)+150),999)),B14+(B14-B13)),0))</f>
        <v>4063</v>
      </c>
      <c r="C15">
        <f t="shared" si="0"/>
        <v>2032</v>
      </c>
      <c r="D15">
        <f t="shared" si="5"/>
        <v>751</v>
      </c>
      <c r="E15">
        <f t="shared" si="1"/>
        <v>290</v>
      </c>
      <c r="F15">
        <f>VLOOKUP(A15-1,Overview!$A$4:$K$202,11)/3*0.6</f>
        <v>3682.7999999999997</v>
      </c>
      <c r="G15" s="272">
        <f t="shared" si="2"/>
        <v>0.10323666775279694</v>
      </c>
      <c r="H15">
        <f>SUM(B$2:B15)*3</f>
        <v>59865</v>
      </c>
      <c r="I15">
        <f>VLOOKUP(A15,Overview!A$4:L$202,12)</f>
        <v>112333</v>
      </c>
      <c r="J15" s="158">
        <f t="shared" si="3"/>
        <v>-0.46707556995718091</v>
      </c>
      <c r="K15" t="str">
        <f t="shared" si="4"/>
        <v>about perfect</v>
      </c>
    </row>
    <row r="16" spans="1:11">
      <c r="A16">
        <v>15</v>
      </c>
      <c r="B16">
        <f>IF(J15&gt;-0.4,B15+ROUNDUP(E15/50,0)*50,ROUNDUP(MAX(MIN(VLOOKUP(A16,Overview!$A$4:$K$202,11)/3*0.6,IF(A16&gt;2,B15+MIN(MAX(A15*50,1850),(B15-B14)*1.22,(B15-B14)+150),999)),B15+(B15-B14)),0))</f>
        <v>4964</v>
      </c>
      <c r="C16">
        <f t="shared" si="0"/>
        <v>2482</v>
      </c>
      <c r="D16">
        <f t="shared" si="5"/>
        <v>901</v>
      </c>
      <c r="E16">
        <f t="shared" si="1"/>
        <v>331</v>
      </c>
      <c r="F16">
        <f>VLOOKUP(A16-1,Overview!$A$4:$K$202,11)/3*0.6</f>
        <v>4064.5999999999995</v>
      </c>
      <c r="G16" s="272">
        <f t="shared" si="2"/>
        <v>0.22127638636028157</v>
      </c>
      <c r="H16">
        <f>SUM(B$2:B16)*3</f>
        <v>74757</v>
      </c>
      <c r="I16">
        <f>VLOOKUP(A16,Overview!A$4:L$202,12)</f>
        <v>138368</v>
      </c>
      <c r="J16" s="158">
        <f t="shared" si="3"/>
        <v>-0.45972334643848289</v>
      </c>
      <c r="K16" t="str">
        <f t="shared" si="4"/>
        <v>about perfect</v>
      </c>
    </row>
    <row r="17" spans="1:11">
      <c r="A17">
        <v>16</v>
      </c>
      <c r="B17">
        <f>IF(J16&gt;-0.4,B16+ROUNDUP(E16/50,0)*50,ROUNDUP(MAX(MIN(VLOOKUP(A17,Overview!$A$4:$K$202,11)/3*0.6,IF(A17&gt;2,B16+MIN(MAX(A16*50,1850),(B16-B15)*1.22,(B16-B15)+150),999)),B16+(B16-B15)),0))</f>
        <v>5865</v>
      </c>
      <c r="C17">
        <f t="shared" si="0"/>
        <v>2933</v>
      </c>
      <c r="D17">
        <f t="shared" si="5"/>
        <v>901</v>
      </c>
      <c r="E17">
        <f t="shared" si="1"/>
        <v>367</v>
      </c>
      <c r="F17">
        <f>VLOOKUP(A17-1,Overview!$A$4:$K$202,11)/3*0.6</f>
        <v>5207</v>
      </c>
      <c r="G17" s="272">
        <f t="shared" si="2"/>
        <v>0.12636835029767624</v>
      </c>
      <c r="H17">
        <f>SUM(B$2:B17)*3</f>
        <v>92352</v>
      </c>
      <c r="I17">
        <f>VLOOKUP(A17,Overview!A$4:L$202,12)</f>
        <v>167016</v>
      </c>
      <c r="J17" s="158">
        <f t="shared" si="3"/>
        <v>-0.44704698950998711</v>
      </c>
      <c r="K17" t="str">
        <f t="shared" si="4"/>
        <v>about perfect</v>
      </c>
    </row>
    <row r="18" spans="1:11">
      <c r="A18">
        <v>17</v>
      </c>
      <c r="B18">
        <f>IF(J17&gt;-0.4,B17+ROUNDUP(E17/50,0)*50,ROUNDUP(MAX(MIN(VLOOKUP(A18,Overview!$A$4:$K$202,11)/3*0.6,IF(A18&gt;2,B17+MIN(MAX(A17*50,1850),(B17-B16)*1.22,(B17-B16)+150),999)),B17+(B17-B16)),0))</f>
        <v>6766</v>
      </c>
      <c r="C18">
        <f t="shared" si="0"/>
        <v>3383</v>
      </c>
      <c r="D18">
        <f t="shared" si="5"/>
        <v>901</v>
      </c>
      <c r="E18">
        <f t="shared" si="1"/>
        <v>398</v>
      </c>
      <c r="F18">
        <f>VLOOKUP(A18-1,Overview!$A$4:$K$202,11)/3*0.6</f>
        <v>5729.6</v>
      </c>
      <c r="G18" s="272">
        <f t="shared" si="2"/>
        <v>0.18088522759005854</v>
      </c>
      <c r="H18">
        <f>SUM(B$2:B18)*3</f>
        <v>112650</v>
      </c>
      <c r="I18">
        <f>VLOOKUP(A18,Overview!A$4:L$202,12)</f>
        <v>198886</v>
      </c>
      <c r="J18" s="158">
        <f t="shared" si="3"/>
        <v>-0.43359512484538887</v>
      </c>
      <c r="K18" t="str">
        <f t="shared" si="4"/>
        <v>about perfect</v>
      </c>
    </row>
    <row r="19" spans="1:11">
      <c r="A19">
        <v>18</v>
      </c>
      <c r="B19">
        <f>IF(J18&gt;-0.4,B18+ROUNDUP(E18/50,0)*50,ROUNDUP(MAX(MIN(VLOOKUP(A19,Overview!$A$4:$K$202,11)/3*0.6,IF(A19&gt;2,B18+MIN(MAX(A18*50,1850),(B18-B17)*1.22,(B18-B17)+150),999)),B18+(B18-B17)),0))</f>
        <v>7667</v>
      </c>
      <c r="C19">
        <f t="shared" si="0"/>
        <v>3834</v>
      </c>
      <c r="D19">
        <f t="shared" si="5"/>
        <v>901</v>
      </c>
      <c r="E19">
        <f t="shared" si="1"/>
        <v>426</v>
      </c>
      <c r="F19">
        <f>VLOOKUP(A19-1,Overview!$A$4:$K$202,11)/3*0.6</f>
        <v>6374</v>
      </c>
      <c r="G19" s="272">
        <f t="shared" si="2"/>
        <v>0.20285534985880127</v>
      </c>
      <c r="H19">
        <f>SUM(B$2:B19)*3</f>
        <v>135651</v>
      </c>
      <c r="I19">
        <f>VLOOKUP(A19,Overview!A$4:L$202,12)</f>
        <v>233959</v>
      </c>
      <c r="J19" s="158">
        <f t="shared" si="3"/>
        <v>-0.42019328172884995</v>
      </c>
      <c r="K19" t="str">
        <f t="shared" si="4"/>
        <v>about perfect</v>
      </c>
    </row>
    <row r="20" spans="1:11">
      <c r="A20">
        <v>19</v>
      </c>
      <c r="B20">
        <f>IF(J19&gt;-0.4,B19+ROUNDUP(E19/50,0)*50,ROUNDUP(MAX(MIN(VLOOKUP(A20,Overview!$A$4:$K$202,11)/3*0.6,IF(A20&gt;2,B19+MIN(MAX(A19*50,1850),(B19-B18)*1.22,(B19-B18)+150),999)),B19+(B19-B18)),0))</f>
        <v>8718</v>
      </c>
      <c r="C20">
        <f t="shared" si="0"/>
        <v>4359</v>
      </c>
      <c r="D20">
        <f t="shared" si="5"/>
        <v>1051</v>
      </c>
      <c r="E20">
        <f t="shared" si="1"/>
        <v>459</v>
      </c>
      <c r="F20">
        <f>VLOOKUP(A20-1,Overview!$A$4:$K$202,11)/3*0.6</f>
        <v>7014.5999999999995</v>
      </c>
      <c r="G20" s="272">
        <f t="shared" si="2"/>
        <v>0.24283636985715518</v>
      </c>
      <c r="H20">
        <f>SUM(B$2:B20)*3</f>
        <v>161805</v>
      </c>
      <c r="I20">
        <f>VLOOKUP(A20,Overview!A$4:L$202,12)</f>
        <v>280774</v>
      </c>
      <c r="J20" s="158">
        <f t="shared" si="3"/>
        <v>-0.42371800807767102</v>
      </c>
      <c r="K20" t="str">
        <f t="shared" si="4"/>
        <v>about perfect</v>
      </c>
    </row>
    <row r="21" spans="1:11">
      <c r="A21">
        <v>20</v>
      </c>
      <c r="B21">
        <f>IF(J20&gt;-0.4,B20+ROUNDUP(E20/50,0)*50,ROUNDUP(MAX(MIN(VLOOKUP(A21,Overview!$A$4:$K$202,11)/3*0.6,IF(A21&gt;2,B20+MIN(MAX(A20*50,1850),(B20-B19)*1.22,(B20-B19)+150),999)),B20+(B20-B19)),0))</f>
        <v>9919</v>
      </c>
      <c r="C21">
        <f t="shared" si="0"/>
        <v>4960</v>
      </c>
      <c r="D21">
        <f t="shared" si="5"/>
        <v>1201</v>
      </c>
      <c r="E21">
        <f t="shared" si="1"/>
        <v>496</v>
      </c>
      <c r="F21">
        <f>VLOOKUP(A21-1,Overview!$A$4:$K$202,11)/3*0.6</f>
        <v>9363</v>
      </c>
      <c r="G21" s="272">
        <f t="shared" si="2"/>
        <v>5.9382676492577113E-2</v>
      </c>
      <c r="H21">
        <f>SUM(B$2:B21)*3</f>
        <v>191562</v>
      </c>
      <c r="I21">
        <f>VLOOKUP(A21,Overview!A$4:L$202,12)</f>
        <v>331330</v>
      </c>
      <c r="J21" s="158">
        <f t="shared" si="3"/>
        <v>-0.42183925391603538</v>
      </c>
      <c r="K21" t="str">
        <f t="shared" si="4"/>
        <v>about perfect</v>
      </c>
    </row>
    <row r="22" spans="1:11">
      <c r="A22">
        <v>21</v>
      </c>
      <c r="B22">
        <f>IF(J21&gt;-0.4,B21+ROUNDUP(E21/50,0)*50,ROUNDUP(MAX(MIN(VLOOKUP(A22,Overview!$A$4:$K$202,11)/3*0.6,IF(A22&gt;2,B21+MIN(MAX(A21*50,1850),(B21-B20)*1.22,(B21-B20)+150),999)),B21+(B21-B20)),0))</f>
        <v>11270</v>
      </c>
      <c r="C22">
        <f t="shared" si="0"/>
        <v>5635</v>
      </c>
      <c r="D22">
        <f t="shared" si="5"/>
        <v>1351</v>
      </c>
      <c r="E22">
        <f t="shared" si="1"/>
        <v>537</v>
      </c>
      <c r="F22">
        <f>VLOOKUP(A22-1,Overview!$A$4:$K$202,11)/3*0.6</f>
        <v>10111.199999999999</v>
      </c>
      <c r="G22" s="272">
        <f t="shared" si="2"/>
        <v>0.11460558588495928</v>
      </c>
      <c r="H22">
        <f>SUM(B$2:B22)*3</f>
        <v>225372</v>
      </c>
      <c r="I22">
        <f>VLOOKUP(A22,Overview!A$4:L$202,12)</f>
        <v>387807</v>
      </c>
      <c r="J22" s="158">
        <f t="shared" si="3"/>
        <v>-0.4188552553203011</v>
      </c>
      <c r="K22" t="str">
        <f t="shared" si="4"/>
        <v>about perfect</v>
      </c>
    </row>
    <row r="23" spans="1:11">
      <c r="A23">
        <v>22</v>
      </c>
      <c r="B23">
        <f>IF(J22&gt;-0.4,B22+ROUNDUP(E22/50,0)*50,ROUNDUP(MAX(MIN(VLOOKUP(A23,Overview!$A$4:$K$202,11)/3*0.6,IF(A23&gt;2,B22+MIN(MAX(A22*50,1850),(B22-B21)*1.22,(B22-B21)+150),999)),B22+(B22-B21)),0))</f>
        <v>12771</v>
      </c>
      <c r="C23">
        <f t="shared" si="0"/>
        <v>6386</v>
      </c>
      <c r="D23">
        <f t="shared" si="5"/>
        <v>1501</v>
      </c>
      <c r="E23">
        <f t="shared" si="1"/>
        <v>581</v>
      </c>
      <c r="F23">
        <f>VLOOKUP(A23-1,Overview!$A$4:$K$202,11)/3*0.6</f>
        <v>11295.4</v>
      </c>
      <c r="G23" s="272">
        <f t="shared" si="2"/>
        <v>0.13063725056217579</v>
      </c>
      <c r="H23">
        <f>SUM(B$2:B23)*3</f>
        <v>263685</v>
      </c>
      <c r="I23">
        <f>VLOOKUP(A23,Overview!A$4:L$202,12)</f>
        <v>455210</v>
      </c>
      <c r="J23" s="158">
        <f t="shared" si="3"/>
        <v>-0.42073987829792847</v>
      </c>
      <c r="K23" t="str">
        <f t="shared" si="4"/>
        <v>about perfect</v>
      </c>
    </row>
    <row r="24" spans="1:11">
      <c r="A24">
        <v>23</v>
      </c>
      <c r="B24">
        <f>IF(J23&gt;-0.4,B23+ROUNDUP(E23/50,0)*50,ROUNDUP(MAX(MIN(VLOOKUP(A24,Overview!$A$4:$K$202,11)/3*0.6,IF(A24&gt;2,B23+MIN(MAX(A23*50,1850),(B23-B22)*1.22,(B23-B22)+150),999)),B23+(B23-B22)),0))</f>
        <v>14422</v>
      </c>
      <c r="C24">
        <f t="shared" si="0"/>
        <v>7211</v>
      </c>
      <c r="D24">
        <f t="shared" si="5"/>
        <v>1651</v>
      </c>
      <c r="E24">
        <f t="shared" si="1"/>
        <v>627</v>
      </c>
      <c r="F24">
        <f>VLOOKUP(A24-1,Overview!$A$4:$K$202,11)/3*0.6</f>
        <v>13480.6</v>
      </c>
      <c r="G24" s="272">
        <f t="shared" si="2"/>
        <v>6.98336869278815E-2</v>
      </c>
      <c r="H24">
        <f>SUM(B$2:B24)*3</f>
        <v>306951</v>
      </c>
      <c r="I24">
        <f>VLOOKUP(A24,Overview!A$4:L$202,12)</f>
        <v>531557</v>
      </c>
      <c r="J24" s="158">
        <f t="shared" si="3"/>
        <v>-0.4225435842252101</v>
      </c>
      <c r="K24" t="str">
        <f t="shared" si="4"/>
        <v>about perfect</v>
      </c>
    </row>
    <row r="25" spans="1:11">
      <c r="A25">
        <v>24</v>
      </c>
      <c r="B25">
        <f>IF(J24&gt;-0.4,B24+ROUNDUP(E24/50,0)*50,ROUNDUP(MAX(MIN(VLOOKUP(A25,Overview!$A$4:$K$202,11)/3*0.6,IF(A25&gt;2,B24+MIN(MAX(A24*50,1850),(B24-B23)*1.22,(B24-B23)+150),999)),B24+(B24-B23)),0))</f>
        <v>16223</v>
      </c>
      <c r="C25">
        <f t="shared" si="0"/>
        <v>8112</v>
      </c>
      <c r="D25">
        <f t="shared" si="5"/>
        <v>1801</v>
      </c>
      <c r="E25">
        <f t="shared" si="1"/>
        <v>676</v>
      </c>
      <c r="F25">
        <f>VLOOKUP(A25-1,Overview!$A$4:$K$202,11)/3*0.6</f>
        <v>15269.4</v>
      </c>
      <c r="G25" s="272">
        <f t="shared" si="2"/>
        <v>6.2451700787195419E-2</v>
      </c>
      <c r="H25">
        <f>SUM(B$2:B25)*3</f>
        <v>355620</v>
      </c>
      <c r="I25">
        <f>VLOOKUP(A25,Overview!A$4:L$202,12)</f>
        <v>613431</v>
      </c>
      <c r="J25" s="158">
        <f t="shared" si="3"/>
        <v>-0.42027709717963391</v>
      </c>
      <c r="K25" t="str">
        <f t="shared" si="4"/>
        <v>about perfect</v>
      </c>
    </row>
    <row r="26" spans="1:11">
      <c r="A26">
        <v>25</v>
      </c>
      <c r="B26">
        <f>IF(J25&gt;-0.4,B25+ROUNDUP(E25/50,0)*50,ROUNDUP(MAX(MIN(VLOOKUP(A26,Overview!$A$4:$K$202,11)/3*0.6,IF(A26&gt;2,B25+MIN(MAX(A25*50,1850),(B25-B24)*1.22,(B25-B24)+150),999)),B25+(B25-B24)),0))</f>
        <v>18073</v>
      </c>
      <c r="C26">
        <f t="shared" si="0"/>
        <v>9037</v>
      </c>
      <c r="D26">
        <f t="shared" si="5"/>
        <v>1850</v>
      </c>
      <c r="E26">
        <f t="shared" si="1"/>
        <v>723</v>
      </c>
      <c r="F26">
        <f>VLOOKUP(A26-1,Overview!$A$4:$K$202,11)/3*0.6</f>
        <v>16374.8</v>
      </c>
      <c r="G26" s="272">
        <f t="shared" si="2"/>
        <v>0.10370813689327507</v>
      </c>
      <c r="H26">
        <f>SUM(B$2:B26)*3</f>
        <v>409839</v>
      </c>
      <c r="I26">
        <f>VLOOKUP(A26,Overview!A$4:L$202,12)</f>
        <v>704336</v>
      </c>
      <c r="J26" s="158">
        <f t="shared" si="3"/>
        <v>-0.41812004497853295</v>
      </c>
      <c r="K26" t="str">
        <f t="shared" si="4"/>
        <v>about perfect</v>
      </c>
    </row>
    <row r="27" spans="1:11">
      <c r="A27">
        <v>26</v>
      </c>
      <c r="B27">
        <f>IF(J26&gt;-0.4,B26+ROUNDUP(E26/50,0)*50,ROUNDUP(MAX(MIN(VLOOKUP(A27,Overview!$A$4:$K$202,11)/3*0.6,IF(A27&gt;2,B26+MIN(MAX(A26*50,1850),(B26-B25)*1.22,(B26-B25)+150),999)),B26+(B26-B25)),0))</f>
        <v>19923</v>
      </c>
      <c r="C27">
        <f t="shared" si="0"/>
        <v>9962</v>
      </c>
      <c r="D27">
        <f t="shared" si="5"/>
        <v>1850</v>
      </c>
      <c r="E27">
        <f t="shared" si="1"/>
        <v>766</v>
      </c>
      <c r="F27">
        <f>VLOOKUP(A27-1,Overview!$A$4:$K$202,11)/3*0.6</f>
        <v>18181</v>
      </c>
      <c r="G27" s="272">
        <f t="shared" si="2"/>
        <v>9.5814311644023986E-2</v>
      </c>
      <c r="H27">
        <f>SUM(B$2:B27)*3</f>
        <v>469608</v>
      </c>
      <c r="I27">
        <f>VLOOKUP(A27,Overview!A$4:L$202,12)</f>
        <v>814685</v>
      </c>
      <c r="J27" s="158">
        <f t="shared" si="3"/>
        <v>-0.42357107348238887</v>
      </c>
      <c r="K27" t="str">
        <f t="shared" si="4"/>
        <v>about perfect</v>
      </c>
    </row>
    <row r="28" spans="1:11">
      <c r="A28">
        <v>27</v>
      </c>
      <c r="B28">
        <f>IF(J27&gt;-0.4,B27+ROUNDUP(E27/50,0)*50,ROUNDUP(MAX(MIN(VLOOKUP(A28,Overview!$A$4:$K$202,11)/3*0.6,IF(A28&gt;2,B27+MIN(MAX(A27*50,1850),(B27-B26)*1.22,(B27-B26)+150),999)),B27+(B27-B26)),0))</f>
        <v>21773</v>
      </c>
      <c r="C28">
        <f t="shared" si="0"/>
        <v>10887</v>
      </c>
      <c r="D28">
        <f t="shared" si="5"/>
        <v>1850</v>
      </c>
      <c r="E28">
        <f t="shared" si="1"/>
        <v>806</v>
      </c>
      <c r="F28">
        <f>VLOOKUP(A28-1,Overview!$A$4:$K$202,11)/3*0.6</f>
        <v>22069.8</v>
      </c>
      <c r="G28" s="272">
        <f t="shared" si="2"/>
        <v>-1.3448241488368651E-2</v>
      </c>
      <c r="H28">
        <f>SUM(B$2:B28)*3</f>
        <v>534927</v>
      </c>
      <c r="I28">
        <f>VLOOKUP(A28,Overview!A$4:L$202,12)</f>
        <v>937288</v>
      </c>
      <c r="J28" s="158">
        <f t="shared" si="3"/>
        <v>-0.42928214166830259</v>
      </c>
      <c r="K28" t="str">
        <f t="shared" si="4"/>
        <v>about perfect</v>
      </c>
    </row>
    <row r="29" spans="1:11">
      <c r="A29">
        <v>28</v>
      </c>
      <c r="B29">
        <f>IF(J28&gt;-0.4,B28+ROUNDUP(E28/50,0)*50,ROUNDUP(MAX(MIN(VLOOKUP(A29,Overview!$A$4:$K$202,11)/3*0.6,IF(A29&gt;2,B28+MIN(MAX(A28*50,1850),(B28-B27)*1.22,(B28-B27)+150),999)),B28+(B28-B27)),0))</f>
        <v>23623</v>
      </c>
      <c r="C29">
        <f t="shared" si="0"/>
        <v>11812</v>
      </c>
      <c r="D29">
        <f t="shared" si="5"/>
        <v>1850</v>
      </c>
      <c r="E29">
        <f t="shared" si="1"/>
        <v>844</v>
      </c>
      <c r="F29">
        <f>VLOOKUP(A29-1,Overview!$A$4:$K$202,11)/3*0.6</f>
        <v>24520.6</v>
      </c>
      <c r="G29" s="272">
        <f t="shared" si="2"/>
        <v>-3.6605955808585389E-2</v>
      </c>
      <c r="H29">
        <f>SUM(B$2:B29)*3</f>
        <v>605796</v>
      </c>
      <c r="I29">
        <f>VLOOKUP(A29,Overview!A$4:L$202,12)</f>
        <v>1073900</v>
      </c>
      <c r="J29" s="158">
        <f t="shared" si="3"/>
        <v>-0.4358916100195549</v>
      </c>
      <c r="K29" t="str">
        <f t="shared" si="4"/>
        <v>about perfect</v>
      </c>
    </row>
    <row r="30" spans="1:11">
      <c r="A30">
        <v>29</v>
      </c>
      <c r="B30">
        <f>IF(J29&gt;-0.4,B29+ROUNDUP(E29/50,0)*50,ROUNDUP(MAX(MIN(VLOOKUP(A30,Overview!$A$4:$K$202,11)/3*0.6,IF(A30&gt;2,B29+MIN(MAX(A29*50,1850),(B29-B28)*1.22,(B29-B28)+150),999)),B29+(B29-B28)),0))</f>
        <v>25473</v>
      </c>
      <c r="C30">
        <f t="shared" si="0"/>
        <v>12737</v>
      </c>
      <c r="D30">
        <f t="shared" si="5"/>
        <v>1850</v>
      </c>
      <c r="E30">
        <f t="shared" si="1"/>
        <v>878</v>
      </c>
      <c r="F30">
        <f>VLOOKUP(A30-1,Overview!$A$4:$K$202,11)/3*0.6</f>
        <v>27322.400000000001</v>
      </c>
      <c r="G30" s="272">
        <f t="shared" si="2"/>
        <v>-6.768805083008822E-2</v>
      </c>
      <c r="H30">
        <f>SUM(B$2:B30)*3</f>
        <v>682215</v>
      </c>
      <c r="I30">
        <f>VLOOKUP(A30,Overview!A$4:L$202,12)</f>
        <v>1238554</v>
      </c>
      <c r="J30" s="158">
        <f t="shared" si="3"/>
        <v>-0.44918429071320265</v>
      </c>
      <c r="K30" t="str">
        <f t="shared" si="4"/>
        <v>about perfect</v>
      </c>
    </row>
    <row r="31" spans="1:11">
      <c r="A31">
        <v>30</v>
      </c>
      <c r="B31">
        <f>IF(J30&gt;-0.4,B30+ROUNDUP(E30/50,0)*50,ROUNDUP(MAX(MIN(VLOOKUP(A31,Overview!$A$4:$K$202,11)/3*0.6,IF(A31&gt;2,B30+MIN(MAX(A30*50,1850),(B30-B29)*1.22,(B30-B29)+150),999)),B30+(B30-B29)),0))</f>
        <v>27323</v>
      </c>
      <c r="C31">
        <f t="shared" si="0"/>
        <v>13662</v>
      </c>
      <c r="D31">
        <f t="shared" si="5"/>
        <v>1850</v>
      </c>
      <c r="E31">
        <f t="shared" si="1"/>
        <v>911</v>
      </c>
      <c r="F31">
        <f>VLOOKUP(A31-1,Overview!$A$4:$K$202,11)/3*0.6</f>
        <v>32930.799999999996</v>
      </c>
      <c r="G31" s="272">
        <f t="shared" si="2"/>
        <v>-0.17029042719885323</v>
      </c>
      <c r="H31">
        <f>SUM(B$2:B31)*3</f>
        <v>764184</v>
      </c>
      <c r="I31">
        <f>VLOOKUP(A31,Overview!A$4:L$202,12)</f>
        <v>1420029</v>
      </c>
      <c r="J31" s="158">
        <f t="shared" si="3"/>
        <v>-0.46185324384220328</v>
      </c>
      <c r="K31" t="str">
        <f t="shared" si="4"/>
        <v>about perfect</v>
      </c>
    </row>
    <row r="32" spans="1:11">
      <c r="A32">
        <v>31</v>
      </c>
      <c r="B32">
        <f>IF(J31&gt;-0.4,B31+ROUNDUP(E31/50,0)*50,ROUNDUP(MAX(MIN(VLOOKUP(A32,Overview!$A$4:$K$202,11)/3*0.6,IF(A32&gt;2,B31+MIN(MAX(A31*50,1850),(B31-B30)*1.22,(B31-B30)+150),999)),B31+(B31-B30)),0))</f>
        <v>29173</v>
      </c>
      <c r="C32">
        <f t="shared" si="0"/>
        <v>14587</v>
      </c>
      <c r="D32">
        <f t="shared" si="5"/>
        <v>1850</v>
      </c>
      <c r="E32">
        <f t="shared" si="1"/>
        <v>941</v>
      </c>
      <c r="F32">
        <f>VLOOKUP(A32-1,Overview!$A$4:$K$202,11)/3*0.6</f>
        <v>36295</v>
      </c>
      <c r="G32" s="272">
        <f t="shared" si="2"/>
        <v>-0.19622537539606011</v>
      </c>
      <c r="H32">
        <f>SUM(B$2:B32)*3</f>
        <v>851703</v>
      </c>
      <c r="I32">
        <f>VLOOKUP(A32,Overview!A$4:L$202,12)</f>
        <v>1604310</v>
      </c>
      <c r="J32" s="158">
        <f t="shared" si="3"/>
        <v>-0.46911569459767755</v>
      </c>
      <c r="K32" t="str">
        <f t="shared" si="4"/>
        <v>about perfect</v>
      </c>
    </row>
    <row r="33" spans="1:11">
      <c r="A33">
        <v>32</v>
      </c>
      <c r="B33">
        <f>IF(J32&gt;-0.4,B32+ROUNDUP(E32/50,0)*50,ROUNDUP(MAX(MIN(VLOOKUP(A33,Overview!$A$4:$K$202,11)/3*0.6,IF(A33&gt;2,B32+MIN(MAX(A32*50,1850),(B32-B31)*1.22,(B32-B31)+150),999)),B32+(B32-B31)),0))</f>
        <v>31023</v>
      </c>
      <c r="C33">
        <f t="shared" si="0"/>
        <v>15512</v>
      </c>
      <c r="D33">
        <f t="shared" si="5"/>
        <v>1850</v>
      </c>
      <c r="E33">
        <f t="shared" si="1"/>
        <v>969</v>
      </c>
      <c r="F33">
        <f>VLOOKUP(A33-1,Overview!$A$4:$K$202,11)/3*0.6</f>
        <v>36856.199999999997</v>
      </c>
      <c r="G33" s="272">
        <f t="shared" si="2"/>
        <v>-0.15826916502515176</v>
      </c>
      <c r="H33">
        <f>SUM(B$2:B33)*3</f>
        <v>944772</v>
      </c>
      <c r="I33">
        <f>VLOOKUP(A33,Overview!A$4:L$202,12)</f>
        <v>1791383</v>
      </c>
      <c r="J33" s="158">
        <f t="shared" si="3"/>
        <v>-0.47260189473719472</v>
      </c>
      <c r="K33" t="str">
        <f t="shared" si="4"/>
        <v>about perfect</v>
      </c>
    </row>
    <row r="34" spans="1:11">
      <c r="A34">
        <v>33</v>
      </c>
      <c r="B34">
        <f>IF(J33&gt;-0.4,B33+ROUNDUP(E33/50,0)*50,ROUNDUP(MAX(MIN(VLOOKUP(A34,Overview!$A$4:$K$202,11)/3*0.6,IF(A34&gt;2,B33+MIN(MAX(A33*50,1850),(B33-B32)*1.22,(B33-B32)+150),999)),B33+(B33-B32)),0))</f>
        <v>32873</v>
      </c>
      <c r="C34">
        <f t="shared" ref="C34:C65" si="6">ROUND(B34/2,0)</f>
        <v>16437</v>
      </c>
      <c r="D34">
        <f t="shared" si="5"/>
        <v>1850</v>
      </c>
      <c r="E34">
        <f t="shared" ref="E34:E65" si="7">ROUND(B34/A34,0)</f>
        <v>996</v>
      </c>
      <c r="F34">
        <f>VLOOKUP(A34-1,Overview!$A$4:$K$202,11)/3*0.6</f>
        <v>37414.6</v>
      </c>
      <c r="G34" s="272">
        <f t="shared" ref="G34:G65" si="8">B34/F34-1</f>
        <v>-0.12138576919170585</v>
      </c>
      <c r="H34">
        <f>SUM(B$2:B34)*3</f>
        <v>1043391</v>
      </c>
      <c r="I34">
        <f>VLOOKUP(A34,Overview!A$4:L$202,12)</f>
        <v>1992842</v>
      </c>
      <c r="J34" s="158">
        <f t="shared" si="3"/>
        <v>-0.47643064527945522</v>
      </c>
      <c r="K34" t="str">
        <f t="shared" si="4"/>
        <v>about perfect</v>
      </c>
    </row>
    <row r="35" spans="1:11">
      <c r="A35">
        <v>34</v>
      </c>
      <c r="B35">
        <f>IF(J34&gt;-0.4,B34+ROUNDUP(E34/50,0)*50,ROUNDUP(MAX(MIN(VLOOKUP(A35,Overview!$A$4:$K$202,11)/3*0.6,IF(A35&gt;2,B34+MIN(MAX(A34*50,1850),(B34-B33)*1.22,(B34-B33)+150),999)),B34+(B34-B33)),0))</f>
        <v>34723</v>
      </c>
      <c r="C35">
        <f t="shared" si="6"/>
        <v>17362</v>
      </c>
      <c r="D35">
        <f t="shared" si="5"/>
        <v>1850</v>
      </c>
      <c r="E35">
        <f t="shared" si="7"/>
        <v>1021</v>
      </c>
      <c r="F35">
        <f>VLOOKUP(A35-1,Overview!$A$4:$K$202,11)/3*0.6</f>
        <v>40291.799999999996</v>
      </c>
      <c r="G35" s="272">
        <f t="shared" si="8"/>
        <v>-0.13821174531790581</v>
      </c>
      <c r="H35">
        <f>SUM(B$2:B35)*3</f>
        <v>1147560</v>
      </c>
      <c r="I35">
        <f>VLOOKUP(A35,Overview!A$4:L$202,12)</f>
        <v>2197099</v>
      </c>
      <c r="J35" s="158">
        <f t="shared" si="3"/>
        <v>-0.47769308529110432</v>
      </c>
      <c r="K35" t="str">
        <f t="shared" si="4"/>
        <v>about perfect</v>
      </c>
    </row>
    <row r="36" spans="1:11">
      <c r="A36">
        <v>35</v>
      </c>
      <c r="B36">
        <f>IF(J35&gt;-0.4,B35+ROUNDUP(E35/50,0)*50,ROUNDUP(MAX(MIN(VLOOKUP(A36,Overview!$A$4:$K$202,11)/3*0.6,IF(A36&gt;2,B35+MIN(MAX(A35*50,1850),(B35-B34)*1.22,(B35-B34)+150),999)),B35+(B35-B34)),0))</f>
        <v>36573</v>
      </c>
      <c r="C36">
        <f t="shared" si="6"/>
        <v>18287</v>
      </c>
      <c r="D36">
        <f t="shared" si="5"/>
        <v>1850</v>
      </c>
      <c r="E36">
        <f t="shared" si="7"/>
        <v>1045</v>
      </c>
      <c r="F36">
        <f>VLOOKUP(A36-1,Overview!$A$4:$K$202,11)/3*0.6</f>
        <v>40851.4</v>
      </c>
      <c r="G36" s="272">
        <f t="shared" si="8"/>
        <v>-0.10473080481941865</v>
      </c>
      <c r="H36">
        <f>SUM(B$2:B36)*3</f>
        <v>1257279</v>
      </c>
      <c r="I36">
        <f>VLOOKUP(A36,Overview!A$4:L$202,12)</f>
        <v>2404475</v>
      </c>
      <c r="J36" s="158">
        <f t="shared" si="3"/>
        <v>-0.47710872435770801</v>
      </c>
      <c r="K36" t="str">
        <f t="shared" si="4"/>
        <v>about perfect</v>
      </c>
    </row>
    <row r="37" spans="1:11">
      <c r="A37">
        <v>36</v>
      </c>
      <c r="B37">
        <f>IF(J36&gt;-0.4,B36+ROUNDUP(E36/50,0)*50,ROUNDUP(MAX(MIN(VLOOKUP(A37,Overview!$A$4:$K$202,11)/3*0.6,IF(A37&gt;2,B36+MIN(MAX(A36*50,1850),(B36-B35)*1.22,(B36-B35)+150),999)),B36+(B36-B35)),0))</f>
        <v>38423</v>
      </c>
      <c r="C37">
        <f t="shared" si="6"/>
        <v>19212</v>
      </c>
      <c r="D37">
        <f t="shared" si="5"/>
        <v>1850</v>
      </c>
      <c r="E37">
        <f t="shared" si="7"/>
        <v>1067</v>
      </c>
      <c r="F37">
        <f>VLOOKUP(A37-1,Overview!$A$4:$K$202,11)/3*0.6</f>
        <v>41475.199999999997</v>
      </c>
      <c r="G37" s="272">
        <f t="shared" si="8"/>
        <v>-7.3590965203302106E-2</v>
      </c>
      <c r="H37">
        <f>SUM(B$2:B37)*3</f>
        <v>1372548</v>
      </c>
      <c r="I37">
        <f>VLOOKUP(A37,Overview!A$4:L$202,12)</f>
        <v>2625924</v>
      </c>
      <c r="J37" s="158">
        <f t="shared" si="3"/>
        <v>-0.4773085588158682</v>
      </c>
      <c r="K37" t="str">
        <f t="shared" si="4"/>
        <v>about perfect</v>
      </c>
    </row>
    <row r="38" spans="1:11">
      <c r="A38">
        <v>37</v>
      </c>
      <c r="B38">
        <f>IF(J37&gt;-0.4,B37+ROUNDUP(E37/50,0)*50,ROUNDUP(MAX(MIN(VLOOKUP(A38,Overview!$A$4:$K$202,11)/3*0.6,IF(A38&gt;2,B37+MIN(MAX(A37*50,1850),(B37-B36)*1.22,(B37-B36)+150),999)),B37+(B37-B36)),0))</f>
        <v>40273</v>
      </c>
      <c r="C38">
        <f t="shared" si="6"/>
        <v>20137</v>
      </c>
      <c r="D38">
        <f t="shared" si="5"/>
        <v>1850</v>
      </c>
      <c r="E38">
        <f t="shared" si="7"/>
        <v>1088</v>
      </c>
      <c r="F38">
        <f>VLOOKUP(A38-1,Overview!$A$4:$K$202,11)/3*0.6</f>
        <v>44289.799999999996</v>
      </c>
      <c r="G38" s="272">
        <f t="shared" si="8"/>
        <v>-9.0693568270798108E-2</v>
      </c>
      <c r="H38">
        <f>SUM(B$2:B38)*3</f>
        <v>1493367</v>
      </c>
      <c r="I38">
        <f>VLOOKUP(A38,Overview!A$4:L$202,12)</f>
        <v>2850828</v>
      </c>
      <c r="J38" s="158">
        <f t="shared" si="3"/>
        <v>-0.47616376715817299</v>
      </c>
      <c r="K38" t="str">
        <f t="shared" si="4"/>
        <v>about perfect</v>
      </c>
    </row>
    <row r="39" spans="1:11">
      <c r="A39">
        <v>38</v>
      </c>
      <c r="B39">
        <f>IF(J38&gt;-0.4,B38+ROUNDUP(E38/50,0)*50,ROUNDUP(MAX(MIN(VLOOKUP(A39,Overview!$A$4:$K$202,11)/3*0.6,IF(A39&gt;2,B38+MIN(MAX(A38*50,1850),(B38-B37)*1.22,(B38-B37)+150),999)),B38+(B38-B37)),0))</f>
        <v>42123</v>
      </c>
      <c r="C39">
        <f t="shared" si="6"/>
        <v>21062</v>
      </c>
      <c r="D39">
        <f t="shared" si="5"/>
        <v>1850</v>
      </c>
      <c r="E39">
        <f t="shared" si="7"/>
        <v>1109</v>
      </c>
      <c r="F39">
        <f>VLOOKUP(A39-1,Overview!$A$4:$K$202,11)/3*0.6</f>
        <v>44980.799999999996</v>
      </c>
      <c r="G39" s="272">
        <f t="shared" si="8"/>
        <v>-6.3533774410414967E-2</v>
      </c>
      <c r="H39">
        <f>SUM(B$2:B39)*3</f>
        <v>1619736</v>
      </c>
      <c r="I39">
        <f>VLOOKUP(A39,Overview!A$4:L$202,12)</f>
        <v>3089789</v>
      </c>
      <c r="J39" s="158">
        <f t="shared" si="3"/>
        <v>-0.47577779583007129</v>
      </c>
      <c r="K39" t="str">
        <f t="shared" si="4"/>
        <v>about perfect</v>
      </c>
    </row>
    <row r="40" spans="1:11">
      <c r="A40">
        <v>39</v>
      </c>
      <c r="B40">
        <f>IF(J39&gt;-0.4,B39+ROUNDUP(E39/50,0)*50,ROUNDUP(MAX(MIN(VLOOKUP(A40,Overview!$A$4:$K$202,11)/3*0.6,IF(A40&gt;2,B39+MIN(MAX(A39*50,1850),(B39-B38)*1.22,(B39-B38)+150),999)),B39+(B39-B38)),0))</f>
        <v>44023</v>
      </c>
      <c r="C40">
        <f t="shared" si="6"/>
        <v>22012</v>
      </c>
      <c r="D40">
        <f t="shared" si="5"/>
        <v>1900</v>
      </c>
      <c r="E40">
        <f t="shared" si="7"/>
        <v>1129</v>
      </c>
      <c r="F40">
        <f>VLOOKUP(A40-1,Overview!$A$4:$K$202,11)/3*0.6</f>
        <v>47792.200000000004</v>
      </c>
      <c r="G40" s="272">
        <f t="shared" si="8"/>
        <v>-7.8866425902134774E-2</v>
      </c>
      <c r="H40">
        <f>SUM(B$2:B40)*3</f>
        <v>1751805</v>
      </c>
      <c r="I40">
        <f>VLOOKUP(A40,Overview!A$4:L$202,12)</f>
        <v>3343825</v>
      </c>
      <c r="J40" s="158">
        <f t="shared" si="3"/>
        <v>-0.47610745179547376</v>
      </c>
      <c r="K40" t="str">
        <f t="shared" si="4"/>
        <v>about perfect</v>
      </c>
    </row>
    <row r="41" spans="1:11">
      <c r="A41">
        <v>40</v>
      </c>
      <c r="B41">
        <f>IF(J40&gt;-0.4,B40+ROUNDUP(E40/50,0)*50,ROUNDUP(MAX(MIN(VLOOKUP(A41,Overview!$A$4:$K$202,11)/3*0.6,IF(A41&gt;2,B40+MIN(MAX(A40*50,1850),(B40-B39)*1.22,(B40-B39)+150),999)),B40+(B40-B39)),0))</f>
        <v>45973</v>
      </c>
      <c r="C41">
        <f t="shared" si="6"/>
        <v>22987</v>
      </c>
      <c r="D41">
        <f t="shared" si="5"/>
        <v>1950</v>
      </c>
      <c r="E41">
        <f t="shared" si="7"/>
        <v>1149</v>
      </c>
      <c r="F41">
        <f>VLOOKUP(A41-1,Overview!$A$4:$K$202,11)/3*0.6</f>
        <v>50807.200000000004</v>
      </c>
      <c r="G41" s="272">
        <f t="shared" si="8"/>
        <v>-9.5147931789195339E-2</v>
      </c>
      <c r="H41">
        <f>SUM(B$2:B41)*3</f>
        <v>1889724</v>
      </c>
      <c r="I41">
        <f>VLOOKUP(A41,Overview!A$4:L$202,12)</f>
        <v>3612037</v>
      </c>
      <c r="J41" s="158">
        <f t="shared" si="3"/>
        <v>-0.47682595720918697</v>
      </c>
      <c r="K41" t="str">
        <f t="shared" si="4"/>
        <v>about perfect</v>
      </c>
    </row>
    <row r="42" spans="1:11">
      <c r="A42">
        <v>41</v>
      </c>
      <c r="B42">
        <f>IF(J41&gt;-0.4,B41+ROUNDUP(E41/50,0)*50,ROUNDUP(MAX(MIN(VLOOKUP(A42,Overview!$A$4:$K$202,11)/3*0.6,IF(A42&gt;2,B41+MIN(MAX(A41*50,1850),(B41-B40)*1.22,(B41-B40)+150),999)),B41+(B41-B40)),0))</f>
        <v>47973</v>
      </c>
      <c r="C42">
        <f t="shared" si="6"/>
        <v>23987</v>
      </c>
      <c r="D42">
        <f t="shared" si="5"/>
        <v>2000</v>
      </c>
      <c r="E42">
        <f t="shared" si="7"/>
        <v>1170</v>
      </c>
      <c r="F42">
        <f>VLOOKUP(A42-1,Overview!$A$4:$K$202,11)/3*0.6</f>
        <v>53642.400000000001</v>
      </c>
      <c r="G42" s="272">
        <f t="shared" si="8"/>
        <v>-0.10568878349961974</v>
      </c>
      <c r="H42">
        <f>SUM(B$2:B42)*3</f>
        <v>2033643</v>
      </c>
      <c r="I42">
        <f>VLOOKUP(A42,Overview!A$4:L$202,12)</f>
        <v>3895374</v>
      </c>
      <c r="J42" s="158">
        <f t="shared" si="3"/>
        <v>-0.47793382612298585</v>
      </c>
      <c r="K42" t="str">
        <f t="shared" si="4"/>
        <v>about perfect</v>
      </c>
    </row>
    <row r="43" spans="1:11">
      <c r="A43">
        <v>42</v>
      </c>
      <c r="B43">
        <f>IF(J42&gt;-0.4,B42+ROUNDUP(E42/50,0)*50,ROUNDUP(MAX(MIN(VLOOKUP(A43,Overview!$A$4:$K$202,11)/3*0.6,IF(A43&gt;2,B42+MIN(MAX(A42*50,1850),(B42-B41)*1.22,(B42-B41)+150),999)),B42+(B42-B41)),0))</f>
        <v>50023</v>
      </c>
      <c r="C43">
        <f t="shared" si="6"/>
        <v>25012</v>
      </c>
      <c r="D43">
        <f t="shared" si="5"/>
        <v>2050</v>
      </c>
      <c r="E43">
        <f t="shared" si="7"/>
        <v>1191</v>
      </c>
      <c r="F43">
        <f>VLOOKUP(A43-1,Overview!$A$4:$K$202,11)/3*0.6</f>
        <v>56667.4</v>
      </c>
      <c r="G43" s="272">
        <f t="shared" si="8"/>
        <v>-0.11725260026046724</v>
      </c>
      <c r="H43">
        <f>SUM(B$2:B43)*3</f>
        <v>2183712</v>
      </c>
      <c r="I43">
        <f>VLOOKUP(A43,Overview!A$4:L$202,12)</f>
        <v>4192878</v>
      </c>
      <c r="J43" s="158">
        <f t="shared" si="3"/>
        <v>-0.47918541870285758</v>
      </c>
      <c r="K43" t="str">
        <f t="shared" si="4"/>
        <v>about perfect</v>
      </c>
    </row>
    <row r="44" spans="1:11">
      <c r="A44">
        <v>43</v>
      </c>
      <c r="B44">
        <f>IF(J43&gt;-0.4,B43+ROUNDUP(E43/50,0)*50,ROUNDUP(MAX(MIN(VLOOKUP(A44,Overview!$A$4:$K$202,11)/3*0.6,IF(A44&gt;2,B43+MIN(MAX(A43*50,1850),(B43-B42)*1.22,(B43-B42)+150),999)),B43+(B43-B42)),0))</f>
        <v>52123</v>
      </c>
      <c r="C44">
        <f t="shared" si="6"/>
        <v>26062</v>
      </c>
      <c r="D44">
        <f t="shared" si="5"/>
        <v>2100</v>
      </c>
      <c r="E44">
        <f t="shared" si="7"/>
        <v>1212</v>
      </c>
      <c r="F44">
        <f>VLOOKUP(A44-1,Overview!$A$4:$K$202,11)/3*0.6</f>
        <v>59500.799999999996</v>
      </c>
      <c r="G44" s="272">
        <f t="shared" si="8"/>
        <v>-0.12399497149618155</v>
      </c>
      <c r="H44">
        <f>SUM(B$2:B44)*3</f>
        <v>2340081</v>
      </c>
      <c r="I44">
        <f>VLOOKUP(A44,Overview!A$4:L$202,12)</f>
        <v>4502061</v>
      </c>
      <c r="J44" s="158">
        <f t="shared" si="3"/>
        <v>-0.48022005921288047</v>
      </c>
      <c r="K44" t="str">
        <f t="shared" si="4"/>
        <v>about perfect</v>
      </c>
    </row>
    <row r="45" spans="1:11">
      <c r="A45">
        <v>44</v>
      </c>
      <c r="B45">
        <f>IF(J44&gt;-0.4,B44+ROUNDUP(E44/50,0)*50,ROUNDUP(MAX(MIN(VLOOKUP(A45,Overview!$A$4:$K$202,11)/3*0.6,IF(A45&gt;2,B44+MIN(MAX(A44*50,1850),(B44-B43)*1.22,(B44-B43)+150),999)),B44+(B44-B43)),0))</f>
        <v>54273</v>
      </c>
      <c r="C45">
        <f t="shared" si="6"/>
        <v>27137</v>
      </c>
      <c r="D45">
        <f t="shared" si="5"/>
        <v>2150</v>
      </c>
      <c r="E45">
        <f t="shared" si="7"/>
        <v>1233</v>
      </c>
      <c r="F45">
        <f>VLOOKUP(A45-1,Overview!$A$4:$K$202,11)/3*0.6</f>
        <v>61836.6</v>
      </c>
      <c r="G45" s="272">
        <f t="shared" si="8"/>
        <v>-0.12231590999505149</v>
      </c>
      <c r="H45">
        <f>SUM(B$2:B45)*3</f>
        <v>2502900</v>
      </c>
      <c r="I45">
        <f>VLOOKUP(A45,Overview!A$4:L$202,12)</f>
        <v>4825298</v>
      </c>
      <c r="J45" s="158">
        <f t="shared" si="3"/>
        <v>-0.4812962847061466</v>
      </c>
      <c r="K45" t="str">
        <f t="shared" si="4"/>
        <v>about perfect</v>
      </c>
    </row>
    <row r="46" spans="1:11">
      <c r="A46">
        <v>45</v>
      </c>
      <c r="B46">
        <f>IF(J45&gt;-0.4,B45+ROUNDUP(E45/50,0)*50,ROUNDUP(MAX(MIN(VLOOKUP(A46,Overview!$A$4:$K$202,11)/3*0.6,IF(A46&gt;2,B45+MIN(MAX(A45*50,1850),(B45-B44)*1.22,(B45-B44)+150),999)),B45+(B45-B44)),0))</f>
        <v>56473</v>
      </c>
      <c r="C46">
        <f t="shared" si="6"/>
        <v>28237</v>
      </c>
      <c r="D46">
        <f t="shared" si="5"/>
        <v>2200</v>
      </c>
      <c r="E46">
        <f t="shared" si="7"/>
        <v>1255</v>
      </c>
      <c r="F46">
        <f>VLOOKUP(A46-1,Overview!$A$4:$K$202,11)/3*0.6</f>
        <v>64647.4</v>
      </c>
      <c r="G46" s="272">
        <f t="shared" si="8"/>
        <v>-0.126445920485588</v>
      </c>
      <c r="H46">
        <f>SUM(B$2:B46)*3</f>
        <v>2672319</v>
      </c>
      <c r="I46">
        <f>VLOOKUP(A46,Overview!A$4:L$202,12)</f>
        <v>5160136</v>
      </c>
      <c r="J46" s="158">
        <f t="shared" si="3"/>
        <v>-0.48212237041814399</v>
      </c>
      <c r="K46" t="str">
        <f t="shared" si="4"/>
        <v>about perfect</v>
      </c>
    </row>
    <row r="47" spans="1:11">
      <c r="A47">
        <v>46</v>
      </c>
      <c r="B47">
        <f>IF(J46&gt;-0.4,B46+ROUNDUP(E46/50,0)*50,ROUNDUP(MAX(MIN(VLOOKUP(A47,Overview!$A$4:$K$202,11)/3*0.6,IF(A47&gt;2,B46+MIN(MAX(A46*50,1850),(B46-B45)*1.22,(B46-B45)+150),999)),B46+(B46-B45)),0))</f>
        <v>58723</v>
      </c>
      <c r="C47">
        <f t="shared" si="6"/>
        <v>29362</v>
      </c>
      <c r="D47">
        <f t="shared" si="5"/>
        <v>2250</v>
      </c>
      <c r="E47">
        <f t="shared" si="7"/>
        <v>1277</v>
      </c>
      <c r="F47">
        <f>VLOOKUP(A47-1,Overview!$A$4:$K$202,11)/3*0.6</f>
        <v>66967.600000000006</v>
      </c>
      <c r="G47" s="272">
        <f t="shared" si="8"/>
        <v>-0.12311326671405287</v>
      </c>
      <c r="H47">
        <f>SUM(B$2:B47)*3</f>
        <v>2848488</v>
      </c>
      <c r="I47">
        <f>VLOOKUP(A47,Overview!A$4:L$202,12)</f>
        <v>5508925</v>
      </c>
      <c r="J47" s="158">
        <f t="shared" si="3"/>
        <v>-0.48293215100949827</v>
      </c>
      <c r="K47" t="str">
        <f t="shared" si="4"/>
        <v>about perfect</v>
      </c>
    </row>
    <row r="48" spans="1:11">
      <c r="A48">
        <v>47</v>
      </c>
      <c r="B48">
        <f>IF(J47&gt;-0.4,B47+ROUNDUP(E47/50,0)*50,ROUNDUP(MAX(MIN(VLOOKUP(A48,Overview!$A$4:$K$202,11)/3*0.6,IF(A48&gt;2,B47+MIN(MAX(A47*50,1850),(B47-B46)*1.22,(B47-B46)+150),999)),B47+(B47-B46)),0))</f>
        <v>61023</v>
      </c>
      <c r="C48">
        <f t="shared" si="6"/>
        <v>30512</v>
      </c>
      <c r="D48">
        <f t="shared" si="5"/>
        <v>2300</v>
      </c>
      <c r="E48">
        <f t="shared" si="7"/>
        <v>1298</v>
      </c>
      <c r="F48">
        <f>VLOOKUP(A48-1,Overview!$A$4:$K$202,11)/3*0.6</f>
        <v>69757.8</v>
      </c>
      <c r="G48" s="272">
        <f t="shared" si="8"/>
        <v>-0.12521610486569246</v>
      </c>
      <c r="H48">
        <f>SUM(B$2:B48)*3</f>
        <v>3031557</v>
      </c>
      <c r="I48">
        <f>VLOOKUP(A48,Overview!A$4:L$202,12)</f>
        <v>5869787</v>
      </c>
      <c r="J48" s="158">
        <f t="shared" si="3"/>
        <v>-0.48353202594915279</v>
      </c>
      <c r="K48" t="str">
        <f t="shared" si="4"/>
        <v>about perfect</v>
      </c>
    </row>
    <row r="49" spans="1:11">
      <c r="A49">
        <v>48</v>
      </c>
      <c r="B49">
        <f>IF(J48&gt;-0.4,B48+ROUNDUP(E48/50,0)*50,ROUNDUP(MAX(MIN(VLOOKUP(A49,Overview!$A$4:$K$202,11)/3*0.6,IF(A49&gt;2,B48+MIN(MAX(A48*50,1850),(B48-B47)*1.22,(B48-B47)+150),999)),B48+(B48-B47)),0))</f>
        <v>63373</v>
      </c>
      <c r="C49">
        <f t="shared" si="6"/>
        <v>31687</v>
      </c>
      <c r="D49">
        <f t="shared" si="5"/>
        <v>2350</v>
      </c>
      <c r="E49">
        <f t="shared" si="7"/>
        <v>1320</v>
      </c>
      <c r="F49">
        <f>VLOOKUP(A49-1,Overview!$A$4:$K$202,11)/3*0.6</f>
        <v>72172.399999999994</v>
      </c>
      <c r="G49" s="272">
        <f t="shared" si="8"/>
        <v>-0.12192195354456825</v>
      </c>
      <c r="H49">
        <f>SUM(B$2:B49)*3</f>
        <v>3221676</v>
      </c>
      <c r="I49">
        <f>VLOOKUP(A49,Overview!A$4:L$202,12)</f>
        <v>6244529</v>
      </c>
      <c r="J49" s="158">
        <f t="shared" si="3"/>
        <v>-0.48408022446528798</v>
      </c>
      <c r="K49" t="str">
        <f t="shared" si="4"/>
        <v>about perfect</v>
      </c>
    </row>
    <row r="50" spans="1:11">
      <c r="A50">
        <v>49</v>
      </c>
      <c r="B50">
        <f>IF(J49&gt;-0.4,B49+ROUNDUP(E49/50,0)*50,ROUNDUP(MAX(MIN(VLOOKUP(A50,Overview!$A$4:$K$202,11)/3*0.6,IF(A50&gt;2,B49+MIN(MAX(A49*50,1850),(B49-B48)*1.22,(B49-B48)+150),999)),B49+(B49-B48)),0))</f>
        <v>65773</v>
      </c>
      <c r="C50">
        <f t="shared" si="6"/>
        <v>32887</v>
      </c>
      <c r="D50">
        <f t="shared" si="5"/>
        <v>2400</v>
      </c>
      <c r="E50">
        <f t="shared" si="7"/>
        <v>1342</v>
      </c>
      <c r="F50">
        <f>VLOOKUP(A50-1,Overview!$A$4:$K$202,11)/3*0.6</f>
        <v>74948.399999999994</v>
      </c>
      <c r="G50" s="272">
        <f t="shared" si="8"/>
        <v>-0.12242289361747538</v>
      </c>
      <c r="H50">
        <f>SUM(B$2:B50)*3</f>
        <v>3418995</v>
      </c>
      <c r="I50">
        <f>VLOOKUP(A50,Overview!A$4:L$202,12)</f>
        <v>6631709</v>
      </c>
      <c r="J50" s="158">
        <f t="shared" si="3"/>
        <v>-0.4844473724646241</v>
      </c>
      <c r="K50" t="str">
        <f t="shared" si="4"/>
        <v>about perfect</v>
      </c>
    </row>
    <row r="51" spans="1:11">
      <c r="A51">
        <v>50</v>
      </c>
      <c r="B51">
        <f>IF(J50&gt;-0.4,B50+ROUNDUP(E50/50,0)*50,ROUNDUP(MAX(MIN(VLOOKUP(A51,Overview!$A$4:$K$202,11)/3*0.6,IF(A51&gt;2,B50+MIN(MAX(A50*50,1850),(B50-B49)*1.22,(B50-B49)+150),999)),B50+(B50-B49)),0))</f>
        <v>68223</v>
      </c>
      <c r="C51">
        <f t="shared" si="6"/>
        <v>34112</v>
      </c>
      <c r="D51">
        <f t="shared" si="5"/>
        <v>2450</v>
      </c>
      <c r="E51">
        <f t="shared" si="7"/>
        <v>1364</v>
      </c>
      <c r="F51">
        <f>VLOOKUP(A51-1,Overview!$A$4:$K$202,11)/3*0.6</f>
        <v>77436</v>
      </c>
      <c r="G51" s="272">
        <f t="shared" si="8"/>
        <v>-0.11897567023090039</v>
      </c>
      <c r="H51">
        <f>SUM(B$2:B51)*3</f>
        <v>3623664</v>
      </c>
      <c r="I51">
        <f>VLOOKUP(A51,Overview!A$4:L$202,12)</f>
        <v>7032777</v>
      </c>
      <c r="J51" s="158">
        <f t="shared" si="3"/>
        <v>-0.48474635268543276</v>
      </c>
      <c r="K51" t="str">
        <f t="shared" si="4"/>
        <v>about perfect</v>
      </c>
    </row>
    <row r="52" spans="1:11">
      <c r="A52">
        <v>51</v>
      </c>
      <c r="B52">
        <f>IF(J51&gt;-0.4,B51+ROUNDUP(E51/50,0)*50,ROUNDUP(MAX(MIN(VLOOKUP(A52,Overview!$A$4:$K$202,11)/3*0.6,IF(A52&gt;2,B51+MIN(MAX(A51*50,1850),(B51-B50)*1.22,(B51-B50)+150),999)),B51+(B51-B50)),0))</f>
        <v>70723</v>
      </c>
      <c r="C52">
        <f t="shared" si="6"/>
        <v>35362</v>
      </c>
      <c r="D52">
        <f t="shared" si="5"/>
        <v>2500</v>
      </c>
      <c r="E52">
        <f t="shared" si="7"/>
        <v>1387</v>
      </c>
      <c r="F52">
        <f>VLOOKUP(A52-1,Overview!$A$4:$K$202,11)/3*0.6</f>
        <v>80213.600000000006</v>
      </c>
      <c r="G52" s="272">
        <f t="shared" si="8"/>
        <v>-0.11831659469217193</v>
      </c>
      <c r="H52">
        <f>SUM(B$2:B52)*3</f>
        <v>3835833</v>
      </c>
      <c r="I52">
        <f>VLOOKUP(A52,Overview!A$4:L$202,12)</f>
        <v>7446286</v>
      </c>
      <c r="J52" s="158">
        <f t="shared" si="3"/>
        <v>-0.48486628098893869</v>
      </c>
      <c r="K52" t="str">
        <f t="shared" si="4"/>
        <v>about perfect</v>
      </c>
    </row>
    <row r="53" spans="1:11">
      <c r="A53">
        <v>52</v>
      </c>
      <c r="B53">
        <f>IF(J52&gt;-0.4,B52+ROUNDUP(E52/50,0)*50,ROUNDUP(MAX(MIN(VLOOKUP(A53,Overview!$A$4:$K$202,11)/3*0.6,IF(A53&gt;2,B52+MIN(MAX(A52*50,1850),(B52-B51)*1.22,(B52-B51)+150),999)),B52+(B52-B51)),0))</f>
        <v>73273</v>
      </c>
      <c r="C53">
        <f t="shared" si="6"/>
        <v>36637</v>
      </c>
      <c r="D53">
        <f t="shared" si="5"/>
        <v>2550</v>
      </c>
      <c r="E53">
        <f t="shared" si="7"/>
        <v>1409</v>
      </c>
      <c r="F53">
        <f>VLOOKUP(A53-1,Overview!$A$4:$K$202,11)/3*0.6</f>
        <v>82701.8</v>
      </c>
      <c r="G53" s="272">
        <f t="shared" si="8"/>
        <v>-0.11400961043169555</v>
      </c>
      <c r="H53">
        <f>SUM(B$2:B53)*3</f>
        <v>4055652</v>
      </c>
      <c r="I53">
        <f>VLOOKUP(A53,Overview!A$4:L$202,12)</f>
        <v>7873578</v>
      </c>
      <c r="J53" s="158">
        <f t="shared" si="3"/>
        <v>-0.48490355972849952</v>
      </c>
      <c r="K53" t="str">
        <f t="shared" si="4"/>
        <v>about perfect</v>
      </c>
    </row>
    <row r="54" spans="1:11">
      <c r="A54">
        <v>53</v>
      </c>
      <c r="B54">
        <f>IF(J53&gt;-0.4,B53+ROUNDUP(E53/50,0)*50,ROUNDUP(MAX(MIN(VLOOKUP(A54,Overview!$A$4:$K$202,11)/3*0.6,IF(A54&gt;2,B53+MIN(MAX(A53*50,1850),(B53-B52)*1.22,(B53-B52)+150),999)),B53+(B53-B52)),0))</f>
        <v>75873</v>
      </c>
      <c r="C54">
        <f t="shared" si="6"/>
        <v>37937</v>
      </c>
      <c r="D54">
        <f t="shared" si="5"/>
        <v>2600</v>
      </c>
      <c r="E54">
        <f t="shared" si="7"/>
        <v>1432</v>
      </c>
      <c r="F54">
        <f>VLOOKUP(A54-1,Overview!$A$4:$K$202,11)/3*0.6</f>
        <v>85458.4</v>
      </c>
      <c r="G54" s="272">
        <f t="shared" si="8"/>
        <v>-0.1121645151325088</v>
      </c>
      <c r="H54">
        <f>SUM(B$2:B54)*3</f>
        <v>4283271</v>
      </c>
      <c r="I54">
        <f>VLOOKUP(A54,Overview!A$4:L$202,12)</f>
        <v>8313756</v>
      </c>
      <c r="J54" s="158">
        <f t="shared" si="3"/>
        <v>-0.48479712418791221</v>
      </c>
      <c r="K54" t="str">
        <f t="shared" si="4"/>
        <v>about perfect</v>
      </c>
    </row>
    <row r="55" spans="1:11">
      <c r="A55">
        <v>54</v>
      </c>
      <c r="B55">
        <f>IF(J54&gt;-0.4,B54+ROUNDUP(E54/50,0)*50,ROUNDUP(MAX(MIN(VLOOKUP(A55,Overview!$A$4:$K$202,11)/3*0.6,IF(A55&gt;2,B54+MIN(MAX(A54*50,1850),(B54-B53)*1.22,(B54-B53)+150),999)),B54+(B54-B53)),0))</f>
        <v>78523</v>
      </c>
      <c r="C55">
        <f t="shared" si="6"/>
        <v>39262</v>
      </c>
      <c r="D55">
        <f t="shared" si="5"/>
        <v>2650</v>
      </c>
      <c r="E55">
        <f t="shared" si="7"/>
        <v>1454</v>
      </c>
      <c r="F55">
        <f>VLOOKUP(A55-1,Overview!$A$4:$K$202,11)/3*0.6</f>
        <v>88035.599999999991</v>
      </c>
      <c r="G55" s="272">
        <f t="shared" si="8"/>
        <v>-0.10805401451231089</v>
      </c>
      <c r="H55">
        <f>SUM(B$2:B55)*3</f>
        <v>4518840</v>
      </c>
      <c r="I55">
        <f>VLOOKUP(A55,Overview!A$4:L$202,12)</f>
        <v>8767749</v>
      </c>
      <c r="J55" s="158">
        <f t="shared" si="3"/>
        <v>-0.4846065962882834</v>
      </c>
      <c r="K55" t="str">
        <f t="shared" si="4"/>
        <v>about perfect</v>
      </c>
    </row>
    <row r="56" spans="1:11">
      <c r="A56">
        <v>55</v>
      </c>
      <c r="B56">
        <f>IF(J55&gt;-0.4,B55+ROUNDUP(E55/50,0)*50,ROUNDUP(MAX(MIN(VLOOKUP(A56,Overview!$A$4:$K$202,11)/3*0.6,IF(A56&gt;2,B55+MIN(MAX(A55*50,1850),(B55-B54)*1.22,(B55-B54)+150),999)),B55+(B55-B54)),0))</f>
        <v>81223</v>
      </c>
      <c r="C56">
        <f t="shared" si="6"/>
        <v>40612</v>
      </c>
      <c r="D56">
        <f t="shared" si="5"/>
        <v>2700</v>
      </c>
      <c r="E56">
        <f t="shared" si="7"/>
        <v>1477</v>
      </c>
      <c r="F56">
        <f>VLOOKUP(A56-1,Overview!$A$4:$K$202,11)/3*0.6</f>
        <v>90798.599999999991</v>
      </c>
      <c r="G56" s="272">
        <f t="shared" si="8"/>
        <v>-0.10545977581152122</v>
      </c>
      <c r="H56">
        <f>SUM(B$2:B56)*3</f>
        <v>4762509</v>
      </c>
      <c r="I56">
        <f>VLOOKUP(A56,Overview!A$4:L$202,12)</f>
        <v>9234632</v>
      </c>
      <c r="J56" s="158">
        <f t="shared" si="3"/>
        <v>-0.48427733774339898</v>
      </c>
      <c r="K56" t="str">
        <f t="shared" si="4"/>
        <v>about perfect</v>
      </c>
    </row>
    <row r="57" spans="1:11">
      <c r="A57">
        <v>56</v>
      </c>
      <c r="B57">
        <f>IF(J56&gt;-0.4,B56+ROUNDUP(E56/50,0)*50,ROUNDUP(MAX(MIN(VLOOKUP(A57,Overview!$A$4:$K$202,11)/3*0.6,IF(A57&gt;2,B56+MIN(MAX(A56*50,1850),(B56-B55)*1.22,(B56-B55)+150),999)),B56+(B56-B55)),0))</f>
        <v>83973</v>
      </c>
      <c r="C57">
        <f t="shared" si="6"/>
        <v>41987</v>
      </c>
      <c r="D57">
        <f t="shared" si="5"/>
        <v>2750</v>
      </c>
      <c r="E57">
        <f t="shared" si="7"/>
        <v>1500</v>
      </c>
      <c r="F57">
        <f>VLOOKUP(A57-1,Overview!$A$4:$K$202,11)/3*0.6</f>
        <v>93376.599999999991</v>
      </c>
      <c r="G57" s="272">
        <f t="shared" si="8"/>
        <v>-0.10070617263854109</v>
      </c>
      <c r="H57">
        <f>SUM(B$2:B57)*3</f>
        <v>5014428</v>
      </c>
      <c r="I57">
        <f>VLOOKUP(A57,Overview!A$4:L$202,12)</f>
        <v>9715246</v>
      </c>
      <c r="J57" s="158">
        <f t="shared" si="3"/>
        <v>-0.48385990431945836</v>
      </c>
      <c r="K57" t="str">
        <f t="shared" si="4"/>
        <v>about perfect</v>
      </c>
    </row>
    <row r="58" spans="1:11">
      <c r="A58">
        <v>57</v>
      </c>
      <c r="B58">
        <f>IF(J57&gt;-0.4,B57+ROUNDUP(E57/50,0)*50,ROUNDUP(MAX(MIN(VLOOKUP(A58,Overview!$A$4:$K$202,11)/3*0.6,IF(A58&gt;2,B57+MIN(MAX(A57*50,1850),(B57-B56)*1.22,(B57-B56)+150),999)),B57+(B57-B56)),0))</f>
        <v>86773</v>
      </c>
      <c r="C58">
        <f t="shared" si="6"/>
        <v>43387</v>
      </c>
      <c r="D58">
        <f t="shared" si="5"/>
        <v>2800</v>
      </c>
      <c r="E58">
        <f t="shared" si="7"/>
        <v>1522</v>
      </c>
      <c r="F58">
        <f>VLOOKUP(A58-1,Overview!$A$4:$K$202,11)/3*0.6</f>
        <v>96122.799999999988</v>
      </c>
      <c r="G58" s="272">
        <f t="shared" si="8"/>
        <v>-9.7269326320082117E-2</v>
      </c>
      <c r="H58">
        <f>SUM(B$2:B58)*3</f>
        <v>5274747</v>
      </c>
      <c r="I58">
        <f>VLOOKUP(A58,Overview!A$4:L$202,12)</f>
        <v>10209264</v>
      </c>
      <c r="J58" s="158">
        <f t="shared" si="3"/>
        <v>-0.48333719257333341</v>
      </c>
      <c r="K58" t="str">
        <f t="shared" si="4"/>
        <v>about perfect</v>
      </c>
    </row>
    <row r="59" spans="1:11">
      <c r="A59">
        <v>58</v>
      </c>
      <c r="B59">
        <f>IF(J58&gt;-0.4,B58+ROUNDUP(E58/50,0)*50,ROUNDUP(MAX(MIN(VLOOKUP(A59,Overview!$A$4:$K$202,11)/3*0.6,IF(A59&gt;2,B58+MIN(MAX(A58*50,1850),(B58-B57)*1.22,(B58-B57)+150),999)),B58+(B58-B57)),0))</f>
        <v>89623</v>
      </c>
      <c r="C59">
        <f t="shared" si="6"/>
        <v>44812</v>
      </c>
      <c r="D59">
        <f t="shared" si="5"/>
        <v>2850</v>
      </c>
      <c r="E59">
        <f t="shared" si="7"/>
        <v>1545</v>
      </c>
      <c r="F59">
        <f>VLOOKUP(A59-1,Overview!$A$4:$K$202,11)/3*0.6</f>
        <v>98803.599999999991</v>
      </c>
      <c r="G59" s="272">
        <f t="shared" si="8"/>
        <v>-9.2917666967600288E-2</v>
      </c>
      <c r="H59">
        <f>SUM(B$2:B59)*3</f>
        <v>5543616</v>
      </c>
      <c r="I59">
        <f>VLOOKUP(A59,Overview!A$4:L$202,12)</f>
        <v>10717005</v>
      </c>
      <c r="J59" s="158">
        <f t="shared" si="3"/>
        <v>-0.48272712385596539</v>
      </c>
      <c r="K59" t="str">
        <f t="shared" si="4"/>
        <v>about perfect</v>
      </c>
    </row>
    <row r="60" spans="1:11">
      <c r="A60">
        <v>59</v>
      </c>
      <c r="B60">
        <f>IF(J59&gt;-0.4,B59+ROUNDUP(E59/50,0)*50,ROUNDUP(MAX(MIN(VLOOKUP(A60,Overview!$A$4:$K$202,11)/3*0.6,IF(A60&gt;2,B59+MIN(MAX(A59*50,1850),(B59-B58)*1.22,(B59-B58)+150),999)),B59+(B59-B58)),0))</f>
        <v>92523</v>
      </c>
      <c r="C60">
        <f t="shared" si="6"/>
        <v>46262</v>
      </c>
      <c r="D60">
        <f t="shared" si="5"/>
        <v>2900</v>
      </c>
      <c r="E60">
        <f t="shared" si="7"/>
        <v>1568</v>
      </c>
      <c r="F60">
        <f>VLOOKUP(A60-1,Overview!$A$4:$K$202,11)/3*0.6</f>
        <v>101548.2</v>
      </c>
      <c r="G60" s="272">
        <f t="shared" si="8"/>
        <v>-8.8876021436125829E-2</v>
      </c>
      <c r="H60">
        <f>SUM(B$2:B60)*3</f>
        <v>5821185</v>
      </c>
      <c r="I60">
        <f>VLOOKUP(A60,Overview!A$4:L$202,12)</f>
        <v>11236376</v>
      </c>
      <c r="J60" s="158">
        <f t="shared" si="3"/>
        <v>-0.48193394382672849</v>
      </c>
      <c r="K60" t="str">
        <f t="shared" si="4"/>
        <v>about perfect</v>
      </c>
    </row>
    <row r="61" spans="1:11">
      <c r="A61">
        <v>60</v>
      </c>
      <c r="B61">
        <f>IF(J60&gt;-0.4,B60+ROUNDUP(E60/50,0)*50,ROUNDUP(MAX(MIN(VLOOKUP(A61,Overview!$A$4:$K$202,11)/3*0.6,IF(A61&gt;2,B60+MIN(MAX(A60*50,1850),(B60-B59)*1.22,(B60-B59)+150),999)),B60+(B60-B59)),0))</f>
        <v>95473</v>
      </c>
      <c r="C61">
        <f t="shared" si="6"/>
        <v>47737</v>
      </c>
      <c r="D61">
        <f t="shared" si="5"/>
        <v>2950</v>
      </c>
      <c r="E61">
        <f t="shared" si="7"/>
        <v>1591</v>
      </c>
      <c r="F61">
        <f>VLOOKUP(A61-1,Overview!$A$4:$K$202,11)/3*0.6</f>
        <v>103874.2</v>
      </c>
      <c r="G61" s="272">
        <f t="shared" si="8"/>
        <v>-8.0878601231104574E-2</v>
      </c>
      <c r="H61">
        <f>SUM(B$2:B61)*3</f>
        <v>6107604</v>
      </c>
      <c r="I61">
        <f>VLOOKUP(A61,Overview!A$4:L$202,12)</f>
        <v>11769415</v>
      </c>
      <c r="J61" s="158">
        <f t="shared" si="3"/>
        <v>-0.48106137815685823</v>
      </c>
      <c r="K61" t="str">
        <f t="shared" si="4"/>
        <v>about perfect</v>
      </c>
    </row>
    <row r="62" spans="1:11">
      <c r="A62">
        <v>61</v>
      </c>
      <c r="B62">
        <f>IF(J61&gt;-0.4,B61+ROUNDUP(E61/50,0)*50,ROUNDUP(MAX(MIN(VLOOKUP(A62,Overview!$A$4:$K$202,11)/3*0.6,IF(A62&gt;2,B61+MIN(MAX(A61*50,1850),(B61-B60)*1.22,(B61-B60)+150),999)),B61+(B61-B60)),0))</f>
        <v>98473</v>
      </c>
      <c r="C62">
        <f t="shared" si="6"/>
        <v>49237</v>
      </c>
      <c r="D62">
        <f t="shared" si="5"/>
        <v>3000</v>
      </c>
      <c r="E62">
        <f t="shared" si="7"/>
        <v>1614</v>
      </c>
      <c r="F62">
        <f>VLOOKUP(A62-1,Overview!$A$4:$K$202,11)/3*0.6</f>
        <v>106607.79999999999</v>
      </c>
      <c r="G62" s="272">
        <f t="shared" si="8"/>
        <v>-7.6305861297203292E-2</v>
      </c>
      <c r="H62">
        <f>SUM(B$2:B62)*3</f>
        <v>6403023</v>
      </c>
      <c r="I62">
        <f>VLOOKUP(A62,Overview!A$4:L$202,12)</f>
        <v>12314168</v>
      </c>
      <c r="J62" s="158">
        <f t="shared" si="3"/>
        <v>-0.48002796453645913</v>
      </c>
      <c r="K62" t="str">
        <f t="shared" si="4"/>
        <v>about perfect</v>
      </c>
    </row>
    <row r="63" spans="1:11">
      <c r="A63">
        <v>62</v>
      </c>
      <c r="B63">
        <f>IF(J62&gt;-0.4,B62+ROUNDUP(E62/50,0)*50,ROUNDUP(MAX(MIN(VLOOKUP(A63,Overview!$A$4:$K$202,11)/3*0.6,IF(A63&gt;2,B62+MIN(MAX(A62*50,1850),(B62-B61)*1.22,(B62-B61)+150),999)),B62+(B62-B61)),0))</f>
        <v>101523</v>
      </c>
      <c r="C63">
        <f t="shared" si="6"/>
        <v>50762</v>
      </c>
      <c r="D63">
        <f t="shared" si="5"/>
        <v>3050</v>
      </c>
      <c r="E63">
        <f t="shared" si="7"/>
        <v>1637</v>
      </c>
      <c r="F63">
        <f>VLOOKUP(A63-1,Overview!$A$4:$K$202,11)/3*0.6</f>
        <v>108950.6</v>
      </c>
      <c r="G63" s="272">
        <f t="shared" si="8"/>
        <v>-6.8174016480863853E-2</v>
      </c>
      <c r="H63">
        <f>SUM(B$2:B63)*3</f>
        <v>6707592</v>
      </c>
      <c r="I63">
        <f>VLOOKUP(A63,Overview!A$4:L$202,12)</f>
        <v>12872540</v>
      </c>
      <c r="J63" s="158">
        <f t="shared" si="3"/>
        <v>-0.47892241935158097</v>
      </c>
      <c r="K63" t="str">
        <f t="shared" si="4"/>
        <v>about perfect</v>
      </c>
    </row>
    <row r="64" spans="1:11">
      <c r="A64">
        <v>63</v>
      </c>
      <c r="B64">
        <f>IF(J63&gt;-0.4,B63+ROUNDUP(E63/50,0)*50,ROUNDUP(MAX(MIN(VLOOKUP(A64,Overview!$A$4:$K$202,11)/3*0.6,IF(A64&gt;2,B63+MIN(MAX(A63*50,1850),(B63-B62)*1.22,(B63-B62)+150),999)),B63+(B63-B62)),0))</f>
        <v>104623</v>
      </c>
      <c r="C64">
        <f t="shared" si="6"/>
        <v>52312</v>
      </c>
      <c r="D64">
        <f t="shared" si="5"/>
        <v>3100</v>
      </c>
      <c r="E64">
        <f t="shared" si="7"/>
        <v>1661</v>
      </c>
      <c r="F64">
        <f>VLOOKUP(A64-1,Overview!$A$4:$K$202,11)/3*0.6</f>
        <v>111674.4</v>
      </c>
      <c r="G64" s="272">
        <f t="shared" si="8"/>
        <v>-6.314249281840778E-2</v>
      </c>
      <c r="H64">
        <f>SUM(B$2:B64)*3</f>
        <v>7021461</v>
      </c>
      <c r="I64">
        <f>VLOOKUP(A64,Overview!A$4:L$202,12)</f>
        <v>13443061</v>
      </c>
      <c r="J64" s="158">
        <f t="shared" si="3"/>
        <v>-0.477688823996261</v>
      </c>
      <c r="K64" t="str">
        <f t="shared" si="4"/>
        <v>about perfect</v>
      </c>
    </row>
    <row r="65" spans="1:11">
      <c r="A65">
        <v>64</v>
      </c>
      <c r="B65">
        <f>IF(J64&gt;-0.4,B64+ROUNDUP(E64/50,0)*50,ROUNDUP(MAX(MIN(VLOOKUP(A65,Overview!$A$4:$K$202,11)/3*0.6,IF(A65&gt;2,B64+MIN(MAX(A64*50,1850),(B64-B63)*1.22,(B64-B63)+150),999)),B64+(B64-B63)),0))</f>
        <v>107773</v>
      </c>
      <c r="C65">
        <f t="shared" si="6"/>
        <v>53887</v>
      </c>
      <c r="D65">
        <f t="shared" si="5"/>
        <v>3150</v>
      </c>
      <c r="E65">
        <f t="shared" si="7"/>
        <v>1684</v>
      </c>
      <c r="F65">
        <f>VLOOKUP(A65-1,Overview!$A$4:$K$202,11)/3*0.6</f>
        <v>114104.2</v>
      </c>
      <c r="G65" s="272">
        <f t="shared" si="8"/>
        <v>-5.5486125839364298E-2</v>
      </c>
      <c r="H65">
        <f>SUM(B$2:B65)*3</f>
        <v>7344780</v>
      </c>
      <c r="I65">
        <f>VLOOKUP(A65,Overview!A$4:L$202,12)</f>
        <v>14027219</v>
      </c>
      <c r="J65" s="158">
        <f t="shared" si="3"/>
        <v>-0.47639086550227816</v>
      </c>
      <c r="K65" t="str">
        <f t="shared" si="4"/>
        <v>about perfect</v>
      </c>
    </row>
    <row r="66" spans="1:11">
      <c r="A66">
        <v>65</v>
      </c>
      <c r="B66">
        <f>IF(J65&gt;-0.4,B65+ROUNDUP(E65/50,0)*50,ROUNDUP(MAX(MIN(VLOOKUP(A66,Overview!$A$4:$K$202,11)/3*0.6,IF(A66&gt;2,B65+MIN(MAX(A65*50,1850),(B65-B64)*1.22,(B65-B64)+150),999)),B65+(B65-B64)),0))</f>
        <v>110973</v>
      </c>
      <c r="C66">
        <f t="shared" ref="C66:C97" si="9">ROUND(B66/2,0)</f>
        <v>55487</v>
      </c>
      <c r="D66">
        <f t="shared" si="5"/>
        <v>3200</v>
      </c>
      <c r="E66">
        <f t="shared" ref="E66:E97" si="10">ROUND(B66/A66,0)</f>
        <v>1707</v>
      </c>
      <c r="F66">
        <f>VLOOKUP(A66-1,Overview!$A$4:$K$202,11)/3*0.6</f>
        <v>116831.6</v>
      </c>
      <c r="G66" s="272">
        <f t="shared" ref="G66:G97" si="11">B66/F66-1</f>
        <v>-5.0145679764721285E-2</v>
      </c>
      <c r="H66">
        <f>SUM(B$2:B66)*3</f>
        <v>7677699</v>
      </c>
      <c r="I66">
        <f>VLOOKUP(A66,Overview!A$4:L$202,12)</f>
        <v>14623545</v>
      </c>
      <c r="J66" s="158">
        <f t="shared" si="3"/>
        <v>-0.47497689513725982</v>
      </c>
      <c r="K66" t="str">
        <f t="shared" si="4"/>
        <v>about perfect</v>
      </c>
    </row>
    <row r="67" spans="1:11">
      <c r="A67">
        <v>66</v>
      </c>
      <c r="B67">
        <f>IF(J66&gt;-0.4,B66+ROUNDUP(E66/50,0)*50,ROUNDUP(MAX(MIN(VLOOKUP(A67,Overview!$A$4:$K$202,11)/3*0.6,IF(A67&gt;2,B66+MIN(MAX(A66*50,1850),(B66-B65)*1.22,(B66-B65)+150),999)),B66+(B66-B65)),0))</f>
        <v>114223</v>
      </c>
      <c r="C67">
        <f t="shared" si="9"/>
        <v>57112</v>
      </c>
      <c r="D67">
        <f t="shared" si="5"/>
        <v>3250</v>
      </c>
      <c r="E67">
        <f t="shared" si="10"/>
        <v>1731</v>
      </c>
      <c r="F67">
        <f>VLOOKUP(A67-1,Overview!$A$4:$K$202,11)/3*0.6</f>
        <v>119265.2</v>
      </c>
      <c r="G67" s="272">
        <f t="shared" si="11"/>
        <v>-4.2277210787388109E-2</v>
      </c>
      <c r="H67">
        <f>SUM(B$2:B67)*3</f>
        <v>8020368</v>
      </c>
      <c r="I67">
        <f>VLOOKUP(A67,Overview!A$4:L$202,12)</f>
        <v>15233424</v>
      </c>
      <c r="J67" s="158">
        <f t="shared" ref="J67:J130" si="12">H67/I67-1</f>
        <v>-0.47350195202339274</v>
      </c>
      <c r="K67" t="str">
        <f t="shared" ref="K67:K130" si="13">IF(J67&lt;-0.5,"Cheaper than it should be",IF(J67&gt;-0.3,"More expensive than it should be","about perfect"))</f>
        <v>about perfect</v>
      </c>
    </row>
    <row r="68" spans="1:11">
      <c r="A68">
        <v>67</v>
      </c>
      <c r="B68">
        <f>IF(J67&gt;-0.4,B67+ROUNDUP(E67/50,0)*50,ROUNDUP(MAX(MIN(VLOOKUP(A68,Overview!$A$4:$K$202,11)/3*0.6,IF(A68&gt;2,B67+MIN(MAX(A67*50,1850),(B67-B66)*1.22,(B67-B66)+150),999)),B67+(B67-B66)),0))</f>
        <v>117523</v>
      </c>
      <c r="C68">
        <f t="shared" si="9"/>
        <v>58762</v>
      </c>
      <c r="D68">
        <f t="shared" ref="D68:D131" si="14">B68-B67</f>
        <v>3300</v>
      </c>
      <c r="E68">
        <f t="shared" si="10"/>
        <v>1754</v>
      </c>
      <c r="F68">
        <f>VLOOKUP(A68-1,Overview!$A$4:$K$202,11)/3*0.6</f>
        <v>121975.79999999999</v>
      </c>
      <c r="G68" s="272">
        <f t="shared" si="11"/>
        <v>-3.6505601930874709E-2</v>
      </c>
      <c r="H68">
        <f>SUM(B$2:B68)*3</f>
        <v>8372937</v>
      </c>
      <c r="I68">
        <f>VLOOKUP(A68,Overview!A$4:L$202,12)</f>
        <v>15855956</v>
      </c>
      <c r="J68" s="158">
        <f t="shared" si="12"/>
        <v>-0.47193742212705436</v>
      </c>
      <c r="K68" t="str">
        <f t="shared" si="13"/>
        <v>about perfect</v>
      </c>
    </row>
    <row r="69" spans="1:11">
      <c r="A69">
        <v>68</v>
      </c>
      <c r="B69">
        <f>IF(J68&gt;-0.4,B68+ROUNDUP(E68/50,0)*50,ROUNDUP(MAX(MIN(VLOOKUP(A69,Overview!$A$4:$K$202,11)/3*0.6,IF(A69&gt;2,B68+MIN(MAX(A68*50,1850),(B68-B67)*1.22,(B68-B67)+150),999)),B68+(B68-B67)),0))</f>
        <v>120873</v>
      </c>
      <c r="C69">
        <f t="shared" si="9"/>
        <v>60437</v>
      </c>
      <c r="D69">
        <f t="shared" si="14"/>
        <v>3350</v>
      </c>
      <c r="E69">
        <f t="shared" si="10"/>
        <v>1778</v>
      </c>
      <c r="F69">
        <f>VLOOKUP(A69-1,Overview!$A$4:$K$202,11)/3*0.6</f>
        <v>124506.4</v>
      </c>
      <c r="G69" s="272">
        <f t="shared" si="11"/>
        <v>-2.9182435601703971E-2</v>
      </c>
      <c r="H69">
        <f>SUM(B$2:B69)*3</f>
        <v>8735556</v>
      </c>
      <c r="I69">
        <f>VLOOKUP(A69,Overview!A$4:L$202,12)</f>
        <v>16492073</v>
      </c>
      <c r="J69" s="158">
        <f t="shared" si="12"/>
        <v>-0.47031789151066694</v>
      </c>
      <c r="K69" t="str">
        <f t="shared" si="13"/>
        <v>about perfect</v>
      </c>
    </row>
    <row r="70" spans="1:11">
      <c r="A70">
        <v>69</v>
      </c>
      <c r="B70">
        <f>IF(J69&gt;-0.4,B69+ROUNDUP(E69/50,0)*50,ROUNDUP(MAX(MIN(VLOOKUP(A70,Overview!$A$4:$K$202,11)/3*0.6,IF(A70&gt;2,B69+MIN(MAX(A69*50,1850),(B69-B68)*1.22,(B69-B68)+150),999)),B69+(B69-B68)),0))</f>
        <v>124273</v>
      </c>
      <c r="C70">
        <f t="shared" si="9"/>
        <v>62137</v>
      </c>
      <c r="D70">
        <f t="shared" si="14"/>
        <v>3400</v>
      </c>
      <c r="E70">
        <f t="shared" si="10"/>
        <v>1801</v>
      </c>
      <c r="F70">
        <f>VLOOKUP(A70-1,Overview!$A$4:$K$202,11)/3*0.6</f>
        <v>127223.4</v>
      </c>
      <c r="G70" s="272">
        <f t="shared" si="11"/>
        <v>-2.31907023393495E-2</v>
      </c>
      <c r="H70">
        <f>SUM(B$2:B70)*3</f>
        <v>9108375</v>
      </c>
      <c r="I70">
        <f>VLOOKUP(A70,Overview!A$4:L$202,12)</f>
        <v>17141325</v>
      </c>
      <c r="J70" s="158">
        <f t="shared" si="12"/>
        <v>-0.46863063386290149</v>
      </c>
      <c r="K70" t="str">
        <f t="shared" si="13"/>
        <v>about perfect</v>
      </c>
    </row>
    <row r="71" spans="1:11">
      <c r="A71">
        <v>70</v>
      </c>
      <c r="B71">
        <f>IF(J70&gt;-0.4,B70+ROUNDUP(E70/50,0)*50,ROUNDUP(MAX(MIN(VLOOKUP(A71,Overview!$A$4:$K$202,11)/3*0.6,IF(A71&gt;2,B70+MIN(MAX(A70*50,1850),(B70-B69)*1.22,(B70-B69)+150),999)),B70+(B70-B69)),0))</f>
        <v>127723</v>
      </c>
      <c r="C71">
        <f t="shared" si="9"/>
        <v>63862</v>
      </c>
      <c r="D71">
        <f t="shared" si="14"/>
        <v>3450</v>
      </c>
      <c r="E71">
        <f t="shared" si="10"/>
        <v>1825</v>
      </c>
      <c r="F71">
        <f>VLOOKUP(A71-1,Overview!$A$4:$K$202,11)/3*0.6</f>
        <v>129850.4</v>
      </c>
      <c r="G71" s="272">
        <f t="shared" si="11"/>
        <v>-1.6383468976606919E-2</v>
      </c>
      <c r="H71">
        <f>SUM(B$2:B71)*3</f>
        <v>9491544</v>
      </c>
      <c r="I71">
        <f>VLOOKUP(A71,Overview!A$4:L$202,12)</f>
        <v>17804103</v>
      </c>
      <c r="J71" s="158">
        <f t="shared" si="12"/>
        <v>-0.46689007584375353</v>
      </c>
      <c r="K71" t="str">
        <f t="shared" si="13"/>
        <v>about perfect</v>
      </c>
    </row>
    <row r="72" spans="1:11">
      <c r="A72">
        <v>71</v>
      </c>
      <c r="B72">
        <f>IF(J71&gt;-0.4,B71+ROUNDUP(E71/50,0)*50,ROUNDUP(MAX(MIN(VLOOKUP(A72,Overview!$A$4:$K$202,11)/3*0.6,IF(A72&gt;2,B71+MIN(MAX(A71*50,1850),(B71-B70)*1.22,(B71-B70)+150),999)),B71+(B71-B70)),0))</f>
        <v>131223</v>
      </c>
      <c r="C72">
        <f t="shared" si="9"/>
        <v>65612</v>
      </c>
      <c r="D72">
        <f t="shared" si="14"/>
        <v>3500</v>
      </c>
      <c r="E72">
        <f t="shared" si="10"/>
        <v>1848</v>
      </c>
      <c r="F72">
        <f>VLOOKUP(A72-1,Overview!$A$4:$K$202,11)/3*0.6</f>
        <v>132555.6</v>
      </c>
      <c r="G72" s="272">
        <f t="shared" si="11"/>
        <v>-1.0053139965418345E-2</v>
      </c>
      <c r="H72">
        <f>SUM(B$2:B72)*3</f>
        <v>9885213</v>
      </c>
      <c r="I72">
        <f>VLOOKUP(A72,Overview!A$4:L$202,12)</f>
        <v>18480069</v>
      </c>
      <c r="J72" s="158">
        <f t="shared" si="12"/>
        <v>-0.46508787386021122</v>
      </c>
      <c r="K72" t="str">
        <f t="shared" si="13"/>
        <v>about perfect</v>
      </c>
    </row>
    <row r="73" spans="1:11">
      <c r="A73">
        <v>72</v>
      </c>
      <c r="B73">
        <f>IF(J72&gt;-0.4,B72+ROUNDUP(E72/50,0)*50,ROUNDUP(MAX(MIN(VLOOKUP(A73,Overview!$A$4:$K$202,11)/3*0.6,IF(A73&gt;2,B72+MIN(MAX(A72*50,1850),(B72-B71)*1.22,(B72-B71)+150),999)),B72+(B72-B71)),0))</f>
        <v>134773</v>
      </c>
      <c r="C73">
        <f t="shared" si="9"/>
        <v>67387</v>
      </c>
      <c r="D73">
        <f t="shared" si="14"/>
        <v>3550</v>
      </c>
      <c r="E73">
        <f t="shared" si="10"/>
        <v>1872</v>
      </c>
      <c r="F73">
        <f>VLOOKUP(A73-1,Overview!$A$4:$K$202,11)/3*0.6</f>
        <v>135193.19999999998</v>
      </c>
      <c r="G73" s="272">
        <f t="shared" si="11"/>
        <v>-3.1081444924743185E-3</v>
      </c>
      <c r="H73">
        <f>SUM(B$2:B73)*3</f>
        <v>10289532</v>
      </c>
      <c r="I73">
        <f>VLOOKUP(A73,Overview!A$4:L$202,12)</f>
        <v>19169555</v>
      </c>
      <c r="J73" s="158">
        <f t="shared" si="12"/>
        <v>-0.46323574021410507</v>
      </c>
      <c r="K73" t="str">
        <f t="shared" si="13"/>
        <v>about perfect</v>
      </c>
    </row>
    <row r="74" spans="1:11">
      <c r="A74">
        <v>73</v>
      </c>
      <c r="B74">
        <f>IF(J73&gt;-0.4,B73+ROUNDUP(E73/50,0)*50,ROUNDUP(MAX(MIN(VLOOKUP(A74,Overview!$A$4:$K$202,11)/3*0.6,IF(A74&gt;2,B73+MIN(MAX(A73*50,1850),(B73-B72)*1.22,(B73-B72)+150),999)),B73+(B73-B72)),0))</f>
        <v>138373</v>
      </c>
      <c r="C74">
        <f t="shared" si="9"/>
        <v>69187</v>
      </c>
      <c r="D74">
        <f t="shared" si="14"/>
        <v>3600</v>
      </c>
      <c r="E74">
        <f t="shared" si="10"/>
        <v>1896</v>
      </c>
      <c r="F74">
        <f>VLOOKUP(A74-1,Overview!$A$4:$K$202,11)/3*0.6</f>
        <v>137897.19999999998</v>
      </c>
      <c r="G74" s="272">
        <f t="shared" si="11"/>
        <v>3.4503963822327677E-3</v>
      </c>
      <c r="H74">
        <f>SUM(B$2:B74)*3</f>
        <v>10704651</v>
      </c>
      <c r="I74">
        <f>VLOOKUP(A74,Overview!A$4:L$202,12)</f>
        <v>19870443</v>
      </c>
      <c r="J74" s="158">
        <f t="shared" si="12"/>
        <v>-0.46127768766906707</v>
      </c>
      <c r="K74" t="str">
        <f t="shared" si="13"/>
        <v>about perfect</v>
      </c>
    </row>
    <row r="75" spans="1:11">
      <c r="A75">
        <v>74</v>
      </c>
      <c r="B75">
        <f>IF(J74&gt;-0.4,B74+ROUNDUP(E74/50,0)*50,ROUNDUP(MAX(MIN(VLOOKUP(A75,Overview!$A$4:$K$202,11)/3*0.6,IF(A75&gt;2,B74+MIN(MAX(A74*50,1850),(B74-B73)*1.22,(B74-B73)+150),999)),B74+(B74-B73)),0))</f>
        <v>142023</v>
      </c>
      <c r="C75">
        <f t="shared" si="9"/>
        <v>71012</v>
      </c>
      <c r="D75">
        <f t="shared" si="14"/>
        <v>3650</v>
      </c>
      <c r="E75">
        <f t="shared" si="10"/>
        <v>1919</v>
      </c>
      <c r="F75">
        <f>VLOOKUP(A75-1,Overview!$A$4:$K$202,11)/3*0.6</f>
        <v>140177.60000000001</v>
      </c>
      <c r="G75" s="272">
        <f t="shared" si="11"/>
        <v>1.3164728173402862E-2</v>
      </c>
      <c r="H75">
        <f>SUM(B$2:B75)*3</f>
        <v>11130720</v>
      </c>
      <c r="I75">
        <f>VLOOKUP(A75,Overview!A$4:L$202,12)</f>
        <v>20584810</v>
      </c>
      <c r="J75" s="158">
        <f t="shared" si="12"/>
        <v>-0.45927506739192636</v>
      </c>
      <c r="K75" t="str">
        <f t="shared" si="13"/>
        <v>about perfect</v>
      </c>
    </row>
    <row r="76" spans="1:11">
      <c r="A76">
        <v>75</v>
      </c>
      <c r="B76">
        <f>IF(J75&gt;-0.4,B75+ROUNDUP(E75/50,0)*50,ROUNDUP(MAX(MIN(VLOOKUP(A76,Overview!$A$4:$K$202,11)/3*0.6,IF(A76&gt;2,B75+MIN(MAX(A75*50,1850),(B75-B74)*1.22,(B75-B74)+150),999)),B75+(B75-B74)),0))</f>
        <v>145673</v>
      </c>
      <c r="C76">
        <f t="shared" si="9"/>
        <v>72837</v>
      </c>
      <c r="D76">
        <f t="shared" si="14"/>
        <v>3650</v>
      </c>
      <c r="E76">
        <f t="shared" si="10"/>
        <v>1942</v>
      </c>
      <c r="F76">
        <f>VLOOKUP(A76-1,Overview!$A$4:$K$202,11)/3*0.6</f>
        <v>142873.4</v>
      </c>
      <c r="G76" s="272">
        <f t="shared" si="11"/>
        <v>1.959497009240363E-2</v>
      </c>
      <c r="H76">
        <f>SUM(B$2:B76)*3</f>
        <v>11567739</v>
      </c>
      <c r="I76">
        <f>VLOOKUP(A76,Overview!A$4:L$202,12)</f>
        <v>21310665</v>
      </c>
      <c r="J76" s="158">
        <f t="shared" si="12"/>
        <v>-0.45718545150984258</v>
      </c>
      <c r="K76" t="str">
        <f t="shared" si="13"/>
        <v>about perfect</v>
      </c>
    </row>
    <row r="77" spans="1:11">
      <c r="A77">
        <v>76</v>
      </c>
      <c r="B77">
        <f>IF(J76&gt;-0.4,B76+ROUNDUP(E76/50,0)*50,ROUNDUP(MAX(MIN(VLOOKUP(A77,Overview!$A$4:$K$202,11)/3*0.6,IF(A77&gt;2,B76+MIN(MAX(A76*50,1850),(B76-B75)*1.22,(B76-B75)+150),999)),B76+(B76-B75)),0))</f>
        <v>149323</v>
      </c>
      <c r="C77">
        <f t="shared" si="9"/>
        <v>74662</v>
      </c>
      <c r="D77">
        <f t="shared" si="14"/>
        <v>3650</v>
      </c>
      <c r="E77">
        <f t="shared" si="10"/>
        <v>1965</v>
      </c>
      <c r="F77">
        <f>VLOOKUP(A77-1,Overview!$A$4:$K$202,11)/3*0.6</f>
        <v>145171</v>
      </c>
      <c r="G77" s="272">
        <f t="shared" si="11"/>
        <v>2.8600753594037354E-2</v>
      </c>
      <c r="H77">
        <f>SUM(B$2:B77)*3</f>
        <v>12015708</v>
      </c>
      <c r="I77">
        <f>VLOOKUP(A77,Overview!A$4:L$202,12)</f>
        <v>22049962</v>
      </c>
      <c r="J77" s="158">
        <f t="shared" si="12"/>
        <v>-0.45506899286266345</v>
      </c>
      <c r="K77" t="str">
        <f t="shared" si="13"/>
        <v>about perfect</v>
      </c>
    </row>
    <row r="78" spans="1:11">
      <c r="A78">
        <v>77</v>
      </c>
      <c r="B78">
        <f>IF(J77&gt;-0.4,B77+ROUNDUP(E77/50,0)*50,ROUNDUP(MAX(MIN(VLOOKUP(A78,Overview!$A$4:$K$202,11)/3*0.6,IF(A78&gt;2,B77+MIN(MAX(A77*50,1850),(B77-B76)*1.22,(B77-B76)+150),999)),B77+(B77-B76)),0))</f>
        <v>152973</v>
      </c>
      <c r="C78">
        <f t="shared" si="9"/>
        <v>76487</v>
      </c>
      <c r="D78">
        <f t="shared" si="14"/>
        <v>3650</v>
      </c>
      <c r="E78">
        <f t="shared" si="10"/>
        <v>1987</v>
      </c>
      <c r="F78">
        <f>VLOOKUP(A78-1,Overview!$A$4:$K$202,11)/3*0.6</f>
        <v>147859.4</v>
      </c>
      <c r="G78" s="272">
        <f t="shared" si="11"/>
        <v>3.4584206347381352E-2</v>
      </c>
      <c r="H78">
        <f>SUM(B$2:B78)*3</f>
        <v>12474627</v>
      </c>
      <c r="I78">
        <f>VLOOKUP(A78,Overview!A$4:L$202,12)</f>
        <v>22801207</v>
      </c>
      <c r="J78" s="158">
        <f t="shared" si="12"/>
        <v>-0.45289619974942552</v>
      </c>
      <c r="K78" t="str">
        <f t="shared" si="13"/>
        <v>about perfect</v>
      </c>
    </row>
    <row r="79" spans="1:11">
      <c r="A79">
        <v>78</v>
      </c>
      <c r="B79">
        <f>IF(J78&gt;-0.4,B78+ROUNDUP(E78/50,0)*50,ROUNDUP(MAX(MIN(VLOOKUP(A79,Overview!$A$4:$K$202,11)/3*0.6,IF(A79&gt;2,B78+MIN(MAX(A78*50,1850),(B78-B77)*1.22,(B78-B77)+150),999)),B78+(B78-B77)),0))</f>
        <v>156623</v>
      </c>
      <c r="C79">
        <f t="shared" si="9"/>
        <v>78312</v>
      </c>
      <c r="D79">
        <f t="shared" si="14"/>
        <v>3650</v>
      </c>
      <c r="E79">
        <f t="shared" si="10"/>
        <v>2008</v>
      </c>
      <c r="F79">
        <f>VLOOKUP(A79-1,Overview!$A$4:$K$202,11)/3*0.6</f>
        <v>150249</v>
      </c>
      <c r="G79" s="272">
        <f t="shared" si="11"/>
        <v>4.2422911300574295E-2</v>
      </c>
      <c r="H79">
        <f>SUM(B$2:B79)*3</f>
        <v>12944496</v>
      </c>
      <c r="I79">
        <f>VLOOKUP(A79,Overview!A$4:L$202,12)</f>
        <v>23565913</v>
      </c>
      <c r="J79" s="158">
        <f t="shared" si="12"/>
        <v>-0.45071103334719087</v>
      </c>
      <c r="K79" t="str">
        <f t="shared" si="13"/>
        <v>about perfect</v>
      </c>
    </row>
    <row r="80" spans="1:11">
      <c r="A80">
        <v>79</v>
      </c>
      <c r="B80">
        <f>IF(J79&gt;-0.4,B79+ROUNDUP(E79/50,0)*50,ROUNDUP(MAX(MIN(VLOOKUP(A80,Overview!$A$4:$K$202,11)/3*0.6,IF(A80&gt;2,B79+MIN(MAX(A79*50,1850),(B79-B78)*1.22,(B79-B78)+150),999)),B79+(B79-B78)),0))</f>
        <v>160273</v>
      </c>
      <c r="C80">
        <f t="shared" si="9"/>
        <v>80137</v>
      </c>
      <c r="D80">
        <f t="shared" si="14"/>
        <v>3650</v>
      </c>
      <c r="E80">
        <f t="shared" si="10"/>
        <v>2029</v>
      </c>
      <c r="F80">
        <f>VLOOKUP(A80-1,Overview!$A$4:$K$202,11)/3*0.6</f>
        <v>152941.19999999998</v>
      </c>
      <c r="G80" s="272">
        <f t="shared" si="11"/>
        <v>4.7938684932510078E-2</v>
      </c>
      <c r="H80">
        <f>SUM(B$2:B80)*3</f>
        <v>13425315</v>
      </c>
      <c r="I80">
        <f>VLOOKUP(A80,Overview!A$4:L$202,12)</f>
        <v>24342592</v>
      </c>
      <c r="J80" s="158">
        <f t="shared" si="12"/>
        <v>-0.448484573869537</v>
      </c>
      <c r="K80" t="str">
        <f t="shared" si="13"/>
        <v>about perfect</v>
      </c>
    </row>
    <row r="81" spans="1:11">
      <c r="A81">
        <v>80</v>
      </c>
      <c r="B81">
        <f>IF(J80&gt;-0.4,B80+ROUNDUP(E80/50,0)*50,ROUNDUP(MAX(MIN(VLOOKUP(A81,Overview!$A$4:$K$202,11)/3*0.6,IF(A81&gt;2,B80+MIN(MAX(A80*50,1850),(B80-B79)*1.22,(B80-B79)+150),999)),B80+(B80-B79)),0))</f>
        <v>163923</v>
      </c>
      <c r="C81">
        <f t="shared" si="9"/>
        <v>81962</v>
      </c>
      <c r="D81">
        <f t="shared" si="14"/>
        <v>3650</v>
      </c>
      <c r="E81">
        <f t="shared" si="10"/>
        <v>2049</v>
      </c>
      <c r="F81">
        <f>VLOOKUP(A81-1,Overview!$A$4:$K$202,11)/3*0.6</f>
        <v>155335.79999999999</v>
      </c>
      <c r="G81" s="272">
        <f t="shared" si="11"/>
        <v>5.5281525572340673E-2</v>
      </c>
      <c r="H81">
        <f>SUM(B$2:B81)*3</f>
        <v>13917084</v>
      </c>
      <c r="I81">
        <f>VLOOKUP(A81,Overview!A$4:L$202,12)</f>
        <v>25132662</v>
      </c>
      <c r="J81" s="158">
        <f t="shared" si="12"/>
        <v>-0.44625507636238448</v>
      </c>
      <c r="K81" t="str">
        <f t="shared" si="13"/>
        <v>about perfect</v>
      </c>
    </row>
    <row r="82" spans="1:11">
      <c r="A82">
        <v>81</v>
      </c>
      <c r="B82">
        <f>IF(J81&gt;-0.4,B81+ROUNDUP(E81/50,0)*50,ROUNDUP(MAX(MIN(VLOOKUP(A82,Overview!$A$4:$K$202,11)/3*0.6,IF(A82&gt;2,B81+MIN(MAX(A81*50,1850),(B81-B80)*1.22,(B81-B80)+150),999)),B81+(B81-B80)),0))</f>
        <v>167573</v>
      </c>
      <c r="C82">
        <f t="shared" si="9"/>
        <v>83787</v>
      </c>
      <c r="D82">
        <f t="shared" si="14"/>
        <v>3650</v>
      </c>
      <c r="E82">
        <f t="shared" si="10"/>
        <v>2069</v>
      </c>
      <c r="F82">
        <f>VLOOKUP(A82-1,Overview!$A$4:$K$202,11)/3*0.6</f>
        <v>158014</v>
      </c>
      <c r="G82" s="272">
        <f t="shared" si="11"/>
        <v>6.0494639715468201E-2</v>
      </c>
      <c r="H82">
        <f>SUM(B$2:B82)*3</f>
        <v>14419803</v>
      </c>
      <c r="I82">
        <f>VLOOKUP(A82,Overview!A$4:L$202,12)</f>
        <v>25935201</v>
      </c>
      <c r="J82" s="158">
        <f t="shared" si="12"/>
        <v>-0.44400650683216225</v>
      </c>
      <c r="K82" t="str">
        <f t="shared" si="13"/>
        <v>about perfect</v>
      </c>
    </row>
    <row r="83" spans="1:11">
      <c r="A83">
        <v>82</v>
      </c>
      <c r="B83">
        <f>IF(J82&gt;-0.4,B82+ROUNDUP(E82/50,0)*50,ROUNDUP(MAX(MIN(VLOOKUP(A83,Overview!$A$4:$K$202,11)/3*0.6,IF(A83&gt;2,B82+MIN(MAX(A82*50,1850),(B82-B81)*1.22,(B82-B81)+150),999)),B82+(B82-B81)),0))</f>
        <v>171223</v>
      </c>
      <c r="C83">
        <f t="shared" si="9"/>
        <v>85612</v>
      </c>
      <c r="D83">
        <f t="shared" si="14"/>
        <v>3650</v>
      </c>
      <c r="E83">
        <f t="shared" si="10"/>
        <v>2088</v>
      </c>
      <c r="F83">
        <f>VLOOKUP(A83-1,Overview!$A$4:$K$202,11)/3*0.6</f>
        <v>160507.79999999999</v>
      </c>
      <c r="G83" s="272">
        <f t="shared" si="11"/>
        <v>6.6758126396349704E-2</v>
      </c>
      <c r="H83">
        <f>SUM(B$2:B83)*3</f>
        <v>14933472</v>
      </c>
      <c r="I83">
        <f>VLOOKUP(A83,Overview!A$4:L$202,12)</f>
        <v>26751160</v>
      </c>
      <c r="J83" s="158">
        <f t="shared" si="12"/>
        <v>-0.44176357212173234</v>
      </c>
      <c r="K83" t="str">
        <f t="shared" si="13"/>
        <v>about perfect</v>
      </c>
    </row>
    <row r="84" spans="1:11">
      <c r="A84">
        <v>83</v>
      </c>
      <c r="B84">
        <f>IF(J83&gt;-0.4,B83+ROUNDUP(E83/50,0)*50,ROUNDUP(MAX(MIN(VLOOKUP(A84,Overview!$A$4:$K$202,11)/3*0.6,IF(A84&gt;2,B83+MIN(MAX(A83*50,1850),(B83-B82)*1.22,(B83-B82)+150),999)),B83+(B83-B82)),0))</f>
        <v>174873</v>
      </c>
      <c r="C84">
        <f t="shared" si="9"/>
        <v>87437</v>
      </c>
      <c r="D84">
        <f t="shared" si="14"/>
        <v>3650</v>
      </c>
      <c r="E84">
        <f t="shared" si="10"/>
        <v>2107</v>
      </c>
      <c r="F84">
        <f>VLOOKUP(A84-1,Overview!$A$4:$K$202,11)/3*0.6</f>
        <v>163191.79999999999</v>
      </c>
      <c r="G84" s="272">
        <f t="shared" si="11"/>
        <v>7.1579576915016707E-2</v>
      </c>
      <c r="H84">
        <f>SUM(B$2:B84)*3</f>
        <v>15458091</v>
      </c>
      <c r="I84">
        <f>VLOOKUP(A84,Overview!A$4:L$202,12)</f>
        <v>27580075</v>
      </c>
      <c r="J84" s="158">
        <f t="shared" si="12"/>
        <v>-0.43951961696985953</v>
      </c>
      <c r="K84" t="str">
        <f t="shared" si="13"/>
        <v>about perfect</v>
      </c>
    </row>
    <row r="85" spans="1:11">
      <c r="A85">
        <v>84</v>
      </c>
      <c r="B85">
        <f>IF(J84&gt;-0.4,B84+ROUNDUP(E84/50,0)*50,ROUNDUP(MAX(MIN(VLOOKUP(A85,Overview!$A$4:$K$202,11)/3*0.6,IF(A85&gt;2,B84+MIN(MAX(A84*50,1850),(B84-B83)*1.22,(B84-B83)+150),999)),B84+(B84-B83)),0))</f>
        <v>178523</v>
      </c>
      <c r="C85">
        <f t="shared" si="9"/>
        <v>89262</v>
      </c>
      <c r="D85">
        <f t="shared" si="14"/>
        <v>3650</v>
      </c>
      <c r="E85">
        <f t="shared" si="10"/>
        <v>2125</v>
      </c>
      <c r="F85">
        <f>VLOOKUP(A85-1,Overview!$A$4:$K$202,11)/3*0.6</f>
        <v>165783</v>
      </c>
      <c r="G85" s="272">
        <f t="shared" si="11"/>
        <v>7.6847445154207605E-2</v>
      </c>
      <c r="H85">
        <f>SUM(B$2:B85)*3</f>
        <v>15993660</v>
      </c>
      <c r="I85">
        <f>VLOOKUP(A85,Overview!A$4:L$202,12)</f>
        <v>28422360</v>
      </c>
      <c r="J85" s="158">
        <f t="shared" si="12"/>
        <v>-0.43728599595529716</v>
      </c>
      <c r="K85" t="str">
        <f t="shared" si="13"/>
        <v>about perfect</v>
      </c>
    </row>
    <row r="86" spans="1:11">
      <c r="A86">
        <v>85</v>
      </c>
      <c r="B86">
        <f>IF(J85&gt;-0.4,B85+ROUNDUP(E85/50,0)*50,ROUNDUP(MAX(MIN(VLOOKUP(A86,Overview!$A$4:$K$202,11)/3*0.6,IF(A86&gt;2,B85+MIN(MAX(A85*50,1850),(B85-B84)*1.22,(B85-B84)+150),999)),B85+(B85-B84)),0))</f>
        <v>182173</v>
      </c>
      <c r="C86">
        <f t="shared" si="9"/>
        <v>91087</v>
      </c>
      <c r="D86">
        <f t="shared" si="14"/>
        <v>3650</v>
      </c>
      <c r="E86">
        <f t="shared" si="10"/>
        <v>2143</v>
      </c>
      <c r="F86">
        <f>VLOOKUP(A86-1,Overview!$A$4:$K$202,11)/3*0.6</f>
        <v>168457</v>
      </c>
      <c r="G86" s="272">
        <f t="shared" si="11"/>
        <v>8.1421371625993499E-2</v>
      </c>
      <c r="H86">
        <f>SUM(B$2:B86)*3</f>
        <v>16540179</v>
      </c>
      <c r="I86">
        <f>VLOOKUP(A86,Overview!A$4:L$202,12)</f>
        <v>29277650</v>
      </c>
      <c r="J86" s="158">
        <f t="shared" si="12"/>
        <v>-0.43505783421825184</v>
      </c>
      <c r="K86" t="str">
        <f t="shared" si="13"/>
        <v>about perfect</v>
      </c>
    </row>
    <row r="87" spans="1:11">
      <c r="A87">
        <v>86</v>
      </c>
      <c r="B87">
        <f>IF(J86&gt;-0.4,B86+ROUNDUP(E86/50,0)*50,ROUNDUP(MAX(MIN(VLOOKUP(A87,Overview!$A$4:$K$202,11)/3*0.6,IF(A87&gt;2,B86+MIN(MAX(A86*50,1850),(B86-B85)*1.22,(B86-B85)+150),999)),B86+(B86-B85)),0))</f>
        <v>185823</v>
      </c>
      <c r="C87">
        <f t="shared" si="9"/>
        <v>92912</v>
      </c>
      <c r="D87">
        <f t="shared" si="14"/>
        <v>3650</v>
      </c>
      <c r="E87">
        <f t="shared" si="10"/>
        <v>2161</v>
      </c>
      <c r="F87">
        <f>VLOOKUP(A87-1,Overview!$A$4:$K$202,11)/3*0.6</f>
        <v>171058</v>
      </c>
      <c r="G87" s="272">
        <f t="shared" si="11"/>
        <v>8.6315752551766156E-2</v>
      </c>
      <c r="H87">
        <f>SUM(B$2:B87)*3</f>
        <v>17097648</v>
      </c>
      <c r="I87">
        <f>VLOOKUP(A87,Overview!A$4:L$202,12)</f>
        <v>30146304</v>
      </c>
      <c r="J87" s="158">
        <f t="shared" si="12"/>
        <v>-0.43284430489389347</v>
      </c>
      <c r="K87" t="str">
        <f t="shared" si="13"/>
        <v>about perfect</v>
      </c>
    </row>
    <row r="88" spans="1:11">
      <c r="A88">
        <v>87</v>
      </c>
      <c r="B88">
        <f>IF(J87&gt;-0.4,B87+ROUNDUP(E87/50,0)*50,ROUNDUP(MAX(MIN(VLOOKUP(A88,Overview!$A$4:$K$202,11)/3*0.6,IF(A88&gt;2,B87+MIN(MAX(A87*50,1850),(B87-B86)*1.22,(B87-B86)+150),999)),B87+(B87-B86)),0))</f>
        <v>189473</v>
      </c>
      <c r="C88">
        <f t="shared" si="9"/>
        <v>94737</v>
      </c>
      <c r="D88">
        <f t="shared" si="14"/>
        <v>3650</v>
      </c>
      <c r="E88">
        <f t="shared" si="10"/>
        <v>2178</v>
      </c>
      <c r="F88">
        <f>VLOOKUP(A88-1,Overview!$A$4:$K$202,11)/3*0.6</f>
        <v>173730.8</v>
      </c>
      <c r="G88" s="272">
        <f t="shared" si="11"/>
        <v>9.0612602946627874E-2</v>
      </c>
      <c r="H88">
        <f>SUM(B$2:B88)*3</f>
        <v>17666067</v>
      </c>
      <c r="I88">
        <f>VLOOKUP(A88,Overview!A$4:L$202,12)</f>
        <v>31028321</v>
      </c>
      <c r="J88" s="158">
        <f t="shared" si="12"/>
        <v>-0.43064702082977679</v>
      </c>
      <c r="K88" t="str">
        <f t="shared" si="13"/>
        <v>about perfect</v>
      </c>
    </row>
    <row r="89" spans="1:11">
      <c r="A89">
        <v>88</v>
      </c>
      <c r="B89">
        <f>IF(J88&gt;-0.4,B88+ROUNDUP(E88/50,0)*50,ROUNDUP(MAX(MIN(VLOOKUP(A89,Overview!$A$4:$K$202,11)/3*0.6,IF(A89&gt;2,B88+MIN(MAX(A88*50,1850),(B88-B87)*1.22,(B88-B87)+150),999)),B88+(B88-B87)),0))</f>
        <v>193123</v>
      </c>
      <c r="C89">
        <f t="shared" si="9"/>
        <v>96562</v>
      </c>
      <c r="D89">
        <f t="shared" si="14"/>
        <v>3650</v>
      </c>
      <c r="E89">
        <f t="shared" si="10"/>
        <v>2195</v>
      </c>
      <c r="F89">
        <f>VLOOKUP(A89-1,Overview!$A$4:$K$202,11)/3*0.6</f>
        <v>176403.4</v>
      </c>
      <c r="G89" s="272">
        <f t="shared" si="11"/>
        <v>9.4780486090404237E-2</v>
      </c>
      <c r="H89">
        <f>SUM(B$2:B89)*3</f>
        <v>18245436</v>
      </c>
      <c r="I89">
        <f>VLOOKUP(A89,Overview!A$4:L$202,12)</f>
        <v>31923702</v>
      </c>
      <c r="J89" s="158">
        <f t="shared" si="12"/>
        <v>-0.42846741270796229</v>
      </c>
      <c r="K89" t="str">
        <f t="shared" si="13"/>
        <v>about perfect</v>
      </c>
    </row>
    <row r="90" spans="1:11">
      <c r="A90">
        <v>89</v>
      </c>
      <c r="B90">
        <f>IF(J89&gt;-0.4,B89+ROUNDUP(E89/50,0)*50,ROUNDUP(MAX(MIN(VLOOKUP(A90,Overview!$A$4:$K$202,11)/3*0.6,IF(A90&gt;2,B89+MIN(MAX(A89*50,1850),(B89-B88)*1.22,(B89-B88)+150),999)),B89+(B89-B88)),0))</f>
        <v>196773</v>
      </c>
      <c r="C90">
        <f t="shared" si="9"/>
        <v>98387</v>
      </c>
      <c r="D90">
        <f t="shared" si="14"/>
        <v>3650</v>
      </c>
      <c r="E90">
        <f t="shared" si="10"/>
        <v>2211</v>
      </c>
      <c r="F90">
        <f>VLOOKUP(A90-1,Overview!$A$4:$K$202,11)/3*0.6</f>
        <v>179076.19999999998</v>
      </c>
      <c r="G90" s="272">
        <f t="shared" si="11"/>
        <v>9.88227357962701E-2</v>
      </c>
      <c r="H90">
        <f>SUM(B$2:B90)*3</f>
        <v>18835755</v>
      </c>
      <c r="I90">
        <f>VLOOKUP(A90,Overview!A$4:L$202,12)</f>
        <v>32832490</v>
      </c>
      <c r="J90" s="158">
        <f t="shared" si="12"/>
        <v>-0.4263074472877324</v>
      </c>
      <c r="K90" t="str">
        <f t="shared" si="13"/>
        <v>about perfect</v>
      </c>
    </row>
    <row r="91" spans="1:11">
      <c r="A91">
        <v>90</v>
      </c>
      <c r="B91">
        <f>IF(J90&gt;-0.4,B90+ROUNDUP(E90/50,0)*50,ROUNDUP(MAX(MIN(VLOOKUP(A91,Overview!$A$4:$K$202,11)/3*0.6,IF(A91&gt;2,B90+MIN(MAX(A90*50,1850),(B90-B89)*1.22,(B90-B89)+150),999)),B90+(B90-B89)),0))</f>
        <v>200423</v>
      </c>
      <c r="C91">
        <f t="shared" si="9"/>
        <v>100212</v>
      </c>
      <c r="D91">
        <f t="shared" si="14"/>
        <v>3650</v>
      </c>
      <c r="E91">
        <f t="shared" si="10"/>
        <v>2227</v>
      </c>
      <c r="F91">
        <f>VLOOKUP(A91-1,Overview!$A$4:$K$202,11)/3*0.6</f>
        <v>181757.59999999998</v>
      </c>
      <c r="G91" s="272">
        <f t="shared" si="11"/>
        <v>0.10269391761334901</v>
      </c>
      <c r="H91">
        <f>SUM(B$2:B91)*3</f>
        <v>19437024</v>
      </c>
      <c r="I91">
        <f>VLOOKUP(A91,Overview!A$4:L$202,12)</f>
        <v>33754642</v>
      </c>
      <c r="J91" s="158">
        <f t="shared" si="12"/>
        <v>-0.42416737822311967</v>
      </c>
      <c r="K91" t="str">
        <f t="shared" si="13"/>
        <v>about perfect</v>
      </c>
    </row>
    <row r="92" spans="1:11">
      <c r="A92">
        <v>91</v>
      </c>
      <c r="B92">
        <f>IF(J91&gt;-0.4,B91+ROUNDUP(E91/50,0)*50,ROUNDUP(MAX(MIN(VLOOKUP(A92,Overview!$A$4:$K$202,11)/3*0.6,IF(A92&gt;2,B91+MIN(MAX(A91*50,1850),(B91-B90)*1.22,(B91-B90)+150),999)),B91+(B91-B90)),0))</f>
        <v>204073</v>
      </c>
      <c r="C92">
        <f t="shared" si="9"/>
        <v>102037</v>
      </c>
      <c r="D92">
        <f t="shared" si="14"/>
        <v>3650</v>
      </c>
      <c r="E92">
        <f t="shared" si="10"/>
        <v>2243</v>
      </c>
      <c r="F92">
        <f>VLOOKUP(A92-1,Overview!$A$4:$K$202,11)/3*0.6</f>
        <v>184430.4</v>
      </c>
      <c r="G92" s="272">
        <f t="shared" si="11"/>
        <v>0.10650413380874313</v>
      </c>
      <c r="H92">
        <f>SUM(B$2:B92)*3</f>
        <v>20049243</v>
      </c>
      <c r="I92">
        <f>VLOOKUP(A92,Overview!A$4:L$202,12)</f>
        <v>34690159</v>
      </c>
      <c r="J92" s="158">
        <f t="shared" si="12"/>
        <v>-0.42204810880226873</v>
      </c>
      <c r="K92" t="str">
        <f t="shared" si="13"/>
        <v>about perfect</v>
      </c>
    </row>
    <row r="93" spans="1:11">
      <c r="A93">
        <v>92</v>
      </c>
      <c r="B93">
        <f>IF(J92&gt;-0.4,B92+ROUNDUP(E92/50,0)*50,ROUNDUP(MAX(MIN(VLOOKUP(A93,Overview!$A$4:$K$202,11)/3*0.6,IF(A93&gt;2,B92+MIN(MAX(A92*50,1850),(B92-B91)*1.22,(B92-B91)+150),999)),B92+(B92-B91)),0))</f>
        <v>207723</v>
      </c>
      <c r="C93">
        <f t="shared" si="9"/>
        <v>103862</v>
      </c>
      <c r="D93">
        <f t="shared" si="14"/>
        <v>3650</v>
      </c>
      <c r="E93">
        <f t="shared" si="10"/>
        <v>2258</v>
      </c>
      <c r="F93">
        <f>VLOOKUP(A93-1,Overview!$A$4:$K$202,11)/3*0.6</f>
        <v>187103.4</v>
      </c>
      <c r="G93" s="272">
        <f t="shared" si="11"/>
        <v>0.11020430414412563</v>
      </c>
      <c r="H93">
        <f>SUM(B$2:B93)*3</f>
        <v>20672412</v>
      </c>
      <c r="I93">
        <f>VLOOKUP(A93,Overview!A$4:L$202,12)</f>
        <v>35639081</v>
      </c>
      <c r="J93" s="158">
        <f t="shared" si="12"/>
        <v>-0.41995103633564512</v>
      </c>
      <c r="K93" t="str">
        <f t="shared" si="13"/>
        <v>about perfect</v>
      </c>
    </row>
    <row r="94" spans="1:11">
      <c r="A94">
        <v>93</v>
      </c>
      <c r="B94">
        <f>IF(J93&gt;-0.4,B93+ROUNDUP(E93/50,0)*50,ROUNDUP(MAX(MIN(VLOOKUP(A94,Overview!$A$4:$K$202,11)/3*0.6,IF(A94&gt;2,B93+MIN(MAX(A93*50,1850),(B93-B92)*1.22,(B93-B92)+150),999)),B93+(B93-B92)),0))</f>
        <v>211373</v>
      </c>
      <c r="C94">
        <f t="shared" si="9"/>
        <v>105687</v>
      </c>
      <c r="D94">
        <f t="shared" si="14"/>
        <v>3650</v>
      </c>
      <c r="E94">
        <f t="shared" si="10"/>
        <v>2273</v>
      </c>
      <c r="F94">
        <f>VLOOKUP(A94-1,Overview!$A$4:$K$202,11)/3*0.6</f>
        <v>189784.4</v>
      </c>
      <c r="G94" s="272">
        <f t="shared" si="11"/>
        <v>0.11375329057604322</v>
      </c>
      <c r="H94">
        <f>SUM(B$2:B94)*3</f>
        <v>21306531</v>
      </c>
      <c r="I94">
        <f>VLOOKUP(A94,Overview!A$4:L$202,12)</f>
        <v>36601369</v>
      </c>
      <c r="J94" s="158">
        <f t="shared" si="12"/>
        <v>-0.41787611824027671</v>
      </c>
      <c r="K94" t="str">
        <f t="shared" si="13"/>
        <v>about perfect</v>
      </c>
    </row>
    <row r="95" spans="1:11">
      <c r="A95">
        <v>94</v>
      </c>
      <c r="B95">
        <f>IF(J94&gt;-0.4,B94+ROUNDUP(E94/50,0)*50,ROUNDUP(MAX(MIN(VLOOKUP(A95,Overview!$A$4:$K$202,11)/3*0.6,IF(A95&gt;2,B94+MIN(MAX(A94*50,1850),(B94-B93)*1.22,(B94-B93)+150),999)),B94+(B94-B93)),0))</f>
        <v>215023</v>
      </c>
      <c r="C95">
        <f t="shared" si="9"/>
        <v>107512</v>
      </c>
      <c r="D95">
        <f t="shared" si="14"/>
        <v>3650</v>
      </c>
      <c r="E95">
        <f t="shared" si="10"/>
        <v>2287</v>
      </c>
      <c r="F95">
        <f>VLOOKUP(A95-1,Overview!$A$4:$K$202,11)/3*0.6</f>
        <v>192457.60000000001</v>
      </c>
      <c r="G95" s="272">
        <f t="shared" si="11"/>
        <v>0.1172486823071679</v>
      </c>
      <c r="H95">
        <f>SUM(B$2:B95)*3</f>
        <v>21951600</v>
      </c>
      <c r="I95">
        <f>VLOOKUP(A95,Overview!A$4:L$202,12)</f>
        <v>37577022</v>
      </c>
      <c r="J95" s="158">
        <f t="shared" si="12"/>
        <v>-0.41582385107579845</v>
      </c>
      <c r="K95" t="str">
        <f t="shared" si="13"/>
        <v>about perfect</v>
      </c>
    </row>
    <row r="96" spans="1:11">
      <c r="A96">
        <v>95</v>
      </c>
      <c r="B96">
        <f>IF(J95&gt;-0.4,B95+ROUNDUP(E95/50,0)*50,ROUNDUP(MAX(MIN(VLOOKUP(A96,Overview!$A$4:$K$202,11)/3*0.6,IF(A96&gt;2,B95+MIN(MAX(A95*50,1850),(B95-B94)*1.22,(B95-B94)+150),999)),B95+(B95-B94)),0))</f>
        <v>218673</v>
      </c>
      <c r="C96">
        <f t="shared" si="9"/>
        <v>109337</v>
      </c>
      <c r="D96">
        <f t="shared" si="14"/>
        <v>3650</v>
      </c>
      <c r="E96">
        <f t="shared" si="10"/>
        <v>2302</v>
      </c>
      <c r="F96">
        <f>VLOOKUP(A96-1,Overview!$A$4:$K$202,11)/3*0.6</f>
        <v>195130.6</v>
      </c>
      <c r="G96" s="272">
        <f t="shared" si="11"/>
        <v>0.12064945221303058</v>
      </c>
      <c r="H96">
        <f>SUM(B$2:B96)*3</f>
        <v>22607619</v>
      </c>
      <c r="I96">
        <f>VLOOKUP(A96,Overview!A$4:L$202,12)</f>
        <v>38566040</v>
      </c>
      <c r="J96" s="158">
        <f t="shared" si="12"/>
        <v>-0.41379464938583277</v>
      </c>
      <c r="K96" t="str">
        <f t="shared" si="13"/>
        <v>about perfect</v>
      </c>
    </row>
    <row r="97" spans="1:11">
      <c r="A97">
        <v>96</v>
      </c>
      <c r="B97">
        <f>IF(J96&gt;-0.4,B96+ROUNDUP(E96/50,0)*50,ROUNDUP(MAX(MIN(VLOOKUP(A97,Overview!$A$4:$K$202,11)/3*0.6,IF(A97&gt;2,B96+MIN(MAX(A96*50,1850),(B96-B95)*1.22,(B96-B95)+150),999)),B96+(B96-B95)),0))</f>
        <v>222323</v>
      </c>
      <c r="C97">
        <f t="shared" si="9"/>
        <v>111162</v>
      </c>
      <c r="D97">
        <f t="shared" si="14"/>
        <v>3650</v>
      </c>
      <c r="E97">
        <f t="shared" si="10"/>
        <v>2316</v>
      </c>
      <c r="F97">
        <f>VLOOKUP(A97-1,Overview!$A$4:$K$202,11)/3*0.6</f>
        <v>197803.6</v>
      </c>
      <c r="G97" s="272">
        <f t="shared" si="11"/>
        <v>0.12395831016220127</v>
      </c>
      <c r="H97">
        <f>SUM(B$2:B97)*3</f>
        <v>23274588</v>
      </c>
      <c r="I97">
        <f>VLOOKUP(A97,Overview!A$4:L$202,12)</f>
        <v>39568464</v>
      </c>
      <c r="J97" s="158">
        <f t="shared" si="12"/>
        <v>-0.41178944929477168</v>
      </c>
      <c r="K97" t="str">
        <f t="shared" si="13"/>
        <v>about perfect</v>
      </c>
    </row>
    <row r="98" spans="1:11">
      <c r="A98">
        <v>97</v>
      </c>
      <c r="B98">
        <f>IF(J97&gt;-0.4,B97+ROUNDUP(E97/50,0)*50,ROUNDUP(MAX(MIN(VLOOKUP(A98,Overview!$A$4:$K$202,11)/3*0.6,IF(A98&gt;2,B97+MIN(MAX(A97*50,1850),(B97-B96)*1.22,(B97-B96)+150),999)),B97+(B97-B96)),0))</f>
        <v>225973</v>
      </c>
      <c r="C98">
        <f t="shared" ref="C98:C129" si="15">ROUND(B98/2,0)</f>
        <v>112987</v>
      </c>
      <c r="D98">
        <f t="shared" si="14"/>
        <v>3650</v>
      </c>
      <c r="E98">
        <f t="shared" ref="E98:E129" si="16">ROUND(B98/A98,0)</f>
        <v>2330</v>
      </c>
      <c r="F98">
        <f>VLOOKUP(A98-1,Overview!$A$4:$K$202,11)/3*0.6</f>
        <v>200484.8</v>
      </c>
      <c r="G98" s="272">
        <f t="shared" ref="G98:G129" si="17">B98/F98-1</f>
        <v>0.12713283002003162</v>
      </c>
      <c r="H98">
        <f>SUM(B$2:B98)*3</f>
        <v>23952507</v>
      </c>
      <c r="I98">
        <f>VLOOKUP(A98,Overview!A$4:L$202,12)</f>
        <v>40584253</v>
      </c>
      <c r="J98" s="158">
        <f t="shared" si="12"/>
        <v>-0.40980786316308448</v>
      </c>
      <c r="K98" t="str">
        <f t="shared" si="13"/>
        <v>about perfect</v>
      </c>
    </row>
    <row r="99" spans="1:11">
      <c r="A99">
        <v>98</v>
      </c>
      <c r="B99">
        <f>IF(J98&gt;-0.4,B98+ROUNDUP(E98/50,0)*50,ROUNDUP(MAX(MIN(VLOOKUP(A99,Overview!$A$4:$K$202,11)/3*0.6,IF(A99&gt;2,B98+MIN(MAX(A98*50,1850),(B98-B97)*1.22,(B98-B97)+150),999)),B98+(B98-B97)),0))</f>
        <v>229623</v>
      </c>
      <c r="C99">
        <f t="shared" si="15"/>
        <v>114812</v>
      </c>
      <c r="D99">
        <f t="shared" si="14"/>
        <v>3650</v>
      </c>
      <c r="E99">
        <f t="shared" si="16"/>
        <v>2343</v>
      </c>
      <c r="F99">
        <f>VLOOKUP(A99-1,Overview!$A$4:$K$202,11)/3*0.6</f>
        <v>203157.8</v>
      </c>
      <c r="G99" s="272">
        <f t="shared" si="17"/>
        <v>0.13026917991827047</v>
      </c>
      <c r="H99">
        <f>SUM(B$2:B99)*3</f>
        <v>24641376</v>
      </c>
      <c r="I99">
        <f>VLOOKUP(A99,Overview!A$4:L$202,12)</f>
        <v>41613408</v>
      </c>
      <c r="J99" s="158">
        <f t="shared" si="12"/>
        <v>-0.4078500852417567</v>
      </c>
      <c r="K99" t="str">
        <f t="shared" si="13"/>
        <v>about perfect</v>
      </c>
    </row>
    <row r="100" spans="1:11">
      <c r="A100">
        <v>99</v>
      </c>
      <c r="B100">
        <f>IF(J99&gt;-0.4,B99+ROUNDUP(E99/50,0)*50,ROUNDUP(MAX(MIN(VLOOKUP(A100,Overview!$A$4:$K$202,11)/3*0.6,IF(A100&gt;2,B99+MIN(MAX(A99*50,1850),(B99-B98)*1.22,(B99-B98)+150),999)),B99+(B99-B98)),0))</f>
        <v>233273</v>
      </c>
      <c r="C100">
        <f t="shared" si="15"/>
        <v>116637</v>
      </c>
      <c r="D100">
        <f t="shared" si="14"/>
        <v>3650</v>
      </c>
      <c r="E100">
        <f t="shared" si="16"/>
        <v>2356</v>
      </c>
      <c r="F100">
        <f>VLOOKUP(A100-1,Overview!$A$4:$K$202,11)/3*0.6</f>
        <v>205831</v>
      </c>
      <c r="G100" s="272">
        <f t="shared" si="17"/>
        <v>0.13332296884337147</v>
      </c>
      <c r="H100">
        <f>SUM(B$2:B100)*3</f>
        <v>25341195</v>
      </c>
      <c r="I100">
        <f>VLOOKUP(A100,Overview!A$4:L$202,12)</f>
        <v>42655968</v>
      </c>
      <c r="J100" s="158">
        <f t="shared" si="12"/>
        <v>-0.40591677581903662</v>
      </c>
      <c r="K100" t="str">
        <f t="shared" si="13"/>
        <v>about perfect</v>
      </c>
    </row>
    <row r="101" spans="1:11">
      <c r="A101">
        <v>100</v>
      </c>
      <c r="B101">
        <f>IF(J100&gt;-0.4,B100+ROUNDUP(E100/50,0)*50,ROUNDUP(MAX(MIN(VLOOKUP(A101,Overview!$A$4:$K$202,11)/3*0.6,IF(A101&gt;2,B100+MIN(MAX(A100*50,1850),(B100-B99)*1.22,(B100-B99)+150),999)),B100+(B100-B99)),0))</f>
        <v>236923</v>
      </c>
      <c r="C101">
        <f t="shared" si="15"/>
        <v>118462</v>
      </c>
      <c r="D101">
        <f t="shared" si="14"/>
        <v>3650</v>
      </c>
      <c r="E101">
        <f t="shared" si="16"/>
        <v>2369</v>
      </c>
      <c r="F101">
        <f>VLOOKUP(A101-1,Overview!$A$4:$K$202,11)/3*0.6</f>
        <v>208512</v>
      </c>
      <c r="G101" s="272">
        <f t="shared" si="17"/>
        <v>0.1362559468999387</v>
      </c>
      <c r="H101">
        <f>SUM(B$2:B101)*3</f>
        <v>26051964</v>
      </c>
      <c r="I101">
        <f>VLOOKUP(A101,Overview!A$4:L$202,12)</f>
        <v>43711894</v>
      </c>
      <c r="J101" s="158">
        <f t="shared" si="12"/>
        <v>-0.40400743102094816</v>
      </c>
      <c r="K101" t="str">
        <f t="shared" si="13"/>
        <v>about perfect</v>
      </c>
    </row>
    <row r="102" spans="1:11">
      <c r="A102">
        <v>101</v>
      </c>
      <c r="B102">
        <f>IF(J101&gt;-0.4,B101+ROUNDUP(E101/50,0)*50,ROUNDUP(MAX(MIN(VLOOKUP(A102,Overview!$A$4:$K$202,11)/3*0.6,IF(A102&gt;2,B101+MIN(MAX(A101*50,1850),(B101-B100)*1.22,(B101-B100)+150),999)),B101+(B101-B100)),0))</f>
        <v>240573</v>
      </c>
      <c r="C102">
        <f t="shared" si="15"/>
        <v>120287</v>
      </c>
      <c r="D102">
        <f t="shared" si="14"/>
        <v>3650</v>
      </c>
      <c r="E102">
        <f t="shared" si="16"/>
        <v>2382</v>
      </c>
      <c r="F102">
        <f>VLOOKUP(A102-1,Overview!$A$4:$K$202,11)/3*0.6</f>
        <v>211185.19999999998</v>
      </c>
      <c r="G102" s="272">
        <f t="shared" si="17"/>
        <v>0.13915653180241816</v>
      </c>
      <c r="H102">
        <f>SUM(B$2:B102)*3</f>
        <v>26773683</v>
      </c>
      <c r="I102">
        <f>VLOOKUP(A102,Overview!A$4:L$202,12)</f>
        <v>44781186</v>
      </c>
      <c r="J102" s="158">
        <f t="shared" si="12"/>
        <v>-0.4021220652798253</v>
      </c>
      <c r="K102" t="str">
        <f t="shared" si="13"/>
        <v>about perfect</v>
      </c>
    </row>
    <row r="103" spans="1:11">
      <c r="A103">
        <v>102</v>
      </c>
      <c r="B103">
        <f>IF(J102&gt;-0.4,B102+ROUNDUP(E102/50,0)*50,ROUNDUP(MAX(MIN(VLOOKUP(A103,Overview!$A$4:$K$202,11)/3*0.6,IF(A103&gt;2,B102+MIN(MAX(A102*50,1850),(B102-B101)*1.22,(B102-B101)+150),999)),B102+(B102-B101)),0))</f>
        <v>244223</v>
      </c>
      <c r="C103">
        <f t="shared" si="15"/>
        <v>122112</v>
      </c>
      <c r="D103">
        <f t="shared" si="14"/>
        <v>3650</v>
      </c>
      <c r="E103">
        <f t="shared" si="16"/>
        <v>2394</v>
      </c>
      <c r="F103">
        <f>VLOOKUP(A103-1,Overview!$A$4:$K$202,11)/3*0.6</f>
        <v>213858.4</v>
      </c>
      <c r="G103" s="272">
        <f t="shared" si="17"/>
        <v>0.14198460289612203</v>
      </c>
      <c r="H103">
        <f>SUM(B$2:B103)*3</f>
        <v>27506352</v>
      </c>
      <c r="I103">
        <f>VLOOKUP(A103,Overview!A$4:L$202,12)</f>
        <v>45863845</v>
      </c>
      <c r="J103" s="158">
        <f t="shared" si="12"/>
        <v>-0.40026066283801542</v>
      </c>
      <c r="K103" t="str">
        <f t="shared" si="13"/>
        <v>about perfect</v>
      </c>
    </row>
    <row r="104" spans="1:11">
      <c r="A104">
        <v>103</v>
      </c>
      <c r="B104">
        <f>IF(J103&gt;-0.4,B103+ROUNDUP(E103/50,0)*50,ROUNDUP(MAX(MIN(VLOOKUP(A104,Overview!$A$4:$K$202,11)/3*0.6,IF(A104&gt;2,B103+MIN(MAX(A103*50,1850),(B103-B102)*1.22,(B103-B102)+150),999)),B103+(B103-B102)),0))</f>
        <v>247873</v>
      </c>
      <c r="C104">
        <f t="shared" si="15"/>
        <v>123937</v>
      </c>
      <c r="D104">
        <f t="shared" si="14"/>
        <v>3650</v>
      </c>
      <c r="E104">
        <f t="shared" si="16"/>
        <v>2407</v>
      </c>
      <c r="F104">
        <f>VLOOKUP(A104-1,Overview!$A$4:$K$202,11)/3*0.6</f>
        <v>216531.8</v>
      </c>
      <c r="G104" s="272">
        <f t="shared" si="17"/>
        <v>0.14474178850404429</v>
      </c>
      <c r="H104">
        <f>SUM(B$2:B104)*3</f>
        <v>28249971</v>
      </c>
      <c r="I104">
        <f>VLOOKUP(A104,Overview!A$4:L$202,12)</f>
        <v>46959909</v>
      </c>
      <c r="J104" s="158">
        <f t="shared" si="12"/>
        <v>-0.39842364260118135</v>
      </c>
      <c r="K104" t="str">
        <f t="shared" si="13"/>
        <v>about perfect</v>
      </c>
    </row>
    <row r="105" spans="1:11">
      <c r="A105">
        <v>104</v>
      </c>
      <c r="B105">
        <f>IF(J104&gt;-0.4,B104+ROUNDUP(E104/50,0)*50,ROUNDUP(MAX(MIN(VLOOKUP(A105,Overview!$A$4:$K$202,11)/3*0.6,IF(A105&gt;2,B104+MIN(MAX(A104*50,1850),(B104-B103)*1.22,(B104-B103)+150),999)),B104+(B104-B103)),0))</f>
        <v>250323</v>
      </c>
      <c r="C105">
        <f t="shared" si="15"/>
        <v>125162</v>
      </c>
      <c r="D105">
        <f t="shared" si="14"/>
        <v>2450</v>
      </c>
      <c r="E105">
        <f t="shared" si="16"/>
        <v>2407</v>
      </c>
      <c r="F105">
        <f>VLOOKUP(A105-1,Overview!$A$4:$K$202,11)/3*0.6</f>
        <v>219212.80000000002</v>
      </c>
      <c r="G105" s="272">
        <f t="shared" si="17"/>
        <v>0.14191780771925711</v>
      </c>
      <c r="H105">
        <f>SUM(B$2:B105)*3</f>
        <v>29000940</v>
      </c>
      <c r="I105">
        <f>VLOOKUP(A105,Overview!A$4:L$202,12)</f>
        <v>48069340</v>
      </c>
      <c r="J105" s="158">
        <f t="shared" si="12"/>
        <v>-0.3966852883771651</v>
      </c>
      <c r="K105" t="str">
        <f t="shared" si="13"/>
        <v>about perfect</v>
      </c>
    </row>
    <row r="106" spans="1:11">
      <c r="A106">
        <v>105</v>
      </c>
      <c r="B106">
        <f>IF(J105&gt;-0.4,B105+ROUNDUP(E105/50,0)*50,ROUNDUP(MAX(MIN(VLOOKUP(A106,Overview!$A$4:$K$202,11)/3*0.6,IF(A106&gt;2,B105+MIN(MAX(A105*50,1850),(B105-B104)*1.22,(B105-B104)+150),999)),B105+(B105-B104)),0))</f>
        <v>252773</v>
      </c>
      <c r="C106">
        <f t="shared" si="15"/>
        <v>126387</v>
      </c>
      <c r="D106">
        <f t="shared" si="14"/>
        <v>2450</v>
      </c>
      <c r="E106">
        <f t="shared" si="16"/>
        <v>2407</v>
      </c>
      <c r="F106">
        <f>VLOOKUP(A106-1,Overview!$A$4:$K$202,11)/3*0.6</f>
        <v>221886.19999999998</v>
      </c>
      <c r="G106" s="272">
        <f t="shared" si="17"/>
        <v>0.13920108596208336</v>
      </c>
      <c r="H106">
        <f>SUM(B$2:B106)*3</f>
        <v>29759259</v>
      </c>
      <c r="I106">
        <f>VLOOKUP(A106,Overview!A$4:L$202,12)</f>
        <v>49192137</v>
      </c>
      <c r="J106" s="158">
        <f t="shared" si="12"/>
        <v>-0.39504032931116617</v>
      </c>
      <c r="K106" t="str">
        <f t="shared" si="13"/>
        <v>about perfect</v>
      </c>
    </row>
    <row r="107" spans="1:11">
      <c r="A107">
        <v>106</v>
      </c>
      <c r="B107">
        <f>IF(J106&gt;-0.4,B106+ROUNDUP(E106/50,0)*50,ROUNDUP(MAX(MIN(VLOOKUP(A107,Overview!$A$4:$K$202,11)/3*0.6,IF(A107&gt;2,B106+MIN(MAX(A106*50,1850),(B106-B105)*1.22,(B106-B105)+150),999)),B106+(B106-B105)),0))</f>
        <v>255223</v>
      </c>
      <c r="C107">
        <f t="shared" si="15"/>
        <v>127612</v>
      </c>
      <c r="D107">
        <f t="shared" si="14"/>
        <v>2450</v>
      </c>
      <c r="E107">
        <f t="shared" si="16"/>
        <v>2408</v>
      </c>
      <c r="F107">
        <f>VLOOKUP(A107-1,Overview!$A$4:$K$202,11)/3*0.6</f>
        <v>224559.4</v>
      </c>
      <c r="G107" s="272">
        <f t="shared" si="17"/>
        <v>0.1365500620325848</v>
      </c>
      <c r="H107">
        <f>SUM(B$2:B107)*3</f>
        <v>30524928</v>
      </c>
      <c r="I107">
        <f>VLOOKUP(A107,Overview!A$4:L$202,12)</f>
        <v>50328339</v>
      </c>
      <c r="J107" s="158">
        <f t="shared" si="12"/>
        <v>-0.39348429519996675</v>
      </c>
      <c r="K107" t="str">
        <f t="shared" si="13"/>
        <v>about perfect</v>
      </c>
    </row>
    <row r="108" spans="1:11">
      <c r="A108">
        <v>107</v>
      </c>
      <c r="B108">
        <f>IF(J107&gt;-0.4,B107+ROUNDUP(E107/50,0)*50,ROUNDUP(MAX(MIN(VLOOKUP(A108,Overview!$A$4:$K$202,11)/3*0.6,IF(A108&gt;2,B107+MIN(MAX(A107*50,1850),(B107-B106)*1.22,(B107-B106)+150),999)),B107+(B107-B106)),0))</f>
        <v>257673</v>
      </c>
      <c r="C108">
        <f t="shared" si="15"/>
        <v>128837</v>
      </c>
      <c r="D108">
        <f t="shared" si="14"/>
        <v>2450</v>
      </c>
      <c r="E108">
        <f t="shared" si="16"/>
        <v>2408</v>
      </c>
      <c r="F108">
        <f>VLOOKUP(A108-1,Overview!$A$4:$K$202,11)/3*0.6</f>
        <v>227240.4</v>
      </c>
      <c r="G108" s="272">
        <f t="shared" si="17"/>
        <v>0.13392248913485449</v>
      </c>
      <c r="H108">
        <f>SUM(B$2:B108)*3</f>
        <v>31297947</v>
      </c>
      <c r="I108">
        <f>VLOOKUP(A108,Overview!A$4:L$202,12)</f>
        <v>51477908</v>
      </c>
      <c r="J108" s="158">
        <f t="shared" si="12"/>
        <v>-0.39201206467053784</v>
      </c>
      <c r="K108" t="str">
        <f t="shared" si="13"/>
        <v>about perfect</v>
      </c>
    </row>
    <row r="109" spans="1:11">
      <c r="A109">
        <v>108</v>
      </c>
      <c r="B109">
        <f>IF(J108&gt;-0.4,B108+ROUNDUP(E108/50,0)*50,ROUNDUP(MAX(MIN(VLOOKUP(A109,Overview!$A$4:$K$202,11)/3*0.6,IF(A109&gt;2,B108+MIN(MAX(A108*50,1850),(B108-B107)*1.22,(B108-B107)+150),999)),B108+(B108-B107)),0))</f>
        <v>260123</v>
      </c>
      <c r="C109">
        <f t="shared" si="15"/>
        <v>130062</v>
      </c>
      <c r="D109">
        <f t="shared" si="14"/>
        <v>2450</v>
      </c>
      <c r="E109">
        <f t="shared" si="16"/>
        <v>2409</v>
      </c>
      <c r="F109">
        <f>VLOOKUP(A109-1,Overview!$A$4:$K$202,11)/3*0.6</f>
        <v>229913.80000000002</v>
      </c>
      <c r="G109" s="272">
        <f t="shared" si="17"/>
        <v>0.13139359185920974</v>
      </c>
      <c r="H109">
        <f>SUM(B$2:B109)*3</f>
        <v>32078316</v>
      </c>
      <c r="I109">
        <f>VLOOKUP(A109,Overview!A$4:L$202,12)</f>
        <v>52640844</v>
      </c>
      <c r="J109" s="158">
        <f t="shared" si="12"/>
        <v>-0.39061926894637178</v>
      </c>
      <c r="K109" t="str">
        <f t="shared" si="13"/>
        <v>about perfect</v>
      </c>
    </row>
    <row r="110" spans="1:11">
      <c r="A110">
        <v>109</v>
      </c>
      <c r="B110">
        <f>IF(J109&gt;-0.4,B109+ROUNDUP(E109/50,0)*50,ROUNDUP(MAX(MIN(VLOOKUP(A110,Overview!$A$4:$K$202,11)/3*0.6,IF(A110&gt;2,B109+MIN(MAX(A109*50,1850),(B109-B108)*1.22,(B109-B108)+150),999)),B109+(B109-B108)),0))</f>
        <v>262573</v>
      </c>
      <c r="C110">
        <f t="shared" si="15"/>
        <v>131287</v>
      </c>
      <c r="D110">
        <f t="shared" si="14"/>
        <v>2450</v>
      </c>
      <c r="E110">
        <f t="shared" si="16"/>
        <v>2409</v>
      </c>
      <c r="F110">
        <f>VLOOKUP(A110-1,Overview!$A$4:$K$202,11)/3*0.6</f>
        <v>232587.19999999998</v>
      </c>
      <c r="G110" s="272">
        <f t="shared" si="17"/>
        <v>0.12892282980318792</v>
      </c>
      <c r="H110">
        <f>SUM(B$2:B110)*3</f>
        <v>32866035</v>
      </c>
      <c r="I110">
        <f>VLOOKUP(A110,Overview!A$4:L$202,12)</f>
        <v>53817147</v>
      </c>
      <c r="J110" s="158">
        <f t="shared" si="12"/>
        <v>-0.38930179632153294</v>
      </c>
      <c r="K110" t="str">
        <f t="shared" si="13"/>
        <v>about perfect</v>
      </c>
    </row>
    <row r="111" spans="1:11">
      <c r="A111">
        <v>110</v>
      </c>
      <c r="B111">
        <f>IF(J110&gt;-0.4,B110+ROUNDUP(E110/50,0)*50,ROUNDUP(MAX(MIN(VLOOKUP(A111,Overview!$A$4:$K$202,11)/3*0.6,IF(A111&gt;2,B110+MIN(MAX(A110*50,1850),(B110-B109)*1.22,(B110-B109)+150),999)),B110+(B110-B109)),0))</f>
        <v>265023</v>
      </c>
      <c r="C111">
        <f t="shared" si="15"/>
        <v>132512</v>
      </c>
      <c r="D111">
        <f t="shared" si="14"/>
        <v>2450</v>
      </c>
      <c r="E111">
        <f t="shared" si="16"/>
        <v>2409</v>
      </c>
      <c r="F111">
        <f>VLOOKUP(A111-1,Overview!$A$4:$K$202,11)/3*0.6</f>
        <v>235260.6</v>
      </c>
      <c r="G111" s="272">
        <f t="shared" si="17"/>
        <v>0.12650822109609505</v>
      </c>
      <c r="H111">
        <f>SUM(B$2:B111)*3</f>
        <v>33661104</v>
      </c>
      <c r="I111">
        <f>VLOOKUP(A111,Overview!A$4:L$202,12)</f>
        <v>55006855</v>
      </c>
      <c r="J111" s="158">
        <f t="shared" si="12"/>
        <v>-0.38805619772299293</v>
      </c>
      <c r="K111" t="str">
        <f t="shared" si="13"/>
        <v>about perfect</v>
      </c>
    </row>
    <row r="112" spans="1:11">
      <c r="A112">
        <v>111</v>
      </c>
      <c r="B112">
        <f>IF(J111&gt;-0.4,B111+ROUNDUP(E111/50,0)*50,ROUNDUP(MAX(MIN(VLOOKUP(A112,Overview!$A$4:$K$202,11)/3*0.6,IF(A112&gt;2,B111+MIN(MAX(A111*50,1850),(B111-B110)*1.22,(B111-B110)+150),999)),B111+(B111-B110)),0))</f>
        <v>267473</v>
      </c>
      <c r="C112">
        <f t="shared" si="15"/>
        <v>133737</v>
      </c>
      <c r="D112">
        <f t="shared" si="14"/>
        <v>2450</v>
      </c>
      <c r="E112">
        <f t="shared" si="16"/>
        <v>2410</v>
      </c>
      <c r="F112">
        <f>VLOOKUP(A112-1,Overview!$A$4:$K$202,11)/3*0.6</f>
        <v>237941.59999999998</v>
      </c>
      <c r="G112" s="272">
        <f t="shared" si="17"/>
        <v>0.12411196697004656</v>
      </c>
      <c r="H112">
        <f>SUM(B$2:B112)*3</f>
        <v>34463523</v>
      </c>
      <c r="I112">
        <f>VLOOKUP(A112,Overview!A$4:L$202,12)</f>
        <v>56209930</v>
      </c>
      <c r="J112" s="158">
        <f t="shared" si="12"/>
        <v>-0.38687838607875868</v>
      </c>
      <c r="K112" t="str">
        <f t="shared" si="13"/>
        <v>about perfect</v>
      </c>
    </row>
    <row r="113" spans="1:11">
      <c r="A113">
        <v>112</v>
      </c>
      <c r="B113">
        <f>IF(J112&gt;-0.4,B112+ROUNDUP(E112/50,0)*50,ROUNDUP(MAX(MIN(VLOOKUP(A113,Overview!$A$4:$K$202,11)/3*0.6,IF(A113&gt;2,B112+MIN(MAX(A112*50,1850),(B112-B111)*1.22,(B112-B111)+150),999)),B112+(B112-B111)),0))</f>
        <v>269923</v>
      </c>
      <c r="C113">
        <f t="shared" si="15"/>
        <v>134962</v>
      </c>
      <c r="D113">
        <f t="shared" si="14"/>
        <v>2450</v>
      </c>
      <c r="E113">
        <f t="shared" si="16"/>
        <v>2410</v>
      </c>
      <c r="F113">
        <f>VLOOKUP(A113-1,Overview!$A$4:$K$202,11)/3*0.6</f>
        <v>240615</v>
      </c>
      <c r="G113" s="272">
        <f t="shared" si="17"/>
        <v>0.12180454252644268</v>
      </c>
      <c r="H113">
        <f>SUM(B$2:B113)*3</f>
        <v>35273292</v>
      </c>
      <c r="I113">
        <f>VLOOKUP(A113,Overview!A$4:L$202,12)</f>
        <v>57426373</v>
      </c>
      <c r="J113" s="158">
        <f t="shared" si="12"/>
        <v>-0.385764934170577</v>
      </c>
      <c r="K113" t="str">
        <f t="shared" si="13"/>
        <v>about perfect</v>
      </c>
    </row>
    <row r="114" spans="1:11">
      <c r="A114">
        <v>113</v>
      </c>
      <c r="B114">
        <f>IF(J113&gt;-0.4,B113+ROUNDUP(E113/50,0)*50,ROUNDUP(MAX(MIN(VLOOKUP(A114,Overview!$A$4:$K$202,11)/3*0.6,IF(A114&gt;2,B113+MIN(MAX(A113*50,1850),(B113-B112)*1.22,(B113-B112)+150),999)),B113+(B113-B112)),0))</f>
        <v>272373</v>
      </c>
      <c r="C114">
        <f t="shared" si="15"/>
        <v>136187</v>
      </c>
      <c r="D114">
        <f t="shared" si="14"/>
        <v>2450</v>
      </c>
      <c r="E114">
        <f t="shared" si="16"/>
        <v>2410</v>
      </c>
      <c r="F114">
        <f>VLOOKUP(A114-1,Overview!$A$4:$K$202,11)/3*0.6</f>
        <v>243288.59999999998</v>
      </c>
      <c r="G114" s="272">
        <f t="shared" si="17"/>
        <v>0.11954690848646443</v>
      </c>
      <c r="H114">
        <f>SUM(B$2:B114)*3</f>
        <v>36090411</v>
      </c>
      <c r="I114">
        <f>VLOOKUP(A114,Overview!A$4:L$202,12)</f>
        <v>58656220</v>
      </c>
      <c r="J114" s="158">
        <f t="shared" si="12"/>
        <v>-0.38471297673119742</v>
      </c>
      <c r="K114" t="str">
        <f t="shared" si="13"/>
        <v>about perfect</v>
      </c>
    </row>
    <row r="115" spans="1:11">
      <c r="A115">
        <v>114</v>
      </c>
      <c r="B115">
        <f>IF(J114&gt;-0.4,B114+ROUNDUP(E114/50,0)*50,ROUNDUP(MAX(MIN(VLOOKUP(A115,Overview!$A$4:$K$202,11)/3*0.6,IF(A115&gt;2,B114+MIN(MAX(A114*50,1850),(B114-B113)*1.22,(B114-B113)+150),999)),B114+(B114-B113)),0))</f>
        <v>274823</v>
      </c>
      <c r="C115">
        <f t="shared" si="15"/>
        <v>137412</v>
      </c>
      <c r="D115">
        <f t="shared" si="14"/>
        <v>2450</v>
      </c>
      <c r="E115">
        <f t="shared" si="16"/>
        <v>2411</v>
      </c>
      <c r="F115">
        <f>VLOOKUP(A115-1,Overview!$A$4:$K$202,11)/3*0.6</f>
        <v>245969.4</v>
      </c>
      <c r="G115" s="272">
        <f t="shared" si="17"/>
        <v>0.11730564858880821</v>
      </c>
      <c r="H115">
        <f>SUM(B$2:B115)*3</f>
        <v>36914880</v>
      </c>
      <c r="I115">
        <f>VLOOKUP(A115,Overview!A$4:L$202,12)</f>
        <v>59899435</v>
      </c>
      <c r="J115" s="158">
        <f t="shared" si="12"/>
        <v>-0.38371906179081661</v>
      </c>
      <c r="K115" t="str">
        <f t="shared" si="13"/>
        <v>about perfect</v>
      </c>
    </row>
    <row r="116" spans="1:11">
      <c r="A116">
        <v>115</v>
      </c>
      <c r="B116">
        <f>IF(J115&gt;-0.4,B115+ROUNDUP(E115/50,0)*50,ROUNDUP(MAX(MIN(VLOOKUP(A116,Overview!$A$4:$K$202,11)/3*0.6,IF(A116&gt;2,B115+MIN(MAX(A115*50,1850),(B115-B114)*1.22,(B115-B114)+150),999)),B115+(B115-B114)),0))</f>
        <v>277273</v>
      </c>
      <c r="C116">
        <f t="shared" si="15"/>
        <v>138637</v>
      </c>
      <c r="D116">
        <f t="shared" si="14"/>
        <v>2450</v>
      </c>
      <c r="E116">
        <f t="shared" si="16"/>
        <v>2411</v>
      </c>
      <c r="F116">
        <f>VLOOKUP(A116-1,Overview!$A$4:$K$202,11)/3*0.6</f>
        <v>248643</v>
      </c>
      <c r="G116" s="272">
        <f t="shared" si="17"/>
        <v>0.11514500709853093</v>
      </c>
      <c r="H116">
        <f>SUM(B$2:B116)*3</f>
        <v>37746699</v>
      </c>
      <c r="I116">
        <f>VLOOKUP(A116,Overview!A$4:L$202,12)</f>
        <v>61156018</v>
      </c>
      <c r="J116" s="158">
        <f t="shared" si="12"/>
        <v>-0.38278030135971242</v>
      </c>
      <c r="K116" t="str">
        <f t="shared" si="13"/>
        <v>about perfect</v>
      </c>
    </row>
    <row r="117" spans="1:11">
      <c r="A117">
        <v>116</v>
      </c>
      <c r="B117">
        <f>IF(J116&gt;-0.4,B116+ROUNDUP(E116/50,0)*50,ROUNDUP(MAX(MIN(VLOOKUP(A117,Overview!$A$4:$K$202,11)/3*0.6,IF(A117&gt;2,B116+MIN(MAX(A116*50,1850),(B116-B115)*1.22,(B116-B115)+150),999)),B116+(B116-B115)),0))</f>
        <v>279723</v>
      </c>
      <c r="C117">
        <f t="shared" si="15"/>
        <v>139862</v>
      </c>
      <c r="D117">
        <f t="shared" si="14"/>
        <v>2450</v>
      </c>
      <c r="E117">
        <f t="shared" si="16"/>
        <v>2411</v>
      </c>
      <c r="F117">
        <f>VLOOKUP(A117-1,Overview!$A$4:$K$202,11)/3*0.6</f>
        <v>251316.59999999998</v>
      </c>
      <c r="G117" s="272">
        <f t="shared" si="17"/>
        <v>0.11303033703304921</v>
      </c>
      <c r="H117">
        <f>SUM(B$2:B117)*3</f>
        <v>38585868</v>
      </c>
      <c r="I117">
        <f>VLOOKUP(A117,Overview!A$4:L$202,12)</f>
        <v>62425969</v>
      </c>
      <c r="J117" s="158">
        <f t="shared" si="12"/>
        <v>-0.38189396787737484</v>
      </c>
      <c r="K117" t="str">
        <f t="shared" si="13"/>
        <v>about perfect</v>
      </c>
    </row>
    <row r="118" spans="1:11">
      <c r="A118">
        <v>117</v>
      </c>
      <c r="B118">
        <f>IF(J117&gt;-0.4,B117+ROUNDUP(E117/50,0)*50,ROUNDUP(MAX(MIN(VLOOKUP(A118,Overview!$A$4:$K$202,11)/3*0.6,IF(A118&gt;2,B117+MIN(MAX(A117*50,1850),(B117-B116)*1.22,(B117-B116)+150),999)),B117+(B117-B116)),0))</f>
        <v>282173</v>
      </c>
      <c r="C118">
        <f t="shared" si="15"/>
        <v>141087</v>
      </c>
      <c r="D118">
        <f t="shared" si="14"/>
        <v>2450</v>
      </c>
      <c r="E118">
        <f t="shared" si="16"/>
        <v>2412</v>
      </c>
      <c r="F118">
        <f>VLOOKUP(A118-1,Overview!$A$4:$K$202,11)/3*0.6</f>
        <v>253990.19999999998</v>
      </c>
      <c r="G118" s="272">
        <f t="shared" si="17"/>
        <v>0.11096018665287088</v>
      </c>
      <c r="H118">
        <f>SUM(B$2:B118)*3</f>
        <v>39432387</v>
      </c>
      <c r="I118">
        <f>VLOOKUP(A118,Overview!A$4:L$202,12)</f>
        <v>63709324</v>
      </c>
      <c r="J118" s="158">
        <f t="shared" si="12"/>
        <v>-0.38105783385803937</v>
      </c>
      <c r="K118" t="str">
        <f t="shared" si="13"/>
        <v>about perfect</v>
      </c>
    </row>
    <row r="119" spans="1:11">
      <c r="A119">
        <v>118</v>
      </c>
      <c r="B119">
        <f>IF(J118&gt;-0.4,B118+ROUNDUP(E118/50,0)*50,ROUNDUP(MAX(MIN(VLOOKUP(A119,Overview!$A$4:$K$202,11)/3*0.6,IF(A119&gt;2,B118+MIN(MAX(A118*50,1850),(B118-B117)*1.22,(B118-B117)+150),999)),B118+(B118-B117)),0))</f>
        <v>284623</v>
      </c>
      <c r="C119">
        <f t="shared" si="15"/>
        <v>142312</v>
      </c>
      <c r="D119">
        <f t="shared" si="14"/>
        <v>2450</v>
      </c>
      <c r="E119">
        <f t="shared" si="16"/>
        <v>2412</v>
      </c>
      <c r="F119">
        <f>VLOOKUP(A119-1,Overview!$A$4:$K$202,11)/3*0.6</f>
        <v>256671</v>
      </c>
      <c r="G119" s="272">
        <f t="shared" si="17"/>
        <v>0.10890205749773063</v>
      </c>
      <c r="H119">
        <f>SUM(B$2:B119)*3</f>
        <v>40286256</v>
      </c>
      <c r="I119">
        <f>VLOOKUP(A119,Overview!A$4:L$202,12)</f>
        <v>65006047</v>
      </c>
      <c r="J119" s="158">
        <f t="shared" si="12"/>
        <v>-0.38026910019617099</v>
      </c>
      <c r="K119" t="str">
        <f t="shared" si="13"/>
        <v>about perfect</v>
      </c>
    </row>
    <row r="120" spans="1:11">
      <c r="A120">
        <v>119</v>
      </c>
      <c r="B120">
        <f>IF(J119&gt;-0.4,B119+ROUNDUP(E119/50,0)*50,ROUNDUP(MAX(MIN(VLOOKUP(A120,Overview!$A$4:$K$202,11)/3*0.6,IF(A120&gt;2,B119+MIN(MAX(A119*50,1850),(B119-B118)*1.22,(B119-B118)+150),999)),B119+(B119-B118)),0))</f>
        <v>287073</v>
      </c>
      <c r="C120">
        <f t="shared" si="15"/>
        <v>143537</v>
      </c>
      <c r="D120">
        <f t="shared" si="14"/>
        <v>2450</v>
      </c>
      <c r="E120">
        <f t="shared" si="16"/>
        <v>2412</v>
      </c>
      <c r="F120">
        <f>VLOOKUP(A120-1,Overview!$A$4:$K$202,11)/3*0.6</f>
        <v>259344.59999999998</v>
      </c>
      <c r="G120" s="272">
        <f t="shared" si="17"/>
        <v>0.10691720591059162</v>
      </c>
      <c r="H120">
        <f>SUM(B$2:B120)*3</f>
        <v>41147475</v>
      </c>
      <c r="I120">
        <f>VLOOKUP(A120,Overview!A$4:L$202,12)</f>
        <v>66316139</v>
      </c>
      <c r="J120" s="158">
        <f t="shared" si="12"/>
        <v>-0.3795254726756635</v>
      </c>
      <c r="K120" t="str">
        <f t="shared" si="13"/>
        <v>about perfect</v>
      </c>
    </row>
    <row r="121" spans="1:11">
      <c r="A121">
        <v>120</v>
      </c>
      <c r="B121">
        <f>IF(J120&gt;-0.4,B120+ROUNDUP(E120/50,0)*50,ROUNDUP(MAX(MIN(VLOOKUP(A121,Overview!$A$4:$K$202,11)/3*0.6,IF(A121&gt;2,B120+MIN(MAX(A120*50,1850),(B120-B119)*1.22,(B120-B119)+150),999)),B120+(B120-B119)),0))</f>
        <v>289523</v>
      </c>
      <c r="C121">
        <f t="shared" si="15"/>
        <v>144762</v>
      </c>
      <c r="D121">
        <f t="shared" si="14"/>
        <v>2450</v>
      </c>
      <c r="E121">
        <f t="shared" si="16"/>
        <v>2413</v>
      </c>
      <c r="F121">
        <f>VLOOKUP(A121-1,Overview!$A$4:$K$202,11)/3*0.6</f>
        <v>262018.39999999997</v>
      </c>
      <c r="G121" s="272">
        <f t="shared" si="17"/>
        <v>0.10497201723237781</v>
      </c>
      <c r="H121">
        <f>SUM(B$2:B121)*3</f>
        <v>42016044</v>
      </c>
      <c r="I121">
        <f>VLOOKUP(A121,Overview!A$4:L$202,12)</f>
        <v>67639634</v>
      </c>
      <c r="J121" s="158">
        <f t="shared" si="12"/>
        <v>-0.37882508353016808</v>
      </c>
      <c r="K121" t="str">
        <f t="shared" si="13"/>
        <v>about perfect</v>
      </c>
    </row>
    <row r="122" spans="1:11">
      <c r="A122">
        <v>121</v>
      </c>
      <c r="B122">
        <f>IF(J121&gt;-0.4,B121+ROUNDUP(E121/50,0)*50,ROUNDUP(MAX(MIN(VLOOKUP(A122,Overview!$A$4:$K$202,11)/3*0.6,IF(A122&gt;2,B121+MIN(MAX(A121*50,1850),(B121-B120)*1.22,(B121-B120)+150),999)),B121+(B121-B120)),0))</f>
        <v>291973</v>
      </c>
      <c r="C122">
        <f t="shared" si="15"/>
        <v>145987</v>
      </c>
      <c r="D122">
        <f t="shared" si="14"/>
        <v>2450</v>
      </c>
      <c r="E122">
        <f t="shared" si="16"/>
        <v>2413</v>
      </c>
      <c r="F122">
        <f>VLOOKUP(A122-1,Overview!$A$4:$K$202,11)/3*0.6</f>
        <v>264699</v>
      </c>
      <c r="G122" s="272">
        <f t="shared" si="17"/>
        <v>0.10303779009365344</v>
      </c>
      <c r="H122">
        <f>SUM(B$2:B122)*3</f>
        <v>42891963</v>
      </c>
      <c r="I122">
        <f>VLOOKUP(A122,Overview!A$4:L$202,12)</f>
        <v>68976498</v>
      </c>
      <c r="J122" s="158">
        <f t="shared" si="12"/>
        <v>-0.37816554560366344</v>
      </c>
      <c r="K122" t="str">
        <f t="shared" si="13"/>
        <v>about perfect</v>
      </c>
    </row>
    <row r="123" spans="1:11">
      <c r="A123">
        <v>122</v>
      </c>
      <c r="B123">
        <f>IF(J122&gt;-0.4,B122+ROUNDUP(E122/50,0)*50,ROUNDUP(MAX(MIN(VLOOKUP(A123,Overview!$A$4:$K$202,11)/3*0.6,IF(A123&gt;2,B122+MIN(MAX(A122*50,1850),(B122-B121)*1.22,(B122-B121)+150),999)),B122+(B122-B121)),0))</f>
        <v>294423</v>
      </c>
      <c r="C123">
        <f t="shared" si="15"/>
        <v>147212</v>
      </c>
      <c r="D123">
        <f t="shared" si="14"/>
        <v>2450</v>
      </c>
      <c r="E123">
        <f t="shared" si="16"/>
        <v>2413</v>
      </c>
      <c r="F123">
        <f>VLOOKUP(A123-1,Overview!$A$4:$K$202,11)/3*0.6</f>
        <v>267372.79999999999</v>
      </c>
      <c r="G123" s="272">
        <f t="shared" si="17"/>
        <v>0.10117035091078819</v>
      </c>
      <c r="H123">
        <f>SUM(B$2:B123)*3</f>
        <v>43775232</v>
      </c>
      <c r="I123">
        <f>VLOOKUP(A123,Overview!A$4:L$202,12)</f>
        <v>70326730</v>
      </c>
      <c r="J123" s="158">
        <f t="shared" si="12"/>
        <v>-0.37754489651374379</v>
      </c>
      <c r="K123" t="str">
        <f t="shared" si="13"/>
        <v>about perfect</v>
      </c>
    </row>
    <row r="124" spans="1:11">
      <c r="A124">
        <v>123</v>
      </c>
      <c r="B124">
        <f>IF(J123&gt;-0.4,B123+ROUNDUP(E123/50,0)*50,ROUNDUP(MAX(MIN(VLOOKUP(A124,Overview!$A$4:$K$202,11)/3*0.6,IF(A124&gt;2,B123+MIN(MAX(A123*50,1850),(B123-B122)*1.22,(B123-B122)+150),999)),B123+(B123-B122)),0))</f>
        <v>296873</v>
      </c>
      <c r="C124">
        <f t="shared" si="15"/>
        <v>148437</v>
      </c>
      <c r="D124">
        <f t="shared" si="14"/>
        <v>2450</v>
      </c>
      <c r="E124">
        <f t="shared" si="16"/>
        <v>2414</v>
      </c>
      <c r="F124">
        <f>VLOOKUP(A124-1,Overview!$A$4:$K$202,11)/3*0.6</f>
        <v>270046.39999999997</v>
      </c>
      <c r="G124" s="272">
        <f t="shared" si="17"/>
        <v>9.9340705893505854E-2</v>
      </c>
      <c r="H124">
        <f>SUM(B$2:B124)*3</f>
        <v>44665851</v>
      </c>
      <c r="I124">
        <f>VLOOKUP(A124,Overview!A$4:L$202,12)</f>
        <v>71703700</v>
      </c>
      <c r="J124" s="158">
        <f t="shared" si="12"/>
        <v>-0.37707745904325718</v>
      </c>
      <c r="K124" t="str">
        <f t="shared" si="13"/>
        <v>about perfect</v>
      </c>
    </row>
    <row r="125" spans="1:11">
      <c r="A125">
        <v>124</v>
      </c>
      <c r="B125">
        <f>IF(J124&gt;-0.4,B124+ROUNDUP(E124/50,0)*50,ROUNDUP(MAX(MIN(VLOOKUP(A125,Overview!$A$4:$K$202,11)/3*0.6,IF(A125&gt;2,B124+MIN(MAX(A124*50,1850),(B124-B123)*1.22,(B124-B123)+150),999)),B124+(B124-B123)),0))</f>
        <v>299323</v>
      </c>
      <c r="C125">
        <f t="shared" si="15"/>
        <v>149662</v>
      </c>
      <c r="D125">
        <f t="shared" si="14"/>
        <v>2450</v>
      </c>
      <c r="E125">
        <f t="shared" si="16"/>
        <v>2414</v>
      </c>
      <c r="F125">
        <f>VLOOKUP(A125-1,Overview!$A$4:$K$202,11)/3*0.6</f>
        <v>275394</v>
      </c>
      <c r="G125" s="272">
        <f t="shared" si="17"/>
        <v>8.689005570201247E-2</v>
      </c>
      <c r="H125">
        <f>SUM(B$2:B125)*3</f>
        <v>45563820</v>
      </c>
      <c r="I125">
        <f>VLOOKUP(A125,Overview!A$4:L$202,12)</f>
        <v>73107407</v>
      </c>
      <c r="J125" s="158">
        <f t="shared" si="12"/>
        <v>-0.37675508037099437</v>
      </c>
      <c r="K125" t="str">
        <f t="shared" si="13"/>
        <v>about perfect</v>
      </c>
    </row>
    <row r="126" spans="1:11">
      <c r="A126">
        <v>125</v>
      </c>
      <c r="B126">
        <f>IF(J125&gt;-0.4,B125+ROUNDUP(E125/50,0)*50,ROUNDUP(MAX(MIN(VLOOKUP(A126,Overview!$A$4:$K$202,11)/3*0.6,IF(A126&gt;2,B125+MIN(MAX(A125*50,1850),(B125-B124)*1.22,(B125-B124)+150),999)),B125+(B125-B124)),0))</f>
        <v>301773</v>
      </c>
      <c r="C126">
        <f t="shared" si="15"/>
        <v>150887</v>
      </c>
      <c r="D126">
        <f t="shared" si="14"/>
        <v>2450</v>
      </c>
      <c r="E126">
        <f t="shared" si="16"/>
        <v>2414</v>
      </c>
      <c r="F126">
        <f>VLOOKUP(A126-1,Overview!$A$4:$K$202,11)/3*0.6</f>
        <v>280741.39999999997</v>
      </c>
      <c r="G126" s="272">
        <f t="shared" si="17"/>
        <v>7.4914494264116449E-2</v>
      </c>
      <c r="H126">
        <f>SUM(B$2:B126)*3</f>
        <v>46469139</v>
      </c>
      <c r="I126">
        <f>VLOOKUP(A126,Overview!A$4:L$202,12)</f>
        <v>74537851</v>
      </c>
      <c r="J126" s="158">
        <f t="shared" si="12"/>
        <v>-0.37656991211082813</v>
      </c>
      <c r="K126" t="str">
        <f t="shared" si="13"/>
        <v>about perfect</v>
      </c>
    </row>
    <row r="127" spans="1:11">
      <c r="A127">
        <v>126</v>
      </c>
      <c r="B127">
        <f>IF(J126&gt;-0.4,B126+ROUNDUP(E126/50,0)*50,ROUNDUP(MAX(MIN(VLOOKUP(A127,Overview!$A$4:$K$202,11)/3*0.6,IF(A127&gt;2,B126+MIN(MAX(A126*50,1850),(B126-B125)*1.22,(B126-B125)+150),999)),B126+(B126-B125)),0))</f>
        <v>304223</v>
      </c>
      <c r="C127">
        <f t="shared" si="15"/>
        <v>152112</v>
      </c>
      <c r="D127">
        <f t="shared" si="14"/>
        <v>2450</v>
      </c>
      <c r="E127">
        <f t="shared" si="16"/>
        <v>2414</v>
      </c>
      <c r="F127">
        <f>VLOOKUP(A127-1,Overview!$A$4:$K$202,11)/3*0.6</f>
        <v>286088.8</v>
      </c>
      <c r="G127" s="272">
        <f t="shared" si="17"/>
        <v>6.3386612827905253E-2</v>
      </c>
      <c r="H127">
        <f>SUM(B$2:B127)*3</f>
        <v>47381808</v>
      </c>
      <c r="I127">
        <f>VLOOKUP(A127,Overview!A$4:L$202,12)</f>
        <v>75995033</v>
      </c>
      <c r="J127" s="158">
        <f t="shared" si="12"/>
        <v>-0.37651440982991613</v>
      </c>
      <c r="K127" t="str">
        <f t="shared" si="13"/>
        <v>about perfect</v>
      </c>
    </row>
    <row r="128" spans="1:11">
      <c r="A128">
        <v>127</v>
      </c>
      <c r="B128">
        <f>IF(J127&gt;-0.4,B127+ROUNDUP(E127/50,0)*50,ROUNDUP(MAX(MIN(VLOOKUP(A128,Overview!$A$4:$K$202,11)/3*0.6,IF(A128&gt;2,B127+MIN(MAX(A127*50,1850),(B127-B126)*1.22,(B127-B126)+150),999)),B127+(B127-B126)),0))</f>
        <v>306673</v>
      </c>
      <c r="C128">
        <f t="shared" si="15"/>
        <v>153337</v>
      </c>
      <c r="D128">
        <f t="shared" si="14"/>
        <v>2450</v>
      </c>
      <c r="E128">
        <f t="shared" si="16"/>
        <v>2415</v>
      </c>
      <c r="F128">
        <f>VLOOKUP(A128-1,Overview!$A$4:$K$202,11)/3*0.6</f>
        <v>291436.39999999997</v>
      </c>
      <c r="G128" s="272">
        <f t="shared" si="17"/>
        <v>5.228104656796484E-2</v>
      </c>
      <c r="H128">
        <f>SUM(B$2:B128)*3</f>
        <v>48301827</v>
      </c>
      <c r="I128">
        <f>VLOOKUP(A128,Overview!A$4:L$202,12)</f>
        <v>77478952</v>
      </c>
      <c r="J128" s="158">
        <f t="shared" si="12"/>
        <v>-0.37658130688190006</v>
      </c>
      <c r="K128" t="str">
        <f t="shared" si="13"/>
        <v>about perfect</v>
      </c>
    </row>
    <row r="129" spans="1:11">
      <c r="A129">
        <v>128</v>
      </c>
      <c r="B129">
        <f>IF(J128&gt;-0.4,B128+ROUNDUP(E128/50,0)*50,ROUNDUP(MAX(MIN(VLOOKUP(A129,Overview!$A$4:$K$202,11)/3*0.6,IF(A129&gt;2,B128+MIN(MAX(A128*50,1850),(B128-B127)*1.22,(B128-B127)+150),999)),B128+(B128-B127)),0))</f>
        <v>309123</v>
      </c>
      <c r="C129">
        <f t="shared" si="15"/>
        <v>154562</v>
      </c>
      <c r="D129">
        <f t="shared" si="14"/>
        <v>2450</v>
      </c>
      <c r="E129">
        <f t="shared" si="16"/>
        <v>2415</v>
      </c>
      <c r="F129">
        <f>VLOOKUP(A129-1,Overview!$A$4:$K$202,11)/3*0.6</f>
        <v>296783.8</v>
      </c>
      <c r="G129" s="272">
        <f t="shared" si="17"/>
        <v>4.1576393320659655E-2</v>
      </c>
      <c r="H129">
        <f>SUM(B$2:B129)*3</f>
        <v>49229196</v>
      </c>
      <c r="I129">
        <f>VLOOKUP(A129,Overview!A$4:L$202,12)</f>
        <v>78989608</v>
      </c>
      <c r="J129" s="158">
        <f t="shared" si="12"/>
        <v>-0.37676363705970028</v>
      </c>
      <c r="K129" t="str">
        <f t="shared" si="13"/>
        <v>about perfect</v>
      </c>
    </row>
    <row r="130" spans="1:11">
      <c r="A130">
        <v>129</v>
      </c>
      <c r="B130">
        <f>IF(J129&gt;-0.4,B129+ROUNDUP(E129/50,0)*50,ROUNDUP(MAX(MIN(VLOOKUP(A130,Overview!$A$4:$K$202,11)/3*0.6,IF(A130&gt;2,B129+MIN(MAX(A129*50,1850),(B129-B128)*1.22,(B129-B128)+150),999)),B129+(B129-B128)),0))</f>
        <v>311573</v>
      </c>
      <c r="C130">
        <f t="shared" ref="C130:C161" si="18">ROUND(B130/2,0)</f>
        <v>155787</v>
      </c>
      <c r="D130">
        <f t="shared" si="14"/>
        <v>2450</v>
      </c>
      <c r="E130">
        <f t="shared" ref="E130:E161" si="19">ROUND(B130/A130,0)</f>
        <v>2415</v>
      </c>
      <c r="F130">
        <f>VLOOKUP(A130-1,Overview!$A$4:$K$202,11)/3*0.6</f>
        <v>302131.20000000001</v>
      </c>
      <c r="G130" s="272">
        <f t="shared" ref="G130:G161" si="20">B130/F130-1</f>
        <v>3.1250661964073778E-2</v>
      </c>
      <c r="H130">
        <f>SUM(B$2:B130)*3</f>
        <v>50163915</v>
      </c>
      <c r="I130">
        <f>VLOOKUP(A130,Overview!A$4:L$202,12)</f>
        <v>80527001</v>
      </c>
      <c r="J130" s="158">
        <f t="shared" si="12"/>
        <v>-0.37705472230364079</v>
      </c>
      <c r="K130" t="str">
        <f t="shared" si="13"/>
        <v>about perfect</v>
      </c>
    </row>
    <row r="131" spans="1:11">
      <c r="A131">
        <v>130</v>
      </c>
      <c r="B131">
        <f>IF(J130&gt;-0.4,B130+ROUNDUP(E130/50,0)*50,ROUNDUP(MAX(MIN(VLOOKUP(A131,Overview!$A$4:$K$202,11)/3*0.6,IF(A131&gt;2,B130+MIN(MAX(A130*50,1850),(B130-B129)*1.22,(B130-B129)+150),999)),B130+(B130-B129)),0))</f>
        <v>314023</v>
      </c>
      <c r="C131">
        <f t="shared" si="18"/>
        <v>157012</v>
      </c>
      <c r="D131">
        <f t="shared" si="14"/>
        <v>2450</v>
      </c>
      <c r="E131">
        <f t="shared" si="19"/>
        <v>2416</v>
      </c>
      <c r="F131">
        <f>VLOOKUP(A131-1,Overview!$A$4:$K$202,11)/3*0.6</f>
        <v>307478.59999999998</v>
      </c>
      <c r="G131" s="272">
        <f t="shared" si="20"/>
        <v>2.1284082859750253E-2</v>
      </c>
      <c r="H131">
        <f>SUM(B$2:B131)*3</f>
        <v>51105984</v>
      </c>
      <c r="I131">
        <f>VLOOKUP(A131,Overview!A$4:L$202,12)</f>
        <v>82091132</v>
      </c>
      <c r="J131" s="158">
        <f t="shared" ref="J131:J194" si="21">H131/I131-1</f>
        <v>-0.37744817552278365</v>
      </c>
      <c r="K131" t="str">
        <f t="shared" ref="K131:K194" si="22">IF(J131&lt;-0.5,"Cheaper than it should be",IF(J131&gt;-0.3,"More expensive than it should be","about perfect"))</f>
        <v>about perfect</v>
      </c>
    </row>
    <row r="132" spans="1:11">
      <c r="A132">
        <v>131</v>
      </c>
      <c r="B132">
        <f>IF(J131&gt;-0.4,B131+ROUNDUP(E131/50,0)*50,ROUNDUP(MAX(MIN(VLOOKUP(A132,Overview!$A$4:$K$202,11)/3*0.6,IF(A132&gt;2,B131+MIN(MAX(A131*50,1850),(B131-B130)*1.22,(B131-B130)+150),999)),B131+(B131-B130)),0))</f>
        <v>316473</v>
      </c>
      <c r="C132">
        <f t="shared" si="18"/>
        <v>158237</v>
      </c>
      <c r="D132">
        <f t="shared" ref="D132:D195" si="23">B132-B131</f>
        <v>2450</v>
      </c>
      <c r="E132">
        <f t="shared" si="19"/>
        <v>2416</v>
      </c>
      <c r="F132">
        <f>VLOOKUP(A132-1,Overview!$A$4:$K$202,11)/3*0.6</f>
        <v>312826.2</v>
      </c>
      <c r="G132" s="272">
        <f t="shared" si="20"/>
        <v>1.1657591339855777E-2</v>
      </c>
      <c r="H132">
        <f>SUM(B$2:B132)*3</f>
        <v>52055403</v>
      </c>
      <c r="I132">
        <f>VLOOKUP(A132,Overview!A$4:L$202,12)</f>
        <v>83682000</v>
      </c>
      <c r="J132" s="158">
        <f t="shared" si="21"/>
        <v>-0.37793787194378714</v>
      </c>
      <c r="K132" t="str">
        <f t="shared" si="22"/>
        <v>about perfect</v>
      </c>
    </row>
    <row r="133" spans="1:11">
      <c r="A133">
        <v>132</v>
      </c>
      <c r="B133">
        <f>IF(J132&gt;-0.4,B132+ROUNDUP(E132/50,0)*50,ROUNDUP(MAX(MIN(VLOOKUP(A133,Overview!$A$4:$K$202,11)/3*0.6,IF(A133&gt;2,B132+MIN(MAX(A132*50,1850),(B132-B131)*1.22,(B132-B131)+150),999)),B132+(B132-B131)),0))</f>
        <v>318923</v>
      </c>
      <c r="C133">
        <f t="shared" si="18"/>
        <v>159462</v>
      </c>
      <c r="D133">
        <f t="shared" si="23"/>
        <v>2450</v>
      </c>
      <c r="E133">
        <f t="shared" si="19"/>
        <v>2416</v>
      </c>
      <c r="F133">
        <f>VLOOKUP(A133-1,Overview!$A$4:$K$202,11)/3*0.6</f>
        <v>318173.60000000003</v>
      </c>
      <c r="G133" s="272">
        <f t="shared" si="20"/>
        <v>2.3553179773556643E-3</v>
      </c>
      <c r="H133">
        <f>SUM(B$2:B133)*3</f>
        <v>53012172</v>
      </c>
      <c r="I133">
        <f>VLOOKUP(A133,Overview!A$4:L$202,12)</f>
        <v>85299605</v>
      </c>
      <c r="J133" s="158">
        <f t="shared" si="21"/>
        <v>-0.37851796617346589</v>
      </c>
      <c r="K133" t="str">
        <f t="shared" si="22"/>
        <v>about perfect</v>
      </c>
    </row>
    <row r="134" spans="1:11">
      <c r="A134">
        <v>133</v>
      </c>
      <c r="B134">
        <f>IF(J133&gt;-0.4,B133+ROUNDUP(E133/50,0)*50,ROUNDUP(MAX(MIN(VLOOKUP(A134,Overview!$A$4:$K$202,11)/3*0.6,IF(A134&gt;2,B133+MIN(MAX(A133*50,1850),(B133-B132)*1.22,(B133-B132)+150),999)),B133+(B133-B132)),0))</f>
        <v>321373</v>
      </c>
      <c r="C134">
        <f t="shared" si="18"/>
        <v>160687</v>
      </c>
      <c r="D134">
        <f t="shared" si="23"/>
        <v>2450</v>
      </c>
      <c r="E134">
        <f t="shared" si="19"/>
        <v>2416</v>
      </c>
      <c r="F134">
        <f>VLOOKUP(A134-1,Overview!$A$4:$K$202,11)/3*0.6</f>
        <v>323520.99999999994</v>
      </c>
      <c r="G134" s="272">
        <f t="shared" si="20"/>
        <v>-6.6394453528517694E-3</v>
      </c>
      <c r="H134">
        <f>SUM(B$2:B134)*3</f>
        <v>53976291</v>
      </c>
      <c r="I134">
        <f>VLOOKUP(A134,Overview!A$4:L$202,12)</f>
        <v>86943948</v>
      </c>
      <c r="J134" s="158">
        <f t="shared" si="21"/>
        <v>-0.37918288458674543</v>
      </c>
      <c r="K134" t="str">
        <f t="shared" si="22"/>
        <v>about perfect</v>
      </c>
    </row>
    <row r="135" spans="1:11">
      <c r="A135">
        <v>134</v>
      </c>
      <c r="B135">
        <f>IF(J134&gt;-0.4,B134+ROUNDUP(E134/50,0)*50,ROUNDUP(MAX(MIN(VLOOKUP(A135,Overview!$A$4:$K$202,11)/3*0.6,IF(A135&gt;2,B134+MIN(MAX(A134*50,1850),(B134-B133)*1.22,(B134-B133)+150),999)),B134+(B134-B133)),0))</f>
        <v>323823</v>
      </c>
      <c r="C135">
        <f t="shared" si="18"/>
        <v>161912</v>
      </c>
      <c r="D135">
        <f t="shared" si="23"/>
        <v>2450</v>
      </c>
      <c r="E135">
        <f t="shared" si="19"/>
        <v>2417</v>
      </c>
      <c r="F135">
        <f>VLOOKUP(A135-1,Overview!$A$4:$K$202,11)/3*0.6</f>
        <v>328868.60000000003</v>
      </c>
      <c r="G135" s="272">
        <f t="shared" si="20"/>
        <v>-1.5342297805263416E-2</v>
      </c>
      <c r="H135">
        <f>SUM(B$2:B135)*3</f>
        <v>54947760</v>
      </c>
      <c r="I135">
        <f>VLOOKUP(A135,Overview!A$4:L$202,12)</f>
        <v>88615028</v>
      </c>
      <c r="J135" s="158">
        <f t="shared" si="21"/>
        <v>-0.37992729630464028</v>
      </c>
      <c r="K135" t="str">
        <f t="shared" si="22"/>
        <v>about perfect</v>
      </c>
    </row>
    <row r="136" spans="1:11">
      <c r="A136">
        <v>135</v>
      </c>
      <c r="B136">
        <f>IF(J135&gt;-0.4,B135+ROUNDUP(E135/50,0)*50,ROUNDUP(MAX(MIN(VLOOKUP(A136,Overview!$A$4:$K$202,11)/3*0.6,IF(A136&gt;2,B135+MIN(MAX(A135*50,1850),(B135-B134)*1.22,(B135-B134)+150),999)),B135+(B135-B134)),0))</f>
        <v>326273</v>
      </c>
      <c r="C136">
        <f t="shared" si="18"/>
        <v>163137</v>
      </c>
      <c r="D136">
        <f t="shared" si="23"/>
        <v>2450</v>
      </c>
      <c r="E136">
        <f t="shared" si="19"/>
        <v>2417</v>
      </c>
      <c r="F136">
        <f>VLOOKUP(A136-1,Overview!$A$4:$K$202,11)/3*0.6</f>
        <v>334215.99999999994</v>
      </c>
      <c r="G136" s="272">
        <f t="shared" si="20"/>
        <v>-2.3766067453383277E-2</v>
      </c>
      <c r="H136">
        <f>SUM(B$2:B136)*3</f>
        <v>55926579</v>
      </c>
      <c r="I136">
        <f>VLOOKUP(A136,Overview!A$4:L$202,12)</f>
        <v>90312845</v>
      </c>
      <c r="J136" s="158">
        <f t="shared" si="21"/>
        <v>-0.38074612753036408</v>
      </c>
      <c r="K136" t="str">
        <f t="shared" si="22"/>
        <v>about perfect</v>
      </c>
    </row>
    <row r="137" spans="1:11">
      <c r="A137">
        <v>136</v>
      </c>
      <c r="B137">
        <f>IF(J136&gt;-0.4,B136+ROUNDUP(E136/50,0)*50,ROUNDUP(MAX(MIN(VLOOKUP(A137,Overview!$A$4:$K$202,11)/3*0.6,IF(A137&gt;2,B136+MIN(MAX(A136*50,1850),(B136-B135)*1.22,(B136-B135)+150),999)),B136+(B136-B135)),0))</f>
        <v>328723</v>
      </c>
      <c r="C137">
        <f t="shared" si="18"/>
        <v>164362</v>
      </c>
      <c r="D137">
        <f t="shared" si="23"/>
        <v>2450</v>
      </c>
      <c r="E137">
        <f t="shared" si="19"/>
        <v>2417</v>
      </c>
      <c r="F137">
        <f>VLOOKUP(A137-1,Overview!$A$4:$K$202,11)/3*0.6</f>
        <v>339563.39999999997</v>
      </c>
      <c r="G137" s="272">
        <f t="shared" si="20"/>
        <v>-3.1924524256736642E-2</v>
      </c>
      <c r="H137">
        <f>SUM(B$2:B137)*3</f>
        <v>56912748</v>
      </c>
      <c r="I137">
        <f>VLOOKUP(A137,Overview!A$4:L$202,12)</f>
        <v>92037399</v>
      </c>
      <c r="J137" s="158">
        <f t="shared" si="21"/>
        <v>-0.38163454619138026</v>
      </c>
      <c r="K137" t="str">
        <f t="shared" si="22"/>
        <v>about perfect</v>
      </c>
    </row>
    <row r="138" spans="1:11">
      <c r="A138">
        <v>137</v>
      </c>
      <c r="B138">
        <f>IF(J137&gt;-0.4,B137+ROUNDUP(E137/50,0)*50,ROUNDUP(MAX(MIN(VLOOKUP(A138,Overview!$A$4:$K$202,11)/3*0.6,IF(A138&gt;2,B137+MIN(MAX(A137*50,1850),(B137-B136)*1.22,(B137-B136)+150),999)),B137+(B137-B136)),0))</f>
        <v>331173</v>
      </c>
      <c r="C138">
        <f t="shared" si="18"/>
        <v>165587</v>
      </c>
      <c r="D138">
        <f t="shared" si="23"/>
        <v>2450</v>
      </c>
      <c r="E138">
        <f t="shared" si="19"/>
        <v>2417</v>
      </c>
      <c r="F138">
        <f>VLOOKUP(A138-1,Overview!$A$4:$K$202,11)/3*0.6</f>
        <v>344910.8</v>
      </c>
      <c r="G138" s="272">
        <f t="shared" si="20"/>
        <v>-3.983000822241578E-2</v>
      </c>
      <c r="H138">
        <f>SUM(B$2:B138)*3</f>
        <v>57906267</v>
      </c>
      <c r="I138">
        <f>VLOOKUP(A138,Overview!A$4:L$202,12)</f>
        <v>93788691</v>
      </c>
      <c r="J138" s="158">
        <f t="shared" si="21"/>
        <v>-0.3825879604183835</v>
      </c>
      <c r="K138" t="str">
        <f t="shared" si="22"/>
        <v>about perfect</v>
      </c>
    </row>
    <row r="139" spans="1:11">
      <c r="A139">
        <v>138</v>
      </c>
      <c r="B139">
        <f>IF(J138&gt;-0.4,B138+ROUNDUP(E138/50,0)*50,ROUNDUP(MAX(MIN(VLOOKUP(A139,Overview!$A$4:$K$202,11)/3*0.6,IF(A139&gt;2,B138+MIN(MAX(A138*50,1850),(B138-B137)*1.22,(B138-B137)+150),999)),B138+(B138-B137)),0))</f>
        <v>333623</v>
      </c>
      <c r="C139">
        <f t="shared" si="18"/>
        <v>166812</v>
      </c>
      <c r="D139">
        <f t="shared" si="23"/>
        <v>2450</v>
      </c>
      <c r="E139">
        <f t="shared" si="19"/>
        <v>2418</v>
      </c>
      <c r="F139">
        <f>VLOOKUP(A139-1,Overview!$A$4:$K$202,11)/3*0.6</f>
        <v>350258.39999999997</v>
      </c>
      <c r="G139" s="272">
        <f t="shared" si="20"/>
        <v>-4.749464966436201E-2</v>
      </c>
      <c r="H139">
        <f>SUM(B$2:B139)*3</f>
        <v>58907136</v>
      </c>
      <c r="I139">
        <f>VLOOKUP(A139,Overview!A$4:L$202,12)</f>
        <v>95566720</v>
      </c>
      <c r="J139" s="158">
        <f t="shared" si="21"/>
        <v>-0.38360199031629416</v>
      </c>
      <c r="K139" t="str">
        <f t="shared" si="22"/>
        <v>about perfect</v>
      </c>
    </row>
    <row r="140" spans="1:11">
      <c r="A140">
        <v>139</v>
      </c>
      <c r="B140">
        <f>IF(J139&gt;-0.4,B139+ROUNDUP(E139/50,0)*50,ROUNDUP(MAX(MIN(VLOOKUP(A140,Overview!$A$4:$K$202,11)/3*0.6,IF(A140&gt;2,B139+MIN(MAX(A139*50,1850),(B139-B138)*1.22,(B139-B138)+150),999)),B139+(B139-B138)),0))</f>
        <v>336073</v>
      </c>
      <c r="C140">
        <f t="shared" si="18"/>
        <v>168037</v>
      </c>
      <c r="D140">
        <f t="shared" si="23"/>
        <v>2450</v>
      </c>
      <c r="E140">
        <f t="shared" si="19"/>
        <v>2418</v>
      </c>
      <c r="F140">
        <f>VLOOKUP(A140-1,Overview!$A$4:$K$202,11)/3*0.6</f>
        <v>355605.8</v>
      </c>
      <c r="G140" s="272">
        <f t="shared" si="20"/>
        <v>-5.4928237953374204E-2</v>
      </c>
      <c r="H140">
        <f>SUM(B$2:B140)*3</f>
        <v>59915355</v>
      </c>
      <c r="I140">
        <f>VLOOKUP(A140,Overview!A$4:L$202,12)</f>
        <v>97371486</v>
      </c>
      <c r="J140" s="158">
        <f t="shared" si="21"/>
        <v>-0.38467247999070286</v>
      </c>
      <c r="K140" t="str">
        <f t="shared" si="22"/>
        <v>about perfect</v>
      </c>
    </row>
    <row r="141" spans="1:11">
      <c r="A141">
        <v>140</v>
      </c>
      <c r="B141">
        <f>IF(J140&gt;-0.4,B140+ROUNDUP(E140/50,0)*50,ROUNDUP(MAX(MIN(VLOOKUP(A141,Overview!$A$4:$K$202,11)/3*0.6,IF(A141&gt;2,B140+MIN(MAX(A140*50,1850),(B140-B139)*1.22,(B140-B139)+150),999)),B140+(B140-B139)),0))</f>
        <v>338523</v>
      </c>
      <c r="C141">
        <f t="shared" si="18"/>
        <v>169262</v>
      </c>
      <c r="D141">
        <f t="shared" si="23"/>
        <v>2450</v>
      </c>
      <c r="E141">
        <f t="shared" si="19"/>
        <v>2418</v>
      </c>
      <c r="F141">
        <f>VLOOKUP(A141-1,Overview!$A$4:$K$202,11)/3*0.6</f>
        <v>360953.19999999995</v>
      </c>
      <c r="G141" s="272">
        <f t="shared" si="20"/>
        <v>-6.214157403231213E-2</v>
      </c>
      <c r="H141">
        <f>SUM(B$2:B141)*3</f>
        <v>60930924</v>
      </c>
      <c r="I141">
        <f>VLOOKUP(A141,Overview!A$4:L$202,12)</f>
        <v>99202989</v>
      </c>
      <c r="J141" s="158">
        <f t="shared" si="21"/>
        <v>-0.38579548243249007</v>
      </c>
      <c r="K141" t="str">
        <f t="shared" si="22"/>
        <v>about perfect</v>
      </c>
    </row>
    <row r="142" spans="1:11">
      <c r="A142">
        <v>141</v>
      </c>
      <c r="B142">
        <f>IF(J141&gt;-0.4,B141+ROUNDUP(E141/50,0)*50,ROUNDUP(MAX(MIN(VLOOKUP(A142,Overview!$A$4:$K$202,11)/3*0.6,IF(A142&gt;2,B141+MIN(MAX(A141*50,1850),(B141-B140)*1.22,(B141-B140)+150),999)),B141+(B141-B140)),0))</f>
        <v>340973</v>
      </c>
      <c r="C142">
        <f t="shared" si="18"/>
        <v>170487</v>
      </c>
      <c r="D142">
        <f t="shared" si="23"/>
        <v>2450</v>
      </c>
      <c r="E142">
        <f t="shared" si="19"/>
        <v>2418</v>
      </c>
      <c r="F142">
        <f>VLOOKUP(A142-1,Overview!$A$4:$K$202,11)/3*0.6</f>
        <v>366300.6</v>
      </c>
      <c r="G142" s="272">
        <f t="shared" si="20"/>
        <v>-6.9144303885934066E-2</v>
      </c>
      <c r="H142">
        <f>SUM(B$2:B142)*3</f>
        <v>61953843</v>
      </c>
      <c r="I142">
        <f>VLOOKUP(A142,Overview!A$4:L$202,12)</f>
        <v>101061230</v>
      </c>
      <c r="J142" s="158">
        <f t="shared" si="21"/>
        <v>-0.38696725737456394</v>
      </c>
      <c r="K142" t="str">
        <f t="shared" si="22"/>
        <v>about perfect</v>
      </c>
    </row>
    <row r="143" spans="1:11">
      <c r="A143">
        <v>142</v>
      </c>
      <c r="B143">
        <f>IF(J142&gt;-0.4,B142+ROUNDUP(E142/50,0)*50,ROUNDUP(MAX(MIN(VLOOKUP(A143,Overview!$A$4:$K$202,11)/3*0.6,IF(A143&gt;2,B142+MIN(MAX(A142*50,1850),(B142-B141)*1.22,(B142-B141)+150),999)),B142+(B142-B141)),0))</f>
        <v>343423</v>
      </c>
      <c r="C143">
        <f t="shared" si="18"/>
        <v>171712</v>
      </c>
      <c r="D143">
        <f t="shared" si="23"/>
        <v>2450</v>
      </c>
      <c r="E143">
        <f t="shared" si="19"/>
        <v>2418</v>
      </c>
      <c r="F143">
        <f>VLOOKUP(A143-1,Overview!$A$4:$K$202,11)/3*0.6</f>
        <v>371648.19999999995</v>
      </c>
      <c r="G143" s="272">
        <f t="shared" si="20"/>
        <v>-7.5946015613690521E-2</v>
      </c>
      <c r="H143">
        <f>SUM(B$2:B143)*3</f>
        <v>62984112</v>
      </c>
      <c r="I143">
        <f>VLOOKUP(A143,Overview!A$4:L$202,12)</f>
        <v>102946208</v>
      </c>
      <c r="J143" s="158">
        <f t="shared" si="21"/>
        <v>-0.38818424472711033</v>
      </c>
      <c r="K143" t="str">
        <f t="shared" si="22"/>
        <v>about perfect</v>
      </c>
    </row>
    <row r="144" spans="1:11">
      <c r="A144">
        <v>143</v>
      </c>
      <c r="B144">
        <f>IF(J143&gt;-0.4,B143+ROUNDUP(E143/50,0)*50,ROUNDUP(MAX(MIN(VLOOKUP(A144,Overview!$A$4:$K$202,11)/3*0.6,IF(A144&gt;2,B143+MIN(MAX(A143*50,1850),(B143-B142)*1.22,(B143-B142)+150),999)),B143+(B143-B142)),0))</f>
        <v>345873</v>
      </c>
      <c r="C144">
        <f t="shared" si="18"/>
        <v>172937</v>
      </c>
      <c r="D144">
        <f t="shared" si="23"/>
        <v>2450</v>
      </c>
      <c r="E144">
        <f t="shared" si="19"/>
        <v>2419</v>
      </c>
      <c r="F144">
        <f>VLOOKUP(A144-1,Overview!$A$4:$K$202,11)/3*0.6</f>
        <v>376995.6</v>
      </c>
      <c r="G144" s="272">
        <f t="shared" si="20"/>
        <v>-8.2554279148085441E-2</v>
      </c>
      <c r="H144">
        <f>SUM(B$2:B144)*3</f>
        <v>64021731</v>
      </c>
      <c r="I144">
        <f>VLOOKUP(A144,Overview!A$4:L$202,12)</f>
        <v>104857923</v>
      </c>
      <c r="J144" s="158">
        <f t="shared" si="21"/>
        <v>-0.38944307527434052</v>
      </c>
      <c r="K144" t="str">
        <f t="shared" si="22"/>
        <v>about perfect</v>
      </c>
    </row>
    <row r="145" spans="1:11">
      <c r="A145">
        <v>144</v>
      </c>
      <c r="B145">
        <f>IF(J144&gt;-0.4,B144+ROUNDUP(E144/50,0)*50,ROUNDUP(MAX(MIN(VLOOKUP(A145,Overview!$A$4:$K$202,11)/3*0.6,IF(A145&gt;2,B144+MIN(MAX(A144*50,1850),(B144-B143)*1.22,(B144-B143)+150),999)),B144+(B144-B143)),0))</f>
        <v>348323</v>
      </c>
      <c r="C145">
        <f t="shared" si="18"/>
        <v>174162</v>
      </c>
      <c r="D145">
        <f t="shared" si="23"/>
        <v>2450</v>
      </c>
      <c r="E145">
        <f t="shared" si="19"/>
        <v>2419</v>
      </c>
      <c r="F145">
        <f>VLOOKUP(A145-1,Overview!$A$4:$K$202,11)/3*0.6</f>
        <v>382343</v>
      </c>
      <c r="G145" s="272">
        <f t="shared" si="20"/>
        <v>-8.897769803553357E-2</v>
      </c>
      <c r="H145">
        <f>SUM(B$2:B145)*3</f>
        <v>65066700</v>
      </c>
      <c r="I145">
        <f>VLOOKUP(A145,Overview!A$4:L$202,12)</f>
        <v>106796376</v>
      </c>
      <c r="J145" s="158">
        <f t="shared" si="21"/>
        <v>-0.39074056220784126</v>
      </c>
      <c r="K145" t="str">
        <f t="shared" si="22"/>
        <v>about perfect</v>
      </c>
    </row>
    <row r="146" spans="1:11">
      <c r="A146">
        <v>145</v>
      </c>
      <c r="B146">
        <f>IF(J145&gt;-0.4,B145+ROUNDUP(E145/50,0)*50,ROUNDUP(MAX(MIN(VLOOKUP(A146,Overview!$A$4:$K$202,11)/3*0.6,IF(A146&gt;2,B145+MIN(MAX(A145*50,1850),(B145-B144)*1.22,(B145-B144)+150),999)),B145+(B145-B144)),0))</f>
        <v>350773</v>
      </c>
      <c r="C146">
        <f t="shared" si="18"/>
        <v>175387</v>
      </c>
      <c r="D146">
        <f t="shared" si="23"/>
        <v>2450</v>
      </c>
      <c r="E146">
        <f t="shared" si="19"/>
        <v>2419</v>
      </c>
      <c r="F146">
        <f>VLOOKUP(A146-1,Overview!$A$4:$K$202,11)/3*0.6</f>
        <v>387690.6</v>
      </c>
      <c r="G146" s="272">
        <f t="shared" si="20"/>
        <v>-9.5224387694723522E-2</v>
      </c>
      <c r="H146">
        <f>SUM(B$2:B146)*3</f>
        <v>66119019</v>
      </c>
      <c r="I146">
        <f>VLOOKUP(A146,Overview!A$4:L$202,12)</f>
        <v>108761566</v>
      </c>
      <c r="J146" s="158">
        <f t="shared" si="21"/>
        <v>-0.39207367609988253</v>
      </c>
      <c r="K146" t="str">
        <f t="shared" si="22"/>
        <v>about perfect</v>
      </c>
    </row>
    <row r="147" spans="1:11">
      <c r="A147">
        <v>146</v>
      </c>
      <c r="B147">
        <f>IF(J146&gt;-0.4,B146+ROUNDUP(E146/50,0)*50,ROUNDUP(MAX(MIN(VLOOKUP(A147,Overview!$A$4:$K$202,11)/3*0.6,IF(A147&gt;2,B146+MIN(MAX(A146*50,1850),(B146-B145)*1.22,(B146-B145)+150),999)),B146+(B146-B145)),0))</f>
        <v>353223</v>
      </c>
      <c r="C147">
        <f t="shared" si="18"/>
        <v>176612</v>
      </c>
      <c r="D147">
        <f t="shared" si="23"/>
        <v>2450</v>
      </c>
      <c r="E147">
        <f t="shared" si="19"/>
        <v>2419</v>
      </c>
      <c r="F147">
        <f>VLOOKUP(A147-1,Overview!$A$4:$K$202,11)/3*0.6</f>
        <v>393038</v>
      </c>
      <c r="G147" s="272">
        <f t="shared" si="20"/>
        <v>-0.10130063759738239</v>
      </c>
      <c r="H147">
        <f>SUM(B$2:B147)*3</f>
        <v>67178688</v>
      </c>
      <c r="I147">
        <f>VLOOKUP(A147,Overview!A$4:L$202,12)</f>
        <v>110753493</v>
      </c>
      <c r="J147" s="158">
        <f t="shared" si="21"/>
        <v>-0.39343955499444161</v>
      </c>
      <c r="K147" t="str">
        <f t="shared" si="22"/>
        <v>about perfect</v>
      </c>
    </row>
    <row r="148" spans="1:11">
      <c r="A148">
        <v>147</v>
      </c>
      <c r="B148">
        <f>IF(J147&gt;-0.4,B147+ROUNDUP(E147/50,0)*50,ROUNDUP(MAX(MIN(VLOOKUP(A148,Overview!$A$4:$K$202,11)/3*0.6,IF(A148&gt;2,B147+MIN(MAX(A147*50,1850),(B147-B146)*1.22,(B147-B146)+150),999)),B147+(B147-B146)),0))</f>
        <v>355673</v>
      </c>
      <c r="C148">
        <f t="shared" si="18"/>
        <v>177837</v>
      </c>
      <c r="D148">
        <f t="shared" si="23"/>
        <v>2450</v>
      </c>
      <c r="E148">
        <f t="shared" si="19"/>
        <v>2420</v>
      </c>
      <c r="F148">
        <f>VLOOKUP(A148-1,Overview!$A$4:$K$202,11)/3*0.6</f>
        <v>398385.39999999997</v>
      </c>
      <c r="G148" s="272">
        <f t="shared" si="20"/>
        <v>-0.1072137683760499</v>
      </c>
      <c r="H148">
        <f>SUM(B$2:B148)*3</f>
        <v>68245707</v>
      </c>
      <c r="I148">
        <f>VLOOKUP(A148,Overview!A$4:L$202,12)</f>
        <v>112772157</v>
      </c>
      <c r="J148" s="158">
        <f t="shared" si="21"/>
        <v>-0.39483549117536165</v>
      </c>
      <c r="K148" t="str">
        <f t="shared" si="22"/>
        <v>about perfect</v>
      </c>
    </row>
    <row r="149" spans="1:11">
      <c r="A149">
        <v>148</v>
      </c>
      <c r="B149">
        <f>IF(J148&gt;-0.4,B148+ROUNDUP(E148/50,0)*50,ROUNDUP(MAX(MIN(VLOOKUP(A149,Overview!$A$4:$K$202,11)/3*0.6,IF(A149&gt;2,B148+MIN(MAX(A148*50,1850),(B148-B147)*1.22,(B148-B147)+150),999)),B148+(B148-B147)),0))</f>
        <v>358123</v>
      </c>
      <c r="C149">
        <f t="shared" si="18"/>
        <v>179062</v>
      </c>
      <c r="D149">
        <f t="shared" si="23"/>
        <v>2450</v>
      </c>
      <c r="E149">
        <f t="shared" si="19"/>
        <v>2420</v>
      </c>
      <c r="F149">
        <f>VLOOKUP(A149-1,Overview!$A$4:$K$202,11)/3*0.6</f>
        <v>403732.8</v>
      </c>
      <c r="G149" s="272">
        <f t="shared" si="20"/>
        <v>-0.11297026151949996</v>
      </c>
      <c r="H149">
        <f>SUM(B$2:B149)*3</f>
        <v>69320076</v>
      </c>
      <c r="I149">
        <f>VLOOKUP(A149,Overview!A$4:L$202,12)</f>
        <v>114817559</v>
      </c>
      <c r="J149" s="158">
        <f t="shared" si="21"/>
        <v>-0.39625892935069273</v>
      </c>
      <c r="K149" t="str">
        <f t="shared" si="22"/>
        <v>about perfect</v>
      </c>
    </row>
    <row r="150" spans="1:11">
      <c r="A150">
        <v>149</v>
      </c>
      <c r="B150">
        <f>IF(J149&gt;-0.4,B149+ROUNDUP(E149/50,0)*50,ROUNDUP(MAX(MIN(VLOOKUP(A150,Overview!$A$4:$K$202,11)/3*0.6,IF(A150&gt;2,B149+MIN(MAX(A149*50,1850),(B149-B148)*1.22,(B149-B148)+150),999)),B149+(B149-B148)),0))</f>
        <v>360573</v>
      </c>
      <c r="C150">
        <f t="shared" si="18"/>
        <v>180287</v>
      </c>
      <c r="D150">
        <f t="shared" si="23"/>
        <v>2450</v>
      </c>
      <c r="E150">
        <f t="shared" si="19"/>
        <v>2420</v>
      </c>
      <c r="F150">
        <f>VLOOKUP(A150-1,Overview!$A$4:$K$202,11)/3*0.6</f>
        <v>409080.39999999997</v>
      </c>
      <c r="G150" s="272">
        <f t="shared" si="20"/>
        <v>-0.11857669054787268</v>
      </c>
      <c r="H150">
        <f>SUM(B$2:B150)*3</f>
        <v>70401795</v>
      </c>
      <c r="I150">
        <f>VLOOKUP(A150,Overview!A$4:L$202,12)</f>
        <v>116889698</v>
      </c>
      <c r="J150" s="158">
        <f t="shared" si="21"/>
        <v>-0.39770744381596401</v>
      </c>
      <c r="K150" t="str">
        <f t="shared" si="22"/>
        <v>about perfect</v>
      </c>
    </row>
    <row r="151" spans="1:11">
      <c r="A151">
        <v>150</v>
      </c>
      <c r="B151">
        <f>IF(J150&gt;-0.4,B150+ROUNDUP(E150/50,0)*50,ROUNDUP(MAX(MIN(VLOOKUP(A151,Overview!$A$4:$K$202,11)/3*0.6,IF(A151&gt;2,B150+MIN(MAX(A150*50,1850),(B150-B149)*1.22,(B150-B149)+150),999)),B150+(B150-B149)),0))</f>
        <v>363023</v>
      </c>
      <c r="C151">
        <f t="shared" si="18"/>
        <v>181512</v>
      </c>
      <c r="D151">
        <f t="shared" si="23"/>
        <v>2450</v>
      </c>
      <c r="E151">
        <f t="shared" si="19"/>
        <v>2420</v>
      </c>
      <c r="F151">
        <f>VLOOKUP(A151-1,Overview!$A$4:$K$202,11)/3*0.6</f>
        <v>414427.8</v>
      </c>
      <c r="G151" s="272">
        <f t="shared" si="20"/>
        <v>-0.12403801096355016</v>
      </c>
      <c r="H151">
        <f>SUM(B$2:B151)*3</f>
        <v>71490864</v>
      </c>
      <c r="I151">
        <f>VLOOKUP(A151,Overview!A$4:L$202,12)</f>
        <v>118988574</v>
      </c>
      <c r="J151" s="158">
        <f t="shared" si="21"/>
        <v>-0.39917874803676523</v>
      </c>
      <c r="K151" t="str">
        <f t="shared" si="22"/>
        <v>about perfect</v>
      </c>
    </row>
    <row r="152" spans="1:11">
      <c r="A152">
        <v>151</v>
      </c>
      <c r="B152">
        <f>IF(J151&gt;-0.4,B151+ROUNDUP(E151/50,0)*50,ROUNDUP(MAX(MIN(VLOOKUP(A152,Overview!$A$4:$K$202,11)/3*0.6,IF(A152&gt;2,B151+MIN(MAX(A151*50,1850),(B151-B150)*1.22,(B151-B150)+150),999)),B151+(B151-B150)),0))</f>
        <v>365473</v>
      </c>
      <c r="C152">
        <f t="shared" si="18"/>
        <v>182737</v>
      </c>
      <c r="D152">
        <f t="shared" si="23"/>
        <v>2450</v>
      </c>
      <c r="E152">
        <f t="shared" si="19"/>
        <v>2420</v>
      </c>
      <c r="F152">
        <f>VLOOKUP(A152-1,Overview!$A$4:$K$202,11)/3*0.6</f>
        <v>419775.2</v>
      </c>
      <c r="G152" s="272">
        <f t="shared" si="20"/>
        <v>-0.12936019088312034</v>
      </c>
      <c r="H152">
        <f>SUM(B$2:B152)*3</f>
        <v>72587283</v>
      </c>
      <c r="I152">
        <f>VLOOKUP(A152,Overview!A$4:L$202,12)</f>
        <v>121114187</v>
      </c>
      <c r="J152" s="158">
        <f t="shared" si="21"/>
        <v>-0.40067068278301698</v>
      </c>
      <c r="K152" t="str">
        <f t="shared" si="22"/>
        <v>about perfect</v>
      </c>
    </row>
    <row r="153" spans="1:11">
      <c r="A153">
        <v>152</v>
      </c>
      <c r="B153">
        <f>IF(J152&gt;-0.4,B152+ROUNDUP(E152/50,0)*50,ROUNDUP(MAX(MIN(VLOOKUP(A153,Overview!$A$4:$K$202,11)/3*0.6,IF(A153&gt;2,B152+MIN(MAX(A152*50,1850),(B152-B151)*1.22,(B152-B151)+150),999)),B152+(B152-B151)),0))</f>
        <v>368073</v>
      </c>
      <c r="C153">
        <f t="shared" si="18"/>
        <v>184037</v>
      </c>
      <c r="D153">
        <f t="shared" si="23"/>
        <v>2600</v>
      </c>
      <c r="E153">
        <f t="shared" si="19"/>
        <v>2422</v>
      </c>
      <c r="F153">
        <f>VLOOKUP(A153-1,Overview!$A$4:$K$202,11)/3*0.6</f>
        <v>425122.6</v>
      </c>
      <c r="G153" s="272">
        <f t="shared" si="20"/>
        <v>-0.13419564144554996</v>
      </c>
      <c r="H153">
        <f>SUM(B$2:B153)*3</f>
        <v>73691502</v>
      </c>
      <c r="I153">
        <f>VLOOKUP(A153,Overview!A$4:L$202,12)</f>
        <v>123266538</v>
      </c>
      <c r="J153" s="158">
        <f t="shared" si="21"/>
        <v>-0.40217756419832285</v>
      </c>
      <c r="K153" t="str">
        <f t="shared" si="22"/>
        <v>about perfect</v>
      </c>
    </row>
    <row r="154" spans="1:11">
      <c r="A154">
        <v>153</v>
      </c>
      <c r="B154">
        <f>IF(J153&gt;-0.4,B153+ROUNDUP(E153/50,0)*50,ROUNDUP(MAX(MIN(VLOOKUP(A154,Overview!$A$4:$K$202,11)/3*0.6,IF(A154&gt;2,B153+MIN(MAX(A153*50,1850),(B153-B152)*1.22,(B153-B152)+150),999)),B153+(B153-B152)),0))</f>
        <v>370823</v>
      </c>
      <c r="C154">
        <f t="shared" si="18"/>
        <v>185412</v>
      </c>
      <c r="D154">
        <f t="shared" si="23"/>
        <v>2750</v>
      </c>
      <c r="E154">
        <f t="shared" si="19"/>
        <v>2424</v>
      </c>
      <c r="F154">
        <f>VLOOKUP(A154-1,Overview!$A$4:$K$202,11)/3*0.6</f>
        <v>430470.2</v>
      </c>
      <c r="G154" s="272">
        <f t="shared" si="20"/>
        <v>-0.13856290168285756</v>
      </c>
      <c r="H154">
        <f>SUM(B$2:B154)*3</f>
        <v>74803971</v>
      </c>
      <c r="I154">
        <f>VLOOKUP(A154,Overview!A$4:L$202,12)</f>
        <v>125445626</v>
      </c>
      <c r="J154" s="158">
        <f t="shared" si="21"/>
        <v>-0.40369406742009484</v>
      </c>
      <c r="K154" t="str">
        <f t="shared" si="22"/>
        <v>about perfect</v>
      </c>
    </row>
    <row r="155" spans="1:11">
      <c r="A155">
        <v>154</v>
      </c>
      <c r="B155">
        <f>IF(J154&gt;-0.4,B154+ROUNDUP(E154/50,0)*50,ROUNDUP(MAX(MIN(VLOOKUP(A155,Overview!$A$4:$K$202,11)/3*0.6,IF(A155&gt;2,B154+MIN(MAX(A154*50,1850),(B154-B153)*1.22,(B154-B153)+150),999)),B154+(B154-B153)),0))</f>
        <v>373723</v>
      </c>
      <c r="C155">
        <f t="shared" si="18"/>
        <v>186862</v>
      </c>
      <c r="D155">
        <f t="shared" si="23"/>
        <v>2900</v>
      </c>
      <c r="E155">
        <f t="shared" si="19"/>
        <v>2427</v>
      </c>
      <c r="F155">
        <f>VLOOKUP(A155-1,Overview!$A$4:$K$202,11)/3*0.6</f>
        <v>435817.6</v>
      </c>
      <c r="G155" s="272">
        <f t="shared" si="20"/>
        <v>-0.14247841298745156</v>
      </c>
      <c r="H155">
        <f>SUM(B$2:B155)*3</f>
        <v>75925140</v>
      </c>
      <c r="I155">
        <f>VLOOKUP(A155,Overview!A$4:L$202,12)</f>
        <v>127651451</v>
      </c>
      <c r="J155" s="158">
        <f t="shared" si="21"/>
        <v>-0.40521522156453982</v>
      </c>
      <c r="K155" t="str">
        <f t="shared" si="22"/>
        <v>about perfect</v>
      </c>
    </row>
    <row r="156" spans="1:11">
      <c r="A156">
        <v>155</v>
      </c>
      <c r="B156">
        <f>IF(J155&gt;-0.4,B155+ROUNDUP(E155/50,0)*50,ROUNDUP(MAX(MIN(VLOOKUP(A156,Overview!$A$4:$K$202,11)/3*0.6,IF(A156&gt;2,B155+MIN(MAX(A155*50,1850),(B155-B154)*1.22,(B155-B154)+150),999)),B155+(B155-B154)),0))</f>
        <v>376773</v>
      </c>
      <c r="C156">
        <f t="shared" si="18"/>
        <v>188387</v>
      </c>
      <c r="D156">
        <f t="shared" si="23"/>
        <v>3050</v>
      </c>
      <c r="E156">
        <f t="shared" si="19"/>
        <v>2431</v>
      </c>
      <c r="F156">
        <f>VLOOKUP(A156-1,Overview!$A$4:$K$202,11)/3*0.6</f>
        <v>441165</v>
      </c>
      <c r="G156" s="272">
        <f t="shared" si="20"/>
        <v>-0.14595899493386832</v>
      </c>
      <c r="H156">
        <f>SUM(B$2:B156)*3</f>
        <v>77055459</v>
      </c>
      <c r="I156">
        <f>VLOOKUP(A156,Overview!A$4:L$202,12)</f>
        <v>129884014</v>
      </c>
      <c r="J156" s="158">
        <f t="shared" si="21"/>
        <v>-0.40673639020734298</v>
      </c>
      <c r="K156" t="str">
        <f t="shared" si="22"/>
        <v>about perfect</v>
      </c>
    </row>
    <row r="157" spans="1:11">
      <c r="A157">
        <v>156</v>
      </c>
      <c r="B157">
        <f>IF(J156&gt;-0.4,B156+ROUNDUP(E156/50,0)*50,ROUNDUP(MAX(MIN(VLOOKUP(A157,Overview!$A$4:$K$202,11)/3*0.6,IF(A157&gt;2,B156+MIN(MAX(A156*50,1850),(B156-B155)*1.22,(B156-B155)+150),999)),B156+(B156-B155)),0))</f>
        <v>379973</v>
      </c>
      <c r="C157">
        <f t="shared" si="18"/>
        <v>189987</v>
      </c>
      <c r="D157">
        <f t="shared" si="23"/>
        <v>3200</v>
      </c>
      <c r="E157">
        <f t="shared" si="19"/>
        <v>2436</v>
      </c>
      <c r="F157">
        <f>VLOOKUP(A157-1,Overview!$A$4:$K$202,11)/3*0.6</f>
        <v>446512.6</v>
      </c>
      <c r="G157" s="272">
        <f t="shared" si="20"/>
        <v>-0.1490206547362829</v>
      </c>
      <c r="H157">
        <f>SUM(B$2:B157)*3</f>
        <v>78195378</v>
      </c>
      <c r="I157">
        <f>VLOOKUP(A157,Overview!A$4:L$202,12)</f>
        <v>132143314</v>
      </c>
      <c r="J157" s="158">
        <f t="shared" si="21"/>
        <v>-0.40825323935798974</v>
      </c>
      <c r="K157" t="str">
        <f t="shared" si="22"/>
        <v>about perfect</v>
      </c>
    </row>
    <row r="158" spans="1:11">
      <c r="A158">
        <v>157</v>
      </c>
      <c r="B158">
        <f>IF(J157&gt;-0.4,B157+ROUNDUP(E157/50,0)*50,ROUNDUP(MAX(MIN(VLOOKUP(A158,Overview!$A$4:$K$202,11)/3*0.6,IF(A158&gt;2,B157+MIN(MAX(A157*50,1850),(B157-B156)*1.22,(B157-B156)+150),999)),B157+(B157-B156)),0))</f>
        <v>383323</v>
      </c>
      <c r="C158">
        <f t="shared" si="18"/>
        <v>191662</v>
      </c>
      <c r="D158">
        <f t="shared" si="23"/>
        <v>3350</v>
      </c>
      <c r="E158">
        <f t="shared" si="19"/>
        <v>2442</v>
      </c>
      <c r="F158">
        <f>VLOOKUP(A158-1,Overview!$A$4:$K$202,11)/3*0.6</f>
        <v>451860</v>
      </c>
      <c r="G158" s="272">
        <f t="shared" si="20"/>
        <v>-0.15167751073341296</v>
      </c>
      <c r="H158">
        <f>SUM(B$2:B158)*3</f>
        <v>79345347</v>
      </c>
      <c r="I158">
        <f>VLOOKUP(A158,Overview!A$4:L$202,12)</f>
        <v>134429351</v>
      </c>
      <c r="J158" s="158">
        <f t="shared" si="21"/>
        <v>-0.4097617342510268</v>
      </c>
      <c r="K158" t="str">
        <f t="shared" si="22"/>
        <v>about perfect</v>
      </c>
    </row>
    <row r="159" spans="1:11">
      <c r="A159">
        <v>158</v>
      </c>
      <c r="B159">
        <f>IF(J158&gt;-0.4,B158+ROUNDUP(E158/50,0)*50,ROUNDUP(MAX(MIN(VLOOKUP(A159,Overview!$A$4:$K$202,11)/3*0.6,IF(A159&gt;2,B158+MIN(MAX(A158*50,1850),(B158-B157)*1.22,(B158-B157)+150),999)),B158+(B158-B157)),0))</f>
        <v>386823</v>
      </c>
      <c r="C159">
        <f t="shared" si="18"/>
        <v>193412</v>
      </c>
      <c r="D159">
        <f t="shared" si="23"/>
        <v>3500</v>
      </c>
      <c r="E159">
        <f t="shared" si="19"/>
        <v>2448</v>
      </c>
      <c r="F159">
        <f>VLOOKUP(A159-1,Overview!$A$4:$K$202,11)/3*0.6</f>
        <v>457207.4</v>
      </c>
      <c r="G159" s="272">
        <f t="shared" si="20"/>
        <v>-0.15394414001173218</v>
      </c>
      <c r="H159">
        <f>SUM(B$2:B159)*3</f>
        <v>80505816</v>
      </c>
      <c r="I159">
        <f>VLOOKUP(A159,Overview!A$4:L$202,12)</f>
        <v>136742125</v>
      </c>
      <c r="J159" s="158">
        <f t="shared" si="21"/>
        <v>-0.41125811815488456</v>
      </c>
      <c r="K159" t="str">
        <f t="shared" si="22"/>
        <v>about perfect</v>
      </c>
    </row>
    <row r="160" spans="1:11">
      <c r="A160">
        <v>159</v>
      </c>
      <c r="B160">
        <f>IF(J159&gt;-0.4,B159+ROUNDUP(E159/50,0)*50,ROUNDUP(MAX(MIN(VLOOKUP(A160,Overview!$A$4:$K$202,11)/3*0.6,IF(A160&gt;2,B159+MIN(MAX(A159*50,1850),(B159-B158)*1.22,(B159-B158)+150),999)),B159+(B159-B158)),0))</f>
        <v>390473</v>
      </c>
      <c r="C160">
        <f t="shared" si="18"/>
        <v>195237</v>
      </c>
      <c r="D160">
        <f t="shared" si="23"/>
        <v>3650</v>
      </c>
      <c r="E160">
        <f t="shared" si="19"/>
        <v>2456</v>
      </c>
      <c r="F160">
        <f>VLOOKUP(A160-1,Overview!$A$4:$K$202,11)/3*0.6</f>
        <v>462554.8</v>
      </c>
      <c r="G160" s="272">
        <f t="shared" si="20"/>
        <v>-0.15583407630836388</v>
      </c>
      <c r="H160">
        <f>SUM(B$2:B160)*3</f>
        <v>81677235</v>
      </c>
      <c r="I160">
        <f>VLOOKUP(A160,Overview!A$4:L$202,12)</f>
        <v>139081637</v>
      </c>
      <c r="J160" s="158">
        <f t="shared" si="21"/>
        <v>-0.4127389009664878</v>
      </c>
      <c r="K160" t="str">
        <f t="shared" si="22"/>
        <v>about perfect</v>
      </c>
    </row>
    <row r="161" spans="1:11">
      <c r="A161">
        <v>160</v>
      </c>
      <c r="B161">
        <f>IF(J160&gt;-0.4,B160+ROUNDUP(E160/50,0)*50,ROUNDUP(MAX(MIN(VLOOKUP(A161,Overview!$A$4:$K$202,11)/3*0.6,IF(A161&gt;2,B160+MIN(MAX(A160*50,1850),(B160-B159)*1.22,(B160-B159)+150),999)),B160+(B160-B159)),0))</f>
        <v>394273</v>
      </c>
      <c r="C161">
        <f t="shared" si="18"/>
        <v>197137</v>
      </c>
      <c r="D161">
        <f t="shared" si="23"/>
        <v>3800</v>
      </c>
      <c r="E161">
        <f t="shared" si="19"/>
        <v>2464</v>
      </c>
      <c r="F161">
        <f>VLOOKUP(A161-1,Overview!$A$4:$K$202,11)/3*0.6</f>
        <v>467902.4</v>
      </c>
      <c r="G161" s="272">
        <f t="shared" si="20"/>
        <v>-0.15736059485909881</v>
      </c>
      <c r="H161">
        <f>SUM(B$2:B161)*3</f>
        <v>82860054</v>
      </c>
      <c r="I161">
        <f>VLOOKUP(A161,Overview!A$4:L$202,12)</f>
        <v>141447886</v>
      </c>
      <c r="J161" s="158">
        <f t="shared" si="21"/>
        <v>-0.41420083153452003</v>
      </c>
      <c r="K161" t="str">
        <f t="shared" si="22"/>
        <v>about perfect</v>
      </c>
    </row>
    <row r="162" spans="1:11">
      <c r="A162">
        <v>161</v>
      </c>
      <c r="B162">
        <f>IF(J161&gt;-0.4,B161+ROUNDUP(E161/50,0)*50,ROUNDUP(MAX(MIN(VLOOKUP(A162,Overview!$A$4:$K$202,11)/3*0.6,IF(A162&gt;2,B161+MIN(MAX(A161*50,1850),(B161-B160)*1.22,(B161-B160)+150),999)),B161+(B161-B160)),0))</f>
        <v>398223</v>
      </c>
      <c r="C162">
        <f t="shared" ref="C162:C193" si="24">ROUND(B162/2,0)</f>
        <v>199112</v>
      </c>
      <c r="D162">
        <f t="shared" si="23"/>
        <v>3950</v>
      </c>
      <c r="E162">
        <f t="shared" ref="E162:E193" si="25">ROUND(B162/A162,0)</f>
        <v>2473</v>
      </c>
      <c r="F162">
        <f>VLOOKUP(A162-1,Overview!$A$4:$K$202,11)/3*0.6</f>
        <v>473249.79999999993</v>
      </c>
      <c r="G162" s="272">
        <f t="shared" ref="G162:G193" si="26">B162/F162-1</f>
        <v>-0.15853530207514077</v>
      </c>
      <c r="H162">
        <f>SUM(B$2:B162)*3</f>
        <v>84054723</v>
      </c>
      <c r="I162">
        <f>VLOOKUP(A162,Overview!A$4:L$202,12)</f>
        <v>143840872</v>
      </c>
      <c r="J162" s="158">
        <f t="shared" si="21"/>
        <v>-0.4156408965596371</v>
      </c>
      <c r="K162" t="str">
        <f t="shared" si="22"/>
        <v>about perfect</v>
      </c>
    </row>
    <row r="163" spans="1:11">
      <c r="A163">
        <v>162</v>
      </c>
      <c r="B163">
        <f>IF(J162&gt;-0.4,B162+ROUNDUP(E162/50,0)*50,ROUNDUP(MAX(MIN(VLOOKUP(A163,Overview!$A$4:$K$202,11)/3*0.6,IF(A163&gt;2,B162+MIN(MAX(A162*50,1850),(B162-B161)*1.22,(B162-B161)+150),999)),B162+(B162-B161)),0))</f>
        <v>402323</v>
      </c>
      <c r="C163">
        <f t="shared" si="24"/>
        <v>201162</v>
      </c>
      <c r="D163">
        <f t="shared" si="23"/>
        <v>4100</v>
      </c>
      <c r="E163">
        <f t="shared" si="25"/>
        <v>2483</v>
      </c>
      <c r="F163">
        <f>VLOOKUP(A163-1,Overview!$A$4:$K$202,11)/3*0.6</f>
        <v>478597.19999999995</v>
      </c>
      <c r="G163" s="272">
        <f t="shared" si="26"/>
        <v>-0.15937034316122189</v>
      </c>
      <c r="H163">
        <f>SUM(B$2:B163)*3</f>
        <v>85261692</v>
      </c>
      <c r="I163">
        <f>VLOOKUP(A163,Overview!A$4:L$202,12)</f>
        <v>146260596</v>
      </c>
      <c r="J163" s="158">
        <f t="shared" si="21"/>
        <v>-0.41705630681280692</v>
      </c>
      <c r="K163" t="str">
        <f t="shared" si="22"/>
        <v>about perfect</v>
      </c>
    </row>
    <row r="164" spans="1:11">
      <c r="A164">
        <v>163</v>
      </c>
      <c r="B164">
        <f>IF(J163&gt;-0.4,B163+ROUNDUP(E163/50,0)*50,ROUNDUP(MAX(MIN(VLOOKUP(A164,Overview!$A$4:$K$202,11)/3*0.6,IF(A164&gt;2,B163+MIN(MAX(A163*50,1850),(B163-B162)*1.22,(B163-B162)+150),999)),B163+(B163-B162)),0))</f>
        <v>406573</v>
      </c>
      <c r="C164">
        <f t="shared" si="24"/>
        <v>203287</v>
      </c>
      <c r="D164">
        <f t="shared" si="23"/>
        <v>4250</v>
      </c>
      <c r="E164">
        <f t="shared" si="25"/>
        <v>2494</v>
      </c>
      <c r="F164">
        <f>VLOOKUP(A164-1,Overview!$A$4:$K$202,11)/3*0.6</f>
        <v>483944.79999999993</v>
      </c>
      <c r="G164" s="272">
        <f t="shared" si="26"/>
        <v>-0.15987732485192518</v>
      </c>
      <c r="H164">
        <f>SUM(B$2:B164)*3</f>
        <v>86481411</v>
      </c>
      <c r="I164">
        <f>VLOOKUP(A164,Overview!A$4:L$202,12)</f>
        <v>148707057</v>
      </c>
      <c r="J164" s="158">
        <f t="shared" si="21"/>
        <v>-0.41844447234269455</v>
      </c>
      <c r="K164" t="str">
        <f t="shared" si="22"/>
        <v>about perfect</v>
      </c>
    </row>
    <row r="165" spans="1:11">
      <c r="A165">
        <v>164</v>
      </c>
      <c r="B165">
        <f>IF(J164&gt;-0.4,B164+ROUNDUP(E164/50,0)*50,ROUNDUP(MAX(MIN(VLOOKUP(A165,Overview!$A$4:$K$202,11)/3*0.6,IF(A165&gt;2,B164+MIN(MAX(A164*50,1850),(B164-B163)*1.22,(B164-B163)+150),999)),B164+(B164-B163)),0))</f>
        <v>410973</v>
      </c>
      <c r="C165">
        <f t="shared" si="24"/>
        <v>205487</v>
      </c>
      <c r="D165">
        <f t="shared" si="23"/>
        <v>4400</v>
      </c>
      <c r="E165">
        <f t="shared" si="25"/>
        <v>2506</v>
      </c>
      <c r="F165">
        <f>VLOOKUP(A165-1,Overview!$A$4:$K$202,11)/3*0.6</f>
        <v>489292.19999999995</v>
      </c>
      <c r="G165" s="272">
        <f t="shared" si="26"/>
        <v>-0.16006631620123923</v>
      </c>
      <c r="H165">
        <f>SUM(B$2:B165)*3</f>
        <v>87714330</v>
      </c>
      <c r="I165">
        <f>VLOOKUP(A165,Overview!A$4:L$202,12)</f>
        <v>151180255</v>
      </c>
      <c r="J165" s="158">
        <f t="shared" si="21"/>
        <v>-0.41980300271354876</v>
      </c>
      <c r="K165" t="str">
        <f t="shared" si="22"/>
        <v>about perfect</v>
      </c>
    </row>
    <row r="166" spans="1:11">
      <c r="A166">
        <v>165</v>
      </c>
      <c r="B166">
        <f>IF(J165&gt;-0.4,B165+ROUNDUP(E165/50,0)*50,ROUNDUP(MAX(MIN(VLOOKUP(A166,Overview!$A$4:$K$202,11)/3*0.6,IF(A166&gt;2,B165+MIN(MAX(A165*50,1850),(B165-B164)*1.22,(B165-B164)+150),999)),B165+(B165-B164)),0))</f>
        <v>415523</v>
      </c>
      <c r="C166">
        <f t="shared" si="24"/>
        <v>207762</v>
      </c>
      <c r="D166">
        <f t="shared" si="23"/>
        <v>4550</v>
      </c>
      <c r="E166">
        <f t="shared" si="25"/>
        <v>2518</v>
      </c>
      <c r="F166">
        <f>VLOOKUP(A166-1,Overview!$A$4:$K$202,11)/3*0.6</f>
        <v>494639.6</v>
      </c>
      <c r="G166" s="272">
        <f t="shared" si="26"/>
        <v>-0.15994797019890838</v>
      </c>
      <c r="H166">
        <f>SUM(B$2:B166)*3</f>
        <v>88960899</v>
      </c>
      <c r="I166">
        <f>VLOOKUP(A166,Overview!A$4:L$202,12)</f>
        <v>153680190</v>
      </c>
      <c r="J166" s="158">
        <f t="shared" si="21"/>
        <v>-0.42112969147162038</v>
      </c>
      <c r="K166" t="str">
        <f t="shared" si="22"/>
        <v>about perfect</v>
      </c>
    </row>
    <row r="167" spans="1:11">
      <c r="A167">
        <v>166</v>
      </c>
      <c r="B167">
        <f>IF(J166&gt;-0.4,B166+ROUNDUP(E166/50,0)*50,ROUNDUP(MAX(MIN(VLOOKUP(A167,Overview!$A$4:$K$202,11)/3*0.6,IF(A167&gt;2,B166+MIN(MAX(A166*50,1850),(B166-B165)*1.22,(B166-B165)+150),999)),B166+(B166-B165)),0))</f>
        <v>420223</v>
      </c>
      <c r="C167">
        <f t="shared" si="24"/>
        <v>210112</v>
      </c>
      <c r="D167">
        <f t="shared" si="23"/>
        <v>4700</v>
      </c>
      <c r="E167">
        <f t="shared" si="25"/>
        <v>2531</v>
      </c>
      <c r="F167">
        <f>VLOOKUP(A167-1,Overview!$A$4:$K$202,11)/3*0.6</f>
        <v>499986.99999999994</v>
      </c>
      <c r="G167" s="272">
        <f t="shared" si="26"/>
        <v>-0.15953214783584369</v>
      </c>
      <c r="H167">
        <f>SUM(B$2:B167)*3</f>
        <v>90221568</v>
      </c>
      <c r="I167">
        <f>VLOOKUP(A167,Overview!A$4:L$202,12)</f>
        <v>156206863</v>
      </c>
      <c r="J167" s="158">
        <f t="shared" si="21"/>
        <v>-0.4224225090545477</v>
      </c>
      <c r="K167" t="str">
        <f t="shared" si="22"/>
        <v>about perfect</v>
      </c>
    </row>
    <row r="168" spans="1:11">
      <c r="A168">
        <v>167</v>
      </c>
      <c r="B168">
        <f>IF(J167&gt;-0.4,B167+ROUNDUP(E167/50,0)*50,ROUNDUP(MAX(MIN(VLOOKUP(A168,Overview!$A$4:$K$202,11)/3*0.6,IF(A168&gt;2,B167+MIN(MAX(A167*50,1850),(B167-B166)*1.22,(B167-B166)+150),999)),B167+(B167-B166)),0))</f>
        <v>425073</v>
      </c>
      <c r="C168">
        <f t="shared" si="24"/>
        <v>212537</v>
      </c>
      <c r="D168">
        <f t="shared" si="23"/>
        <v>4850</v>
      </c>
      <c r="E168">
        <f t="shared" si="25"/>
        <v>2545</v>
      </c>
      <c r="F168">
        <f>VLOOKUP(A168-1,Overview!$A$4:$K$202,11)/3*0.6</f>
        <v>505334.6</v>
      </c>
      <c r="G168" s="272">
        <f t="shared" si="26"/>
        <v>-0.15882862562745548</v>
      </c>
      <c r="H168">
        <f>SUM(B$2:B168)*3</f>
        <v>91496787</v>
      </c>
      <c r="I168">
        <f>VLOOKUP(A168,Overview!A$4:L$202,12)</f>
        <v>158760273</v>
      </c>
      <c r="J168" s="158">
        <f t="shared" si="21"/>
        <v>-0.42367958135219386</v>
      </c>
      <c r="K168" t="str">
        <f t="shared" si="22"/>
        <v>about perfect</v>
      </c>
    </row>
    <row r="169" spans="1:11">
      <c r="A169">
        <v>168</v>
      </c>
      <c r="B169">
        <f>IF(J168&gt;-0.4,B168+ROUNDUP(E168/50,0)*50,ROUNDUP(MAX(MIN(VLOOKUP(A169,Overview!$A$4:$K$202,11)/3*0.6,IF(A169&gt;2,B168+MIN(MAX(A168*50,1850),(B168-B167)*1.22,(B168-B167)+150),999)),B168+(B168-B167)),0))</f>
        <v>430073</v>
      </c>
      <c r="C169">
        <f t="shared" si="24"/>
        <v>215037</v>
      </c>
      <c r="D169">
        <f t="shared" si="23"/>
        <v>5000</v>
      </c>
      <c r="E169">
        <f t="shared" si="25"/>
        <v>2560</v>
      </c>
      <c r="F169">
        <f>VLOOKUP(A169-1,Overview!$A$4:$K$202,11)/3*0.6</f>
        <v>510681.99999999994</v>
      </c>
      <c r="G169" s="272">
        <f t="shared" si="26"/>
        <v>-0.15784578269843064</v>
      </c>
      <c r="H169">
        <f>SUM(B$2:B169)*3</f>
        <v>92787006</v>
      </c>
      <c r="I169">
        <f>VLOOKUP(A169,Overview!A$4:L$202,12)</f>
        <v>161340420</v>
      </c>
      <c r="J169" s="158">
        <f t="shared" si="21"/>
        <v>-0.42489919141155086</v>
      </c>
      <c r="K169" t="str">
        <f t="shared" si="22"/>
        <v>about perfect</v>
      </c>
    </row>
    <row r="170" spans="1:11">
      <c r="A170">
        <v>169</v>
      </c>
      <c r="B170">
        <f>IF(J169&gt;-0.4,B169+ROUNDUP(E169/50,0)*50,ROUNDUP(MAX(MIN(VLOOKUP(A170,Overview!$A$4:$K$202,11)/3*0.6,IF(A170&gt;2,B169+MIN(MAX(A169*50,1850),(B169-B168)*1.22,(B169-B168)+150),999)),B169+(B169-B168)),0))</f>
        <v>435223</v>
      </c>
      <c r="C170">
        <f t="shared" si="24"/>
        <v>217612</v>
      </c>
      <c r="D170">
        <f t="shared" si="23"/>
        <v>5150</v>
      </c>
      <c r="E170">
        <f t="shared" si="25"/>
        <v>2575</v>
      </c>
      <c r="F170">
        <f>VLOOKUP(A170-1,Overview!$A$4:$K$202,11)/3*0.6</f>
        <v>516029.39999999997</v>
      </c>
      <c r="G170" s="272">
        <f t="shared" si="26"/>
        <v>-0.15659262824947562</v>
      </c>
      <c r="H170">
        <f>SUM(B$2:B170)*3</f>
        <v>94092675</v>
      </c>
      <c r="I170">
        <f>VLOOKUP(A170,Overview!A$4:L$202,12)</f>
        <v>163947304</v>
      </c>
      <c r="J170" s="158">
        <f t="shared" si="21"/>
        <v>-0.42607976645959367</v>
      </c>
      <c r="K170" t="str">
        <f t="shared" si="22"/>
        <v>about perfect</v>
      </c>
    </row>
    <row r="171" spans="1:11">
      <c r="A171">
        <v>170</v>
      </c>
      <c r="B171">
        <f>IF(J170&gt;-0.4,B170+ROUNDUP(E170/50,0)*50,ROUNDUP(MAX(MIN(VLOOKUP(A171,Overview!$A$4:$K$202,11)/3*0.6,IF(A171&gt;2,B170+MIN(MAX(A170*50,1850),(B170-B169)*1.22,(B170-B169)+150),999)),B170+(B170-B169)),0))</f>
        <v>440523</v>
      </c>
      <c r="C171">
        <f t="shared" si="24"/>
        <v>220262</v>
      </c>
      <c r="D171">
        <f t="shared" si="23"/>
        <v>5300</v>
      </c>
      <c r="E171">
        <f t="shared" si="25"/>
        <v>2591</v>
      </c>
      <c r="F171">
        <f>VLOOKUP(A171-1,Overview!$A$4:$K$202,11)/3*0.6</f>
        <v>521376.8</v>
      </c>
      <c r="G171" s="272">
        <f t="shared" si="26"/>
        <v>-0.15507747947357842</v>
      </c>
      <c r="H171">
        <f>SUM(B$2:B171)*3</f>
        <v>95414244</v>
      </c>
      <c r="I171">
        <f>VLOOKUP(A171,Overview!A$4:L$202,12)</f>
        <v>166580926</v>
      </c>
      <c r="J171" s="158">
        <f t="shared" si="21"/>
        <v>-0.42721987270019135</v>
      </c>
      <c r="K171" t="str">
        <f t="shared" si="22"/>
        <v>about perfect</v>
      </c>
    </row>
    <row r="172" spans="1:11">
      <c r="A172">
        <v>171</v>
      </c>
      <c r="B172">
        <f>IF(J171&gt;-0.4,B171+ROUNDUP(E171/50,0)*50,ROUNDUP(MAX(MIN(VLOOKUP(A172,Overview!$A$4:$K$202,11)/3*0.6,IF(A172&gt;2,B171+MIN(MAX(A171*50,1850),(B171-B170)*1.22,(B171-B170)+150),999)),B171+(B171-B170)),0))</f>
        <v>445973</v>
      </c>
      <c r="C172">
        <f t="shared" si="24"/>
        <v>222987</v>
      </c>
      <c r="D172">
        <f t="shared" si="23"/>
        <v>5450</v>
      </c>
      <c r="E172">
        <f t="shared" si="25"/>
        <v>2608</v>
      </c>
      <c r="F172">
        <f>VLOOKUP(A172-1,Overview!$A$4:$K$202,11)/3*0.6</f>
        <v>526724.4</v>
      </c>
      <c r="G172" s="272">
        <f t="shared" si="26"/>
        <v>-0.15330863730634092</v>
      </c>
      <c r="H172">
        <f>SUM(B$2:B172)*3</f>
        <v>96752163</v>
      </c>
      <c r="I172">
        <f>VLOOKUP(A172,Overview!A$4:L$202,12)</f>
        <v>169241285</v>
      </c>
      <c r="J172" s="158">
        <f t="shared" si="21"/>
        <v>-0.42831819670950855</v>
      </c>
      <c r="K172" t="str">
        <f t="shared" si="22"/>
        <v>about perfect</v>
      </c>
    </row>
    <row r="173" spans="1:11">
      <c r="A173">
        <v>172</v>
      </c>
      <c r="B173">
        <f>IF(J172&gt;-0.4,B172+ROUNDUP(E172/50,0)*50,ROUNDUP(MAX(MIN(VLOOKUP(A173,Overview!$A$4:$K$202,11)/3*0.6,IF(A173&gt;2,B172+MIN(MAX(A172*50,1850),(B172-B171)*1.22,(B172-B171)+150),999)),B172+(B172-B171)),0))</f>
        <v>451573</v>
      </c>
      <c r="C173">
        <f t="shared" si="24"/>
        <v>225787</v>
      </c>
      <c r="D173">
        <f t="shared" si="23"/>
        <v>5600</v>
      </c>
      <c r="E173">
        <f t="shared" si="25"/>
        <v>2625</v>
      </c>
      <c r="F173">
        <f>VLOOKUP(A173-1,Overview!$A$4:$K$202,11)/3*0.6</f>
        <v>532071.80000000005</v>
      </c>
      <c r="G173" s="272">
        <f t="shared" si="26"/>
        <v>-0.15129311495177911</v>
      </c>
      <c r="H173">
        <f>SUM(B$2:B173)*3</f>
        <v>98106882</v>
      </c>
      <c r="I173">
        <f>VLOOKUP(A173,Overview!A$4:L$202,12)</f>
        <v>171928381</v>
      </c>
      <c r="J173" s="158">
        <f t="shared" si="21"/>
        <v>-0.42937354827996665</v>
      </c>
      <c r="K173" t="str">
        <f t="shared" si="22"/>
        <v>about perfect</v>
      </c>
    </row>
    <row r="174" spans="1:11">
      <c r="A174">
        <v>173</v>
      </c>
      <c r="B174">
        <f>IF(J173&gt;-0.4,B173+ROUNDUP(E173/50,0)*50,ROUNDUP(MAX(MIN(VLOOKUP(A174,Overview!$A$4:$K$202,11)/3*0.6,IF(A174&gt;2,B173+MIN(MAX(A173*50,1850),(B173-B172)*1.22,(B173-B172)+150),999)),B173+(B173-B172)),0))</f>
        <v>457323</v>
      </c>
      <c r="C174">
        <f t="shared" si="24"/>
        <v>228662</v>
      </c>
      <c r="D174">
        <f t="shared" si="23"/>
        <v>5750</v>
      </c>
      <c r="E174">
        <f t="shared" si="25"/>
        <v>2643</v>
      </c>
      <c r="F174">
        <f>VLOOKUP(A174-1,Overview!$A$4:$K$202,11)/3*0.6</f>
        <v>537419.19999999995</v>
      </c>
      <c r="G174" s="272">
        <f t="shared" si="26"/>
        <v>-0.14903859035925771</v>
      </c>
      <c r="H174">
        <f>SUM(B$2:B174)*3</f>
        <v>99478851</v>
      </c>
      <c r="I174">
        <f>VLOOKUP(A174,Overview!A$4:L$202,12)</f>
        <v>174655583</v>
      </c>
      <c r="J174" s="158">
        <f t="shared" si="21"/>
        <v>-0.4304284507183489</v>
      </c>
      <c r="K174" t="str">
        <f t="shared" si="22"/>
        <v>about perfect</v>
      </c>
    </row>
    <row r="175" spans="1:11">
      <c r="A175">
        <v>174</v>
      </c>
      <c r="B175">
        <f>IF(J174&gt;-0.4,B174+ROUNDUP(E174/50,0)*50,ROUNDUP(MAX(MIN(VLOOKUP(A175,Overview!$A$4:$K$202,11)/3*0.6,IF(A175&gt;2,B174+MIN(MAX(A174*50,1850),(B174-B173)*1.22,(B174-B173)+150),999)),B174+(B174-B173)),0))</f>
        <v>463223</v>
      </c>
      <c r="C175">
        <f t="shared" si="24"/>
        <v>231612</v>
      </c>
      <c r="D175">
        <f t="shared" si="23"/>
        <v>5900</v>
      </c>
      <c r="E175">
        <f t="shared" si="25"/>
        <v>2662</v>
      </c>
      <c r="F175">
        <f>VLOOKUP(A175-1,Overview!$A$4:$K$202,11)/3*0.6</f>
        <v>545440.4</v>
      </c>
      <c r="G175" s="272">
        <f t="shared" si="26"/>
        <v>-0.15073580908198225</v>
      </c>
      <c r="H175">
        <f>SUM(B$2:B175)*3</f>
        <v>100868520</v>
      </c>
      <c r="I175">
        <f>VLOOKUP(A175,Overview!A$4:L$202,12)</f>
        <v>177422891</v>
      </c>
      <c r="J175" s="158">
        <f t="shared" si="21"/>
        <v>-0.43147967304850199</v>
      </c>
      <c r="K175" t="str">
        <f t="shared" si="22"/>
        <v>about perfect</v>
      </c>
    </row>
    <row r="176" spans="1:11">
      <c r="A176">
        <v>175</v>
      </c>
      <c r="B176">
        <f>IF(J175&gt;-0.4,B175+ROUNDUP(E175/50,0)*50,ROUNDUP(MAX(MIN(VLOOKUP(A176,Overview!$A$4:$K$202,11)/3*0.6,IF(A176&gt;2,B175+MIN(MAX(A175*50,1850),(B175-B174)*1.22,(B175-B174)+150),999)),B175+(B175-B174)),0))</f>
        <v>469273</v>
      </c>
      <c r="C176">
        <f t="shared" si="24"/>
        <v>234637</v>
      </c>
      <c r="D176">
        <f t="shared" si="23"/>
        <v>6050</v>
      </c>
      <c r="E176">
        <f t="shared" si="25"/>
        <v>2682</v>
      </c>
      <c r="F176">
        <f>VLOOKUP(A176-1,Overview!$A$4:$K$202,11)/3*0.6</f>
        <v>553461.6</v>
      </c>
      <c r="G176" s="272">
        <f t="shared" si="26"/>
        <v>-0.15211281143985411</v>
      </c>
      <c r="H176">
        <f>SUM(B$2:B176)*3</f>
        <v>102276339</v>
      </c>
      <c r="I176">
        <f>VLOOKUP(A176,Overview!A$4:L$202,12)</f>
        <v>180230305</v>
      </c>
      <c r="J176" s="158">
        <f t="shared" si="21"/>
        <v>-0.43252418620719746</v>
      </c>
      <c r="K176" t="str">
        <f t="shared" si="22"/>
        <v>about perfect</v>
      </c>
    </row>
    <row r="177" spans="1:11">
      <c r="A177">
        <v>176</v>
      </c>
      <c r="B177">
        <f>IF(J176&gt;-0.4,B176+ROUNDUP(E176/50,0)*50,ROUNDUP(MAX(MIN(VLOOKUP(A177,Overview!$A$4:$K$202,11)/3*0.6,IF(A177&gt;2,B176+MIN(MAX(A176*50,1850),(B176-B175)*1.22,(B176-B175)+150),999)),B176+(B176-B175)),0))</f>
        <v>475473</v>
      </c>
      <c r="C177">
        <f t="shared" si="24"/>
        <v>237737</v>
      </c>
      <c r="D177">
        <f t="shared" si="23"/>
        <v>6200</v>
      </c>
      <c r="E177">
        <f t="shared" si="25"/>
        <v>2702</v>
      </c>
      <c r="F177">
        <f>VLOOKUP(A177-1,Overview!$A$4:$K$202,11)/3*0.6</f>
        <v>561482.79999999993</v>
      </c>
      <c r="G177" s="272">
        <f t="shared" si="26"/>
        <v>-0.15318332102069721</v>
      </c>
      <c r="H177">
        <f>SUM(B$2:B177)*3</f>
        <v>103702758</v>
      </c>
      <c r="I177">
        <f>VLOOKUP(A177,Overview!A$4:L$202,12)</f>
        <v>183077825</v>
      </c>
      <c r="J177" s="158">
        <f t="shared" si="21"/>
        <v>-0.43355915441971193</v>
      </c>
      <c r="K177" t="str">
        <f t="shared" si="22"/>
        <v>about perfect</v>
      </c>
    </row>
    <row r="178" spans="1:11">
      <c r="A178">
        <v>177</v>
      </c>
      <c r="B178">
        <f>IF(J177&gt;-0.4,B177+ROUNDUP(E177/50,0)*50,ROUNDUP(MAX(MIN(VLOOKUP(A178,Overview!$A$4:$K$202,11)/3*0.6,IF(A178&gt;2,B177+MIN(MAX(A177*50,1850),(B177-B176)*1.22,(B177-B176)+150),999)),B177+(B177-B176)),0))</f>
        <v>481823</v>
      </c>
      <c r="C178">
        <f t="shared" si="24"/>
        <v>240912</v>
      </c>
      <c r="D178">
        <f t="shared" si="23"/>
        <v>6350</v>
      </c>
      <c r="E178">
        <f t="shared" si="25"/>
        <v>2722</v>
      </c>
      <c r="F178">
        <f>VLOOKUP(A178-1,Overview!$A$4:$K$202,11)/3*0.6</f>
        <v>569504</v>
      </c>
      <c r="G178" s="272">
        <f t="shared" si="26"/>
        <v>-0.15396028825082875</v>
      </c>
      <c r="H178">
        <f>SUM(B$2:B178)*3</f>
        <v>105148227</v>
      </c>
      <c r="I178">
        <f>VLOOKUP(A178,Overview!A$4:L$202,12)</f>
        <v>185965451</v>
      </c>
      <c r="J178" s="158">
        <f t="shared" si="21"/>
        <v>-0.43458192672573359</v>
      </c>
      <c r="K178" t="str">
        <f t="shared" si="22"/>
        <v>about perfect</v>
      </c>
    </row>
    <row r="179" spans="1:11">
      <c r="A179">
        <v>178</v>
      </c>
      <c r="B179">
        <f>IF(J178&gt;-0.4,B178+ROUNDUP(E178/50,0)*50,ROUNDUP(MAX(MIN(VLOOKUP(A179,Overview!$A$4:$K$202,11)/3*0.6,IF(A179&gt;2,B178+MIN(MAX(A178*50,1850),(B178-B177)*1.22,(B178-B177)+150),999)),B178+(B178-B177)),0))</f>
        <v>488323</v>
      </c>
      <c r="C179">
        <f t="shared" si="24"/>
        <v>244162</v>
      </c>
      <c r="D179">
        <f t="shared" si="23"/>
        <v>6500</v>
      </c>
      <c r="E179">
        <f t="shared" si="25"/>
        <v>2743</v>
      </c>
      <c r="F179">
        <f>VLOOKUP(A179-1,Overview!$A$4:$K$202,11)/3*0.6</f>
        <v>577525.19999999995</v>
      </c>
      <c r="G179" s="272">
        <f t="shared" si="26"/>
        <v>-0.15445594408694197</v>
      </c>
      <c r="H179">
        <f>SUM(B$2:B179)*3</f>
        <v>106613196</v>
      </c>
      <c r="I179">
        <f>VLOOKUP(A179,Overview!A$4:L$202,12)</f>
        <v>188893183</v>
      </c>
      <c r="J179" s="158">
        <f t="shared" si="21"/>
        <v>-0.43559002867774221</v>
      </c>
      <c r="K179" t="str">
        <f t="shared" si="22"/>
        <v>about perfect</v>
      </c>
    </row>
    <row r="180" spans="1:11">
      <c r="A180">
        <v>179</v>
      </c>
      <c r="B180">
        <f>IF(J179&gt;-0.4,B179+ROUNDUP(E179/50,0)*50,ROUNDUP(MAX(MIN(VLOOKUP(A180,Overview!$A$4:$K$202,11)/3*0.6,IF(A180&gt;2,B179+MIN(MAX(A179*50,1850),(B179-B178)*1.22,(B179-B178)+150),999)),B179+(B179-B178)),0))</f>
        <v>494973</v>
      </c>
      <c r="C180">
        <f t="shared" si="24"/>
        <v>247487</v>
      </c>
      <c r="D180">
        <f t="shared" si="23"/>
        <v>6650</v>
      </c>
      <c r="E180">
        <f t="shared" si="25"/>
        <v>2765</v>
      </c>
      <c r="F180">
        <f>VLOOKUP(A180-1,Overview!$A$4:$K$202,11)/3*0.6</f>
        <v>585546.39999999991</v>
      </c>
      <c r="G180" s="272">
        <f t="shared" si="26"/>
        <v>-0.15468184929494899</v>
      </c>
      <c r="H180">
        <f>SUM(B$2:B180)*3</f>
        <v>108098115</v>
      </c>
      <c r="I180">
        <f>VLOOKUP(A180,Overview!A$4:L$202,12)</f>
        <v>191861021</v>
      </c>
      <c r="J180" s="158">
        <f t="shared" si="21"/>
        <v>-0.43658115423038435</v>
      </c>
      <c r="K180" t="str">
        <f t="shared" si="22"/>
        <v>about perfect</v>
      </c>
    </row>
    <row r="181" spans="1:11">
      <c r="A181">
        <v>180</v>
      </c>
      <c r="B181">
        <f>IF(J180&gt;-0.4,B180+ROUNDUP(E180/50,0)*50,ROUNDUP(MAX(MIN(VLOOKUP(A181,Overview!$A$4:$K$202,11)/3*0.6,IF(A181&gt;2,B180+MIN(MAX(A180*50,1850),(B180-B179)*1.22,(B180-B179)+150),999)),B180+(B180-B179)),0))</f>
        <v>501773</v>
      </c>
      <c r="C181">
        <f t="shared" si="24"/>
        <v>250887</v>
      </c>
      <c r="D181">
        <f t="shared" si="23"/>
        <v>6800</v>
      </c>
      <c r="E181">
        <f t="shared" si="25"/>
        <v>2788</v>
      </c>
      <c r="F181">
        <f>VLOOKUP(A181-1,Overview!$A$4:$K$202,11)/3*0.6</f>
        <v>593567.6</v>
      </c>
      <c r="G181" s="272">
        <f t="shared" si="26"/>
        <v>-0.15464893973323335</v>
      </c>
      <c r="H181">
        <f>SUM(B$2:B181)*3</f>
        <v>109603434</v>
      </c>
      <c r="I181">
        <f>VLOOKUP(A181,Overview!A$4:L$202,12)</f>
        <v>194868965</v>
      </c>
      <c r="J181" s="158">
        <f t="shared" si="21"/>
        <v>-0.43755315783608739</v>
      </c>
      <c r="K181" t="str">
        <f t="shared" si="22"/>
        <v>about perfect</v>
      </c>
    </row>
    <row r="182" spans="1:11">
      <c r="A182">
        <v>181</v>
      </c>
      <c r="B182">
        <f>IF(J181&gt;-0.4,B181+ROUNDUP(E181/50,0)*50,ROUNDUP(MAX(MIN(VLOOKUP(A182,Overview!$A$4:$K$202,11)/3*0.6,IF(A182&gt;2,B181+MIN(MAX(A181*50,1850),(B181-B180)*1.22,(B181-B180)+150),999)),B181+(B181-B180)),0))</f>
        <v>508723</v>
      </c>
      <c r="C182">
        <f t="shared" si="24"/>
        <v>254362</v>
      </c>
      <c r="D182">
        <f t="shared" si="23"/>
        <v>6950</v>
      </c>
      <c r="E182">
        <f t="shared" si="25"/>
        <v>2811</v>
      </c>
      <c r="F182">
        <f>VLOOKUP(A182-1,Overview!$A$4:$K$202,11)/3*0.6</f>
        <v>601588.79999999993</v>
      </c>
      <c r="G182" s="272">
        <f t="shared" si="26"/>
        <v>-0.15436756801323415</v>
      </c>
      <c r="H182">
        <f>SUM(B$2:B182)*3</f>
        <v>111129603</v>
      </c>
      <c r="I182">
        <f>VLOOKUP(A182,Overview!A$4:L$202,12)</f>
        <v>197917015</v>
      </c>
      <c r="J182" s="158">
        <f t="shared" si="21"/>
        <v>-0.43850404675919352</v>
      </c>
      <c r="K182" t="str">
        <f t="shared" si="22"/>
        <v>about perfect</v>
      </c>
    </row>
    <row r="183" spans="1:11">
      <c r="A183">
        <v>182</v>
      </c>
      <c r="B183">
        <f>IF(J182&gt;-0.4,B182+ROUNDUP(E182/50,0)*50,ROUNDUP(MAX(MIN(VLOOKUP(A183,Overview!$A$4:$K$202,11)/3*0.6,IF(A183&gt;2,B182+MIN(MAX(A182*50,1850),(B182-B181)*1.22,(B182-B181)+150),999)),B182+(B182-B181)),0))</f>
        <v>515823</v>
      </c>
      <c r="C183">
        <f t="shared" si="24"/>
        <v>257912</v>
      </c>
      <c r="D183">
        <f t="shared" si="23"/>
        <v>7100</v>
      </c>
      <c r="E183">
        <f t="shared" si="25"/>
        <v>2834</v>
      </c>
      <c r="F183">
        <f>VLOOKUP(A183-1,Overview!$A$4:$K$202,11)/3*0.6</f>
        <v>609610</v>
      </c>
      <c r="G183" s="272">
        <f t="shared" si="26"/>
        <v>-0.15384754187103233</v>
      </c>
      <c r="H183">
        <f>SUM(B$2:B183)*3</f>
        <v>112677072</v>
      </c>
      <c r="I183">
        <f>VLOOKUP(A183,Overview!A$4:L$202,12)</f>
        <v>201005170</v>
      </c>
      <c r="J183" s="158">
        <f t="shared" si="21"/>
        <v>-0.43943197082940699</v>
      </c>
      <c r="K183" t="str">
        <f t="shared" si="22"/>
        <v>about perfect</v>
      </c>
    </row>
    <row r="184" spans="1:11">
      <c r="A184">
        <v>183</v>
      </c>
      <c r="B184">
        <f>IF(J183&gt;-0.4,B183+ROUNDUP(E183/50,0)*50,ROUNDUP(MAX(MIN(VLOOKUP(A184,Overview!$A$4:$K$202,11)/3*0.6,IF(A184&gt;2,B183+MIN(MAX(A183*50,1850),(B183-B182)*1.22,(B183-B182)+150),999)),B183+(B183-B182)),0))</f>
        <v>523073</v>
      </c>
      <c r="C184">
        <f t="shared" si="24"/>
        <v>261537</v>
      </c>
      <c r="D184">
        <f t="shared" si="23"/>
        <v>7250</v>
      </c>
      <c r="E184">
        <f t="shared" si="25"/>
        <v>2858</v>
      </c>
      <c r="F184">
        <f>VLOOKUP(A184-1,Overview!$A$4:$K$202,11)/3*0.6</f>
        <v>617631</v>
      </c>
      <c r="G184" s="272">
        <f t="shared" si="26"/>
        <v>-0.1530978853069227</v>
      </c>
      <c r="H184">
        <f>SUM(B$2:B184)*3</f>
        <v>114246291</v>
      </c>
      <c r="I184">
        <f>VLOOKUP(A184,Overview!A$4:L$202,12)</f>
        <v>204133431</v>
      </c>
      <c r="J184" s="158">
        <f t="shared" si="21"/>
        <v>-0.44033522368024081</v>
      </c>
      <c r="K184" t="str">
        <f t="shared" si="22"/>
        <v>about perfect</v>
      </c>
    </row>
    <row r="185" spans="1:11">
      <c r="A185">
        <v>184</v>
      </c>
      <c r="B185">
        <f>IF(J184&gt;-0.4,B184+ROUNDUP(E184/50,0)*50,ROUNDUP(MAX(MIN(VLOOKUP(A185,Overview!$A$4:$K$202,11)/3*0.6,IF(A185&gt;2,B184+MIN(MAX(A184*50,1850),(B184-B183)*1.22,(B184-B183)+150),999)),B184+(B184-B183)),0))</f>
        <v>530473</v>
      </c>
      <c r="C185">
        <f t="shared" si="24"/>
        <v>265237</v>
      </c>
      <c r="D185">
        <f t="shared" si="23"/>
        <v>7400</v>
      </c>
      <c r="E185">
        <f t="shared" si="25"/>
        <v>2883</v>
      </c>
      <c r="F185">
        <f>VLOOKUP(A185-1,Overview!$A$4:$K$202,11)/3*0.6</f>
        <v>625652.19999999995</v>
      </c>
      <c r="G185" s="272">
        <f t="shared" si="26"/>
        <v>-0.15212797141926448</v>
      </c>
      <c r="H185">
        <f>SUM(B$2:B185)*3</f>
        <v>115837710</v>
      </c>
      <c r="I185">
        <f>VLOOKUP(A185,Overview!A$4:L$202,12)</f>
        <v>207301798</v>
      </c>
      <c r="J185" s="158">
        <f t="shared" si="21"/>
        <v>-0.4412122272089507</v>
      </c>
      <c r="K185" t="str">
        <f t="shared" si="22"/>
        <v>about perfect</v>
      </c>
    </row>
    <row r="186" spans="1:11">
      <c r="A186">
        <v>185</v>
      </c>
      <c r="B186">
        <f>IF(J185&gt;-0.4,B185+ROUNDUP(E185/50,0)*50,ROUNDUP(MAX(MIN(VLOOKUP(A186,Overview!$A$4:$K$202,11)/3*0.6,IF(A186&gt;2,B185+MIN(MAX(A185*50,1850),(B185-B184)*1.22,(B185-B184)+150),999)),B185+(B185-B184)),0))</f>
        <v>538023</v>
      </c>
      <c r="C186">
        <f t="shared" si="24"/>
        <v>269012</v>
      </c>
      <c r="D186">
        <f t="shared" si="23"/>
        <v>7550</v>
      </c>
      <c r="E186">
        <f t="shared" si="25"/>
        <v>2908</v>
      </c>
      <c r="F186">
        <f>VLOOKUP(A186-1,Overview!$A$4:$K$202,11)/3*0.6</f>
        <v>633673.39999999991</v>
      </c>
      <c r="G186" s="272">
        <f t="shared" si="26"/>
        <v>-0.15094589736605624</v>
      </c>
      <c r="H186">
        <f>SUM(B$2:B186)*3</f>
        <v>117451779</v>
      </c>
      <c r="I186">
        <f>VLOOKUP(A186,Overview!A$4:L$202,12)</f>
        <v>210510271</v>
      </c>
      <c r="J186" s="158">
        <f t="shared" si="21"/>
        <v>-0.44206152772469709</v>
      </c>
      <c r="K186" t="str">
        <f t="shared" si="22"/>
        <v>about perfect</v>
      </c>
    </row>
    <row r="187" spans="1:11">
      <c r="A187">
        <v>186</v>
      </c>
      <c r="B187">
        <f>IF(J186&gt;-0.4,B186+ROUNDUP(E186/50,0)*50,ROUNDUP(MAX(MIN(VLOOKUP(A187,Overview!$A$4:$K$202,11)/3*0.6,IF(A187&gt;2,B186+MIN(MAX(A186*50,1850),(B186-B185)*1.22,(B186-B185)+150),999)),B186+(B186-B185)),0))</f>
        <v>545723</v>
      </c>
      <c r="C187">
        <f t="shared" si="24"/>
        <v>272862</v>
      </c>
      <c r="D187">
        <f t="shared" si="23"/>
        <v>7700</v>
      </c>
      <c r="E187">
        <f t="shared" si="25"/>
        <v>2934</v>
      </c>
      <c r="F187">
        <f>VLOOKUP(A187-1,Overview!$A$4:$K$202,11)/3*0.6</f>
        <v>641694.6</v>
      </c>
      <c r="G187" s="272">
        <f t="shared" si="26"/>
        <v>-0.14955961917086413</v>
      </c>
      <c r="H187">
        <f>SUM(B$2:B187)*3</f>
        <v>119088948</v>
      </c>
      <c r="I187">
        <f>VLOOKUP(A187,Overview!A$4:L$202,12)</f>
        <v>213758850</v>
      </c>
      <c r="J187" s="158">
        <f t="shared" si="21"/>
        <v>-0.44288178945573486</v>
      </c>
      <c r="K187" t="str">
        <f t="shared" si="22"/>
        <v>about perfect</v>
      </c>
    </row>
    <row r="188" spans="1:11">
      <c r="A188">
        <v>187</v>
      </c>
      <c r="B188">
        <f>IF(J187&gt;-0.4,B187+ROUNDUP(E187/50,0)*50,ROUNDUP(MAX(MIN(VLOOKUP(A188,Overview!$A$4:$K$202,11)/3*0.6,IF(A188&gt;2,B187+MIN(MAX(A187*50,1850),(B187-B186)*1.22,(B187-B186)+150),999)),B187+(B187-B186)),0))</f>
        <v>553573</v>
      </c>
      <c r="C188">
        <f t="shared" si="24"/>
        <v>276787</v>
      </c>
      <c r="D188">
        <f t="shared" si="23"/>
        <v>7850</v>
      </c>
      <c r="E188">
        <f t="shared" si="25"/>
        <v>2960</v>
      </c>
      <c r="F188">
        <f>VLOOKUP(A188-1,Overview!$A$4:$K$202,11)/3*0.6</f>
        <v>649715.80000000005</v>
      </c>
      <c r="G188" s="272">
        <f t="shared" si="26"/>
        <v>-0.14797669996635454</v>
      </c>
      <c r="H188">
        <f>SUM(B$2:B188)*3</f>
        <v>120749667</v>
      </c>
      <c r="I188">
        <f>VLOOKUP(A188,Overview!A$4:L$202,12)</f>
        <v>217047535</v>
      </c>
      <c r="J188" s="158">
        <f t="shared" si="21"/>
        <v>-0.44367178830204179</v>
      </c>
      <c r="K188" t="str">
        <f t="shared" si="22"/>
        <v>about perfect</v>
      </c>
    </row>
    <row r="189" spans="1:11">
      <c r="A189">
        <v>188</v>
      </c>
      <c r="B189">
        <f>IF(J188&gt;-0.4,B188+ROUNDUP(E188/50,0)*50,ROUNDUP(MAX(MIN(VLOOKUP(A189,Overview!$A$4:$K$202,11)/3*0.6,IF(A189&gt;2,B188+MIN(MAX(A188*50,1850),(B188-B187)*1.22,(B188-B187)+150),999)),B188+(B188-B187)),0))</f>
        <v>561573</v>
      </c>
      <c r="C189">
        <f t="shared" si="24"/>
        <v>280787</v>
      </c>
      <c r="D189">
        <f t="shared" si="23"/>
        <v>8000</v>
      </c>
      <c r="E189">
        <f t="shared" si="25"/>
        <v>2987</v>
      </c>
      <c r="F189">
        <f>VLOOKUP(A189-1,Overview!$A$4:$K$202,11)/3*0.6</f>
        <v>657736.99999999988</v>
      </c>
      <c r="G189" s="272">
        <f t="shared" si="26"/>
        <v>-0.14620433395110799</v>
      </c>
      <c r="H189">
        <f>SUM(B$2:B189)*3</f>
        <v>122434386</v>
      </c>
      <c r="I189">
        <f>VLOOKUP(A189,Overview!A$4:L$202,12)</f>
        <v>220376326</v>
      </c>
      <c r="J189" s="158">
        <f t="shared" si="21"/>
        <v>-0.44443040583224902</v>
      </c>
      <c r="K189" t="str">
        <f t="shared" si="22"/>
        <v>about perfect</v>
      </c>
    </row>
    <row r="190" spans="1:11">
      <c r="A190">
        <v>189</v>
      </c>
      <c r="B190">
        <f>IF(J189&gt;-0.4,B189+ROUNDUP(E189/50,0)*50,ROUNDUP(MAX(MIN(VLOOKUP(A190,Overview!$A$4:$K$202,11)/3*0.6,IF(A190&gt;2,B189+MIN(MAX(A189*50,1850),(B189-B188)*1.22,(B189-B188)+150),999)),B189+(B189-B188)),0))</f>
        <v>569723</v>
      </c>
      <c r="C190">
        <f t="shared" si="24"/>
        <v>284862</v>
      </c>
      <c r="D190">
        <f t="shared" si="23"/>
        <v>8150</v>
      </c>
      <c r="E190">
        <f t="shared" si="25"/>
        <v>3014</v>
      </c>
      <c r="F190">
        <f>VLOOKUP(A190-1,Overview!$A$4:$K$202,11)/3*0.6</f>
        <v>665758.19999999995</v>
      </c>
      <c r="G190" s="272">
        <f t="shared" si="26"/>
        <v>-0.14424936861461102</v>
      </c>
      <c r="H190">
        <f>SUM(B$2:B190)*3</f>
        <v>124143555</v>
      </c>
      <c r="I190">
        <f>VLOOKUP(A190,Overview!A$4:L$202,12)</f>
        <v>223745223</v>
      </c>
      <c r="J190" s="158">
        <f t="shared" si="21"/>
        <v>-0.44515662352263941</v>
      </c>
      <c r="K190" t="str">
        <f t="shared" si="22"/>
        <v>about perfect</v>
      </c>
    </row>
    <row r="191" spans="1:11">
      <c r="A191">
        <v>190</v>
      </c>
      <c r="B191">
        <f>IF(J190&gt;-0.4,B190+ROUNDUP(E190/50,0)*50,ROUNDUP(MAX(MIN(VLOOKUP(A191,Overview!$A$4:$K$202,11)/3*0.6,IF(A191&gt;2,B190+MIN(MAX(A190*50,1850),(B190-B189)*1.22,(B190-B189)+150),999)),B190+(B190-B189)),0))</f>
        <v>578023</v>
      </c>
      <c r="C191">
        <f t="shared" si="24"/>
        <v>289012</v>
      </c>
      <c r="D191">
        <f t="shared" si="23"/>
        <v>8300</v>
      </c>
      <c r="E191">
        <f t="shared" si="25"/>
        <v>3042</v>
      </c>
      <c r="F191">
        <f>VLOOKUP(A191-1,Overview!$A$4:$K$202,11)/3*0.6</f>
        <v>673779.4</v>
      </c>
      <c r="G191" s="272">
        <f t="shared" si="26"/>
        <v>-0.14211832537474434</v>
      </c>
      <c r="H191">
        <f>SUM(B$2:B191)*3</f>
        <v>125877624</v>
      </c>
      <c r="I191">
        <f>VLOOKUP(A191,Overview!A$4:L$202,12)</f>
        <v>227154226</v>
      </c>
      <c r="J191" s="158">
        <f t="shared" si="21"/>
        <v>-0.44584951723504362</v>
      </c>
      <c r="K191" t="str">
        <f t="shared" si="22"/>
        <v>about perfect</v>
      </c>
    </row>
    <row r="192" spans="1:11">
      <c r="A192">
        <v>191</v>
      </c>
      <c r="B192">
        <f>IF(J191&gt;-0.4,B191+ROUNDUP(E191/50,0)*50,ROUNDUP(MAX(MIN(VLOOKUP(A192,Overview!$A$4:$K$202,11)/3*0.6,IF(A192&gt;2,B191+MIN(MAX(A191*50,1850),(B191-B190)*1.22,(B191-B190)+150),999)),B191+(B191-B190)),0))</f>
        <v>586473</v>
      </c>
      <c r="C192">
        <f t="shared" si="24"/>
        <v>293237</v>
      </c>
      <c r="D192">
        <f t="shared" si="23"/>
        <v>8450</v>
      </c>
      <c r="E192">
        <f t="shared" si="25"/>
        <v>3071</v>
      </c>
      <c r="F192">
        <f>VLOOKUP(A192-1,Overview!$A$4:$K$202,11)/3*0.6</f>
        <v>681800.6</v>
      </c>
      <c r="G192" s="272">
        <f t="shared" si="26"/>
        <v>-0.13981741875850506</v>
      </c>
      <c r="H192">
        <f>SUM(B$2:B192)*3</f>
        <v>127637043</v>
      </c>
      <c r="I192">
        <f>VLOOKUP(A192,Overview!A$4:L$202,12)</f>
        <v>230603335</v>
      </c>
      <c r="J192" s="158">
        <f t="shared" si="21"/>
        <v>-0.44650825192966093</v>
      </c>
      <c r="K192" t="str">
        <f t="shared" si="22"/>
        <v>about perfect</v>
      </c>
    </row>
    <row r="193" spans="1:11">
      <c r="A193">
        <v>192</v>
      </c>
      <c r="B193">
        <f>IF(J192&gt;-0.4,B192+ROUNDUP(E192/50,0)*50,ROUNDUP(MAX(MIN(VLOOKUP(A193,Overview!$A$4:$K$202,11)/3*0.6,IF(A193&gt;2,B192+MIN(MAX(A192*50,1850),(B192-B191)*1.22,(B192-B191)+150),999)),B192+(B192-B191)),0))</f>
        <v>595073</v>
      </c>
      <c r="C193">
        <f t="shared" si="24"/>
        <v>297537</v>
      </c>
      <c r="D193">
        <f t="shared" si="23"/>
        <v>8600</v>
      </c>
      <c r="E193">
        <f t="shared" si="25"/>
        <v>3099</v>
      </c>
      <c r="F193">
        <f>VLOOKUP(A193-1,Overview!$A$4:$K$202,11)/3*0.6</f>
        <v>689821.79999999993</v>
      </c>
      <c r="G193" s="272">
        <f t="shared" si="26"/>
        <v>-0.13735257424453673</v>
      </c>
      <c r="H193">
        <f>SUM(B$2:B193)*3</f>
        <v>129422262</v>
      </c>
      <c r="I193">
        <f>VLOOKUP(A193,Overview!A$4:L$202,12)</f>
        <v>234092550</v>
      </c>
      <c r="J193" s="158">
        <f t="shared" si="21"/>
        <v>-0.44713207660816201</v>
      </c>
      <c r="K193" t="str">
        <f t="shared" si="22"/>
        <v>about perfect</v>
      </c>
    </row>
    <row r="194" spans="1:11">
      <c r="A194">
        <v>193</v>
      </c>
      <c r="B194">
        <f>IF(J193&gt;-0.4,B193+ROUNDUP(E193/50,0)*50,ROUNDUP(MAX(MIN(VLOOKUP(A194,Overview!$A$4:$K$202,11)/3*0.6,IF(A194&gt;2,B193+MIN(MAX(A193*50,1850),(B193-B192)*1.22,(B193-B192)+150),999)),B193+(B193-B192)),0))</f>
        <v>603823</v>
      </c>
      <c r="C194">
        <f t="shared" ref="C194:C200" si="27">ROUND(B194/2,0)</f>
        <v>301912</v>
      </c>
      <c r="D194">
        <f t="shared" si="23"/>
        <v>8750</v>
      </c>
      <c r="E194">
        <f t="shared" ref="E194:E200" si="28">ROUND(B194/A194,0)</f>
        <v>3129</v>
      </c>
      <c r="F194">
        <f>VLOOKUP(A194-1,Overview!$A$4:$K$202,11)/3*0.6</f>
        <v>697843</v>
      </c>
      <c r="G194" s="272">
        <f t="shared" ref="G194:G200" si="29">B194/F194-1</f>
        <v>-0.13472944487513672</v>
      </c>
      <c r="H194">
        <f>SUM(B$2:B194)*3</f>
        <v>131233731</v>
      </c>
      <c r="I194">
        <f>VLOOKUP(A194,Overview!A$4:L$202,12)</f>
        <v>237621870</v>
      </c>
      <c r="J194" s="158">
        <f t="shared" si="21"/>
        <v>-0.4477203171576758</v>
      </c>
      <c r="K194" t="str">
        <f t="shared" si="22"/>
        <v>about perfect</v>
      </c>
    </row>
    <row r="195" spans="1:11">
      <c r="A195">
        <v>194</v>
      </c>
      <c r="B195">
        <f>IF(J194&gt;-0.4,B194+ROUNDUP(E194/50,0)*50,ROUNDUP(MAX(MIN(VLOOKUP(A195,Overview!$A$4:$K$202,11)/3*0.6,IF(A195&gt;2,B194+MIN(MAX(A194*50,1850),(B194-B193)*1.22,(B194-B193)+150),999)),B194+(B194-B193)),0))</f>
        <v>612723</v>
      </c>
      <c r="C195">
        <f t="shared" si="27"/>
        <v>306362</v>
      </c>
      <c r="D195">
        <f t="shared" si="23"/>
        <v>8900</v>
      </c>
      <c r="E195">
        <f t="shared" si="28"/>
        <v>3158</v>
      </c>
      <c r="F195">
        <f>VLOOKUP(A195-1,Overview!$A$4:$K$202,11)/3*0.6</f>
        <v>705864</v>
      </c>
      <c r="G195" s="272">
        <f t="shared" si="29"/>
        <v>-0.13195318078270035</v>
      </c>
      <c r="H195">
        <f>SUM(B$2:B195)*3</f>
        <v>133071900</v>
      </c>
      <c r="I195">
        <f>VLOOKUP(A195,Overview!A$4:L$202,12)</f>
        <v>241191296</v>
      </c>
      <c r="J195" s="158">
        <f t="shared" ref="J195:J200" si="30">H195/I195-1</f>
        <v>-0.44827237878434878</v>
      </c>
      <c r="K195" t="str">
        <f t="shared" ref="K195:K200" si="31">IF(J195&lt;-0.5,"Cheaper than it should be",IF(J195&gt;-0.3,"More expensive than it should be","about perfect"))</f>
        <v>about perfect</v>
      </c>
    </row>
    <row r="196" spans="1:11">
      <c r="A196">
        <v>195</v>
      </c>
      <c r="B196">
        <f>IF(J195&gt;-0.4,B195+ROUNDUP(E195/50,0)*50,ROUNDUP(MAX(MIN(VLOOKUP(A196,Overview!$A$4:$K$202,11)/3*0.6,IF(A196&gt;2,B195+MIN(MAX(A195*50,1850),(B195-B194)*1.22,(B195-B194)+150),999)),B195+(B195-B194)),0))</f>
        <v>621773</v>
      </c>
      <c r="C196">
        <f t="shared" si="27"/>
        <v>310887</v>
      </c>
      <c r="D196">
        <f>B196-B195</f>
        <v>9050</v>
      </c>
      <c r="E196">
        <f t="shared" si="28"/>
        <v>3189</v>
      </c>
      <c r="F196">
        <f>VLOOKUP(A196-1,Overview!$A$4:$K$202,11)/3*0.6</f>
        <v>713885.20000000007</v>
      </c>
      <c r="G196" s="272">
        <f t="shared" si="29"/>
        <v>-0.12902942938164297</v>
      </c>
      <c r="H196">
        <f>SUM(B$2:B196)*3</f>
        <v>134937219</v>
      </c>
      <c r="I196">
        <f>VLOOKUP(A196,Overview!A$4:L$202,12)</f>
        <v>244800828</v>
      </c>
      <c r="J196" s="158">
        <f t="shared" si="30"/>
        <v>-0.44878773449246667</v>
      </c>
      <c r="K196" t="str">
        <f t="shared" si="31"/>
        <v>about perfect</v>
      </c>
    </row>
    <row r="197" spans="1:11">
      <c r="A197">
        <v>196</v>
      </c>
      <c r="B197">
        <f>IF(J196&gt;-0.4,B196+ROUNDUP(E196/50,0)*50,ROUNDUP(MAX(MIN(VLOOKUP(A197,Overview!$A$4:$K$202,11)/3*0.6,IF(A197&gt;2,B196+MIN(MAX(A196*50,1850),(B196-B195)*1.22,(B196-B195)+150),999)),B196+(B196-B195)),0))</f>
        <v>630973</v>
      </c>
      <c r="C197">
        <f t="shared" si="27"/>
        <v>315487</v>
      </c>
      <c r="D197">
        <f>B197-B196</f>
        <v>9200</v>
      </c>
      <c r="E197">
        <f t="shared" si="28"/>
        <v>3219</v>
      </c>
      <c r="F197">
        <f>VLOOKUP(A197-1,Overview!$A$4:$K$202,11)/3*0.6</f>
        <v>721906.39999999991</v>
      </c>
      <c r="G197" s="272">
        <f t="shared" si="29"/>
        <v>-0.12596286720826955</v>
      </c>
      <c r="H197">
        <f>SUM(B$2:B197)*3</f>
        <v>136830138</v>
      </c>
      <c r="I197">
        <f>VLOOKUP(A197,Overview!A$4:L$202,12)</f>
        <v>248450466</v>
      </c>
      <c r="J197" s="158">
        <f t="shared" si="30"/>
        <v>-0.44926592329273396</v>
      </c>
      <c r="K197" t="str">
        <f t="shared" si="31"/>
        <v>about perfect</v>
      </c>
    </row>
    <row r="198" spans="1:11">
      <c r="A198">
        <v>197</v>
      </c>
      <c r="B198">
        <f>IF(J197&gt;-0.4,B197+ROUNDUP(E197/50,0)*50,ROUNDUP(MAX(MIN(VLOOKUP(A198,Overview!$A$4:$K$202,11)/3*0.6,IF(A198&gt;2,B197+MIN(MAX(A197*50,1850),(B197-B196)*1.22,(B197-B196)+150),999)),B197+(B197-B196)),0))</f>
        <v>640323</v>
      </c>
      <c r="C198">
        <f t="shared" si="27"/>
        <v>320162</v>
      </c>
      <c r="D198">
        <f>B198-B197</f>
        <v>9350</v>
      </c>
      <c r="E198">
        <f t="shared" si="28"/>
        <v>3250</v>
      </c>
      <c r="F198">
        <f>VLOOKUP(A198-1,Overview!$A$4:$K$202,11)/3*0.6</f>
        <v>729927.6</v>
      </c>
      <c r="G198" s="272">
        <f t="shared" si="29"/>
        <v>-0.12275820232033974</v>
      </c>
      <c r="H198">
        <f>SUM(B$2:B198)*3</f>
        <v>138751107</v>
      </c>
      <c r="I198">
        <f>VLOOKUP(A198,Overview!A$4:L$202,12)</f>
        <v>252140210</v>
      </c>
      <c r="J198" s="158">
        <f t="shared" si="30"/>
        <v>-0.44970654621093553</v>
      </c>
      <c r="K198" t="str">
        <f t="shared" si="31"/>
        <v>about perfect</v>
      </c>
    </row>
    <row r="199" spans="1:11">
      <c r="A199">
        <v>198</v>
      </c>
      <c r="B199">
        <f>IF(J198&gt;-0.4,B198+ROUNDUP(E198/50,0)*50,ROUNDUP(MAX(MIN(VLOOKUP(A199,Overview!$A$4:$K$202,11)/3*0.6,IF(A199&gt;2,B198+MIN(MAX(A198*50,1850),(B198-B197)*1.22,(B198-B197)+150),999)),B198+(B198-B197)),0))</f>
        <v>649823</v>
      </c>
      <c r="C199">
        <f t="shared" si="27"/>
        <v>324912</v>
      </c>
      <c r="D199">
        <f>B199-B198</f>
        <v>9500</v>
      </c>
      <c r="E199">
        <f t="shared" si="28"/>
        <v>3282</v>
      </c>
      <c r="F199">
        <f>VLOOKUP(A199-1,Overview!$A$4:$K$202,11)/3*0.6</f>
        <v>737948.8</v>
      </c>
      <c r="G199" s="272">
        <f t="shared" si="29"/>
        <v>-0.11941993807700491</v>
      </c>
      <c r="H199">
        <f>SUM(B$2:B199)*3</f>
        <v>140700576</v>
      </c>
      <c r="I199">
        <f>VLOOKUP(A199,Overview!A$4:L$202,12)</f>
        <v>255870060</v>
      </c>
      <c r="J199" s="158">
        <f t="shared" si="30"/>
        <v>-0.45010926249050009</v>
      </c>
      <c r="K199" t="str">
        <f t="shared" si="31"/>
        <v>about perfect</v>
      </c>
    </row>
    <row r="200" spans="1:11">
      <c r="A200">
        <v>199</v>
      </c>
      <c r="B200">
        <f>IF(J199&gt;-0.4,B199+ROUNDUP(E199/50,0)*50,ROUNDUP(MAX(MIN(VLOOKUP(A200,Overview!$A$4:$K$202,11)/3*0.6,IF(A200&gt;2,B199+MIN(MAX(A199*50,1850),(B199-B198)*1.22,(B199-B198)+150),999)),B199+(B199-B198)),0))</f>
        <v>659473</v>
      </c>
      <c r="C200">
        <f t="shared" si="27"/>
        <v>329737</v>
      </c>
      <c r="D200">
        <f>B200-B199</f>
        <v>9650</v>
      </c>
      <c r="E200">
        <f t="shared" si="28"/>
        <v>3314</v>
      </c>
      <c r="F200">
        <f>VLOOKUP(A200-1,Overview!$A$4:$K$202,11)/3*0.6</f>
        <v>745969.99999999988</v>
      </c>
      <c r="G200" s="272">
        <f t="shared" si="29"/>
        <v>-0.11595238414413434</v>
      </c>
      <c r="H200">
        <f>SUM(B$2:B200)*3</f>
        <v>142678995</v>
      </c>
      <c r="I200">
        <f>VLOOKUP(A200,Overview!A$4:L$202,12)</f>
        <v>259640016</v>
      </c>
      <c r="J200" s="158">
        <f t="shared" si="30"/>
        <v>-0.45047378598220389</v>
      </c>
      <c r="K200" t="str">
        <f t="shared" si="31"/>
        <v>about perfect</v>
      </c>
    </row>
    <row r="201" spans="1:11">
      <c r="A201">
        <v>200</v>
      </c>
      <c r="B201">
        <f>IF(J200&gt;-0.4,B200+ROUNDUP(E200/50,0)*50,ROUNDUP(MAX(MIN(VLOOKUP(A201,Overview!$A$4:$K$202,11)/3*0.6,IF(A201&gt;2,B200+MIN(MAX(A200*50,1850),(B200-B199)*1.22,(B200-B199)+150),999)),B200+(B200-B199)),0))</f>
        <v>669273</v>
      </c>
      <c r="C201">
        <f t="shared" ref="C201:C264" si="32">ROUND(B201/2,0)</f>
        <v>334637</v>
      </c>
      <c r="D201">
        <f t="shared" ref="D201:D264" si="33">B201-B200</f>
        <v>9800</v>
      </c>
      <c r="E201">
        <f t="shared" ref="E201:E264" si="34">ROUND(B201/A201,0)</f>
        <v>3346</v>
      </c>
      <c r="F201">
        <f>VLOOKUP(A201-1,Overview!$A$4:$K$202,11)/3*0.6</f>
        <v>753991.2</v>
      </c>
      <c r="G201" s="272">
        <f t="shared" ref="G201:G264" si="35">B201/F201-1</f>
        <v>-0.11235966679717213</v>
      </c>
      <c r="H201">
        <f>SUM(B$2:B201)*3</f>
        <v>144686814</v>
      </c>
      <c r="I201">
        <f>VLOOKUP(A201,Overview!A$4:L$202,12)</f>
        <v>259640016</v>
      </c>
      <c r="J201" s="158">
        <f t="shared" ref="J201:J264" si="36">H201/I201-1</f>
        <v>-0.44274069833673091</v>
      </c>
      <c r="K201" t="str">
        <f t="shared" ref="K201:K264" si="37">IF(J201&lt;-0.5,"Cheaper than it should be",IF(J201&gt;-0.3,"More expensive than it should be","about perfect"))</f>
        <v>about perfect</v>
      </c>
    </row>
    <row r="202" spans="1:11">
      <c r="A202">
        <v>201</v>
      </c>
      <c r="B202">
        <f>IF(J201&gt;-0.4,B201+ROUNDUP(E201/50,0)*50,ROUNDUP(MAX(MIN(VLOOKUP(A202,Overview!$A$4:$K$202,11)/3*0.6,IF(A202&gt;2,B201+MIN(MAX(A201*50,1850),(B201-B200)*1.22,(B201-B200)+150),999)),B201+(B201-B200)),0))</f>
        <v>679223</v>
      </c>
      <c r="C202">
        <f t="shared" si="32"/>
        <v>339612</v>
      </c>
      <c r="D202">
        <f t="shared" si="33"/>
        <v>9950</v>
      </c>
      <c r="E202">
        <f t="shared" si="34"/>
        <v>3379</v>
      </c>
      <c r="F202">
        <f>VLOOKUP(A202-1,Overview!$A$4:$K$202,11)/3*0.6</f>
        <v>753991.2</v>
      </c>
      <c r="G202" s="272">
        <f t="shared" si="35"/>
        <v>-9.9163226308211505E-2</v>
      </c>
      <c r="H202">
        <f>SUM(B$2:B202)*3</f>
        <v>146724483</v>
      </c>
      <c r="I202">
        <f>VLOOKUP(A202,Overview!A$4:L$202,12)</f>
        <v>259640016</v>
      </c>
      <c r="J202" s="158">
        <f t="shared" si="36"/>
        <v>-0.43489264382112813</v>
      </c>
      <c r="K202" t="str">
        <f t="shared" si="37"/>
        <v>about perfect</v>
      </c>
    </row>
    <row r="203" spans="1:11">
      <c r="A203">
        <v>202</v>
      </c>
      <c r="B203">
        <f>IF(J202&gt;-0.4,B202+ROUNDUP(E202/50,0)*50,ROUNDUP(MAX(MIN(VLOOKUP(A203,Overview!$A$4:$K$202,11)/3*0.6,IF(A203&gt;2,B202+MIN(MAX(A202*50,1850),(B202-B201)*1.22,(B202-B201)+150),999)),B202+(B202-B201)),0))</f>
        <v>689273</v>
      </c>
      <c r="C203">
        <f t="shared" si="32"/>
        <v>344637</v>
      </c>
      <c r="D203">
        <f t="shared" si="33"/>
        <v>10050</v>
      </c>
      <c r="E203">
        <f t="shared" si="34"/>
        <v>3412</v>
      </c>
      <c r="F203">
        <f>VLOOKUP(A203-1,Overview!$A$4:$K$202,11)/3*0.6</f>
        <v>753991.2</v>
      </c>
      <c r="G203" s="272">
        <f t="shared" si="35"/>
        <v>-8.5834158276648309E-2</v>
      </c>
      <c r="H203">
        <f>SUM(B$2:B203)*3</f>
        <v>148792302</v>
      </c>
      <c r="I203">
        <f>VLOOKUP(A203,Overview!A$4:L$202,12)</f>
        <v>259640016</v>
      </c>
      <c r="J203" s="158">
        <f t="shared" si="36"/>
        <v>-0.42692846698946441</v>
      </c>
      <c r="K203" t="str">
        <f t="shared" si="37"/>
        <v>about perfect</v>
      </c>
    </row>
    <row r="204" spans="1:11">
      <c r="A204">
        <v>203</v>
      </c>
      <c r="B204">
        <f>IF(J203&gt;-0.4,B203+ROUNDUP(E203/50,0)*50,ROUNDUP(MAX(MIN(VLOOKUP(A204,Overview!$A$4:$K$202,11)/3*0.6,IF(A204&gt;2,B203+MIN(MAX(A203*50,1850),(B203-B202)*1.22,(B203-B202)+150),999)),B203+(B203-B202)),0))</f>
        <v>699373</v>
      </c>
      <c r="C204">
        <f t="shared" si="32"/>
        <v>349687</v>
      </c>
      <c r="D204">
        <f t="shared" si="33"/>
        <v>10100</v>
      </c>
      <c r="E204">
        <f t="shared" si="34"/>
        <v>3445</v>
      </c>
      <c r="F204">
        <f>VLOOKUP(A204-1,Overview!$A$4:$K$202,11)/3*0.6</f>
        <v>753991.2</v>
      </c>
      <c r="G204" s="272">
        <f t="shared" si="35"/>
        <v>-7.2438776473783717E-2</v>
      </c>
      <c r="H204">
        <f>SUM(B$2:B204)*3</f>
        <v>150890421</v>
      </c>
      <c r="I204">
        <f>VLOOKUP(A204,Overview!A$4:L$202,12)</f>
        <v>259640016</v>
      </c>
      <c r="J204" s="158">
        <f t="shared" si="36"/>
        <v>-0.41884759011877426</v>
      </c>
      <c r="K204" t="str">
        <f t="shared" si="37"/>
        <v>about perfect</v>
      </c>
    </row>
    <row r="205" spans="1:11">
      <c r="A205">
        <v>204</v>
      </c>
      <c r="B205">
        <f>IF(J204&gt;-0.4,B204+ROUNDUP(E204/50,0)*50,ROUNDUP(MAX(MIN(VLOOKUP(A205,Overview!$A$4:$K$202,11)/3*0.6,IF(A205&gt;2,B204+MIN(MAX(A204*50,1850),(B204-B203)*1.22,(B204-B203)+150),999)),B204+(B204-B203)),0))</f>
        <v>709523</v>
      </c>
      <c r="C205">
        <f t="shared" si="32"/>
        <v>354762</v>
      </c>
      <c r="D205">
        <f t="shared" si="33"/>
        <v>10150</v>
      </c>
      <c r="E205">
        <f t="shared" si="34"/>
        <v>3478</v>
      </c>
      <c r="F205">
        <f>VLOOKUP(A205-1,Overview!$A$4:$K$202,11)/3*0.6</f>
        <v>753991.2</v>
      </c>
      <c r="G205" s="272">
        <f t="shared" si="35"/>
        <v>-5.897708089961784E-2</v>
      </c>
      <c r="H205">
        <f>SUM(B$2:B205)*3</f>
        <v>153018990</v>
      </c>
      <c r="I205">
        <f>VLOOKUP(A205,Overview!A$4:L$202,12)</f>
        <v>259640016</v>
      </c>
      <c r="J205" s="158">
        <f t="shared" si="36"/>
        <v>-0.41064943548609245</v>
      </c>
      <c r="K205" t="str">
        <f t="shared" si="37"/>
        <v>about perfect</v>
      </c>
    </row>
    <row r="206" spans="1:11">
      <c r="A206">
        <v>205</v>
      </c>
      <c r="B206">
        <f>IF(J205&gt;-0.4,B205+ROUNDUP(E205/50,0)*50,ROUNDUP(MAX(MIN(VLOOKUP(A206,Overview!$A$4:$K$202,11)/3*0.6,IF(A206&gt;2,B205+MIN(MAX(A205*50,1850),(B205-B204)*1.22,(B205-B204)+150),999)),B205+(B205-B204)),0))</f>
        <v>719723</v>
      </c>
      <c r="C206">
        <f t="shared" si="32"/>
        <v>359862</v>
      </c>
      <c r="D206">
        <f t="shared" si="33"/>
        <v>10200</v>
      </c>
      <c r="E206">
        <f t="shared" si="34"/>
        <v>3511</v>
      </c>
      <c r="F206">
        <f>VLOOKUP(A206-1,Overview!$A$4:$K$202,11)/3*0.6</f>
        <v>753991.2</v>
      </c>
      <c r="G206" s="272">
        <f t="shared" si="35"/>
        <v>-4.5449071554150677E-2</v>
      </c>
      <c r="H206">
        <f>SUM(B$2:B206)*3</f>
        <v>155178159</v>
      </c>
      <c r="I206">
        <f>VLOOKUP(A206,Overview!A$4:L$202,12)</f>
        <v>259640016</v>
      </c>
      <c r="J206" s="158">
        <f t="shared" si="36"/>
        <v>-0.40233342536845318</v>
      </c>
      <c r="K206" t="str">
        <f t="shared" si="37"/>
        <v>about perfect</v>
      </c>
    </row>
    <row r="207" spans="1:11">
      <c r="A207">
        <v>206</v>
      </c>
      <c r="B207">
        <f>IF(J206&gt;-0.4,B206+ROUNDUP(E206/50,0)*50,ROUNDUP(MAX(MIN(VLOOKUP(A207,Overview!$A$4:$K$202,11)/3*0.6,IF(A207&gt;2,B206+MIN(MAX(A206*50,1850),(B206-B205)*1.22,(B206-B205)+150),999)),B206+(B206-B205)),0))</f>
        <v>729973</v>
      </c>
      <c r="C207">
        <f t="shared" si="32"/>
        <v>364987</v>
      </c>
      <c r="D207">
        <f t="shared" si="33"/>
        <v>10250</v>
      </c>
      <c r="E207">
        <f t="shared" si="34"/>
        <v>3544</v>
      </c>
      <c r="F207">
        <f>VLOOKUP(A207-1,Overview!$A$4:$K$202,11)/3*0.6</f>
        <v>753991.2</v>
      </c>
      <c r="G207" s="272">
        <f t="shared" si="35"/>
        <v>-3.185474843738223E-2</v>
      </c>
      <c r="H207">
        <f>SUM(B$2:B207)*3</f>
        <v>157368078</v>
      </c>
      <c r="I207">
        <f>VLOOKUP(A207,Overview!A$4:L$202,12)</f>
        <v>259640016</v>
      </c>
      <c r="J207" s="158">
        <f t="shared" si="36"/>
        <v>-0.39389898204289131</v>
      </c>
      <c r="K207" t="str">
        <f t="shared" si="37"/>
        <v>about perfect</v>
      </c>
    </row>
    <row r="208" spans="1:11">
      <c r="A208">
        <v>207</v>
      </c>
      <c r="B208">
        <f>IF(J207&gt;-0.4,B207+ROUNDUP(E207/50,0)*50,ROUNDUP(MAX(MIN(VLOOKUP(A208,Overview!$A$4:$K$202,11)/3*0.6,IF(A208&gt;2,B207+MIN(MAX(A207*50,1850),(B207-B206)*1.22,(B207-B206)+150),999)),B207+(B207-B206)),0))</f>
        <v>733523</v>
      </c>
      <c r="C208">
        <f t="shared" si="32"/>
        <v>366762</v>
      </c>
      <c r="D208">
        <f t="shared" si="33"/>
        <v>3550</v>
      </c>
      <c r="E208">
        <f t="shared" si="34"/>
        <v>3544</v>
      </c>
      <c r="F208">
        <f>VLOOKUP(A208-1,Overview!$A$4:$K$202,11)/3*0.6</f>
        <v>753991.2</v>
      </c>
      <c r="G208" s="272">
        <f t="shared" si="35"/>
        <v>-2.7146470674989209E-2</v>
      </c>
      <c r="H208">
        <f>SUM(B$2:B208)*3</f>
        <v>159568647</v>
      </c>
      <c r="I208">
        <f>VLOOKUP(A208,Overview!A$4:L$202,12)</f>
        <v>259640016</v>
      </c>
      <c r="J208" s="158">
        <f t="shared" si="36"/>
        <v>-0.3854235203867804</v>
      </c>
      <c r="K208" t="str">
        <f t="shared" si="37"/>
        <v>about perfect</v>
      </c>
    </row>
    <row r="209" spans="1:11">
      <c r="A209">
        <v>208</v>
      </c>
      <c r="B209">
        <f>IF(J208&gt;-0.4,B208+ROUNDUP(E208/50,0)*50,ROUNDUP(MAX(MIN(VLOOKUP(A209,Overview!$A$4:$K$202,11)/3*0.6,IF(A209&gt;2,B208+MIN(MAX(A208*50,1850),(B208-B207)*1.22,(B208-B207)+150),999)),B208+(B208-B207)),0))</f>
        <v>737073</v>
      </c>
      <c r="C209">
        <f t="shared" si="32"/>
        <v>368537</v>
      </c>
      <c r="D209">
        <f t="shared" si="33"/>
        <v>3550</v>
      </c>
      <c r="E209">
        <f t="shared" si="34"/>
        <v>3544</v>
      </c>
      <c r="F209">
        <f>VLOOKUP(A209-1,Overview!$A$4:$K$202,11)/3*0.6</f>
        <v>753991.2</v>
      </c>
      <c r="G209" s="272">
        <f t="shared" si="35"/>
        <v>-2.24381929125963E-2</v>
      </c>
      <c r="H209">
        <f>SUM(B$2:B209)*3</f>
        <v>161779866</v>
      </c>
      <c r="I209">
        <f>VLOOKUP(A209,Overview!A$4:L$202,12)</f>
        <v>259640016</v>
      </c>
      <c r="J209" s="158">
        <f t="shared" si="36"/>
        <v>-0.3769070404001208</v>
      </c>
      <c r="K209" t="str">
        <f t="shared" si="37"/>
        <v>about perfect</v>
      </c>
    </row>
    <row r="210" spans="1:11">
      <c r="A210">
        <v>209</v>
      </c>
      <c r="B210">
        <f>IF(J209&gt;-0.4,B209+ROUNDUP(E209/50,0)*50,ROUNDUP(MAX(MIN(VLOOKUP(A210,Overview!$A$4:$K$202,11)/3*0.6,IF(A210&gt;2,B209+MIN(MAX(A209*50,1850),(B209-B208)*1.22,(B209-B208)+150),999)),B209+(B209-B208)),0))</f>
        <v>740623</v>
      </c>
      <c r="C210">
        <f t="shared" si="32"/>
        <v>370312</v>
      </c>
      <c r="D210">
        <f t="shared" si="33"/>
        <v>3550</v>
      </c>
      <c r="E210">
        <f t="shared" si="34"/>
        <v>3544</v>
      </c>
      <c r="F210">
        <f>VLOOKUP(A210-1,Overview!$A$4:$K$202,11)/3*0.6</f>
        <v>753991.2</v>
      </c>
      <c r="G210" s="272">
        <f t="shared" si="35"/>
        <v>-1.7729915150203279E-2</v>
      </c>
      <c r="H210">
        <f>SUM(B$2:B210)*3</f>
        <v>164001735</v>
      </c>
      <c r="I210">
        <f>VLOOKUP(A210,Overview!A$4:L$202,12)</f>
        <v>259640016</v>
      </c>
      <c r="J210" s="158">
        <f t="shared" si="36"/>
        <v>-0.36834954208291226</v>
      </c>
      <c r="K210" t="str">
        <f t="shared" si="37"/>
        <v>about perfect</v>
      </c>
    </row>
    <row r="211" spans="1:11">
      <c r="A211">
        <v>210</v>
      </c>
      <c r="B211">
        <f>IF(J210&gt;-0.4,B210+ROUNDUP(E210/50,0)*50,ROUNDUP(MAX(MIN(VLOOKUP(A211,Overview!$A$4:$K$202,11)/3*0.6,IF(A211&gt;2,B210+MIN(MAX(A210*50,1850),(B210-B209)*1.22,(B210-B209)+150),999)),B210+(B210-B209)),0))</f>
        <v>744173</v>
      </c>
      <c r="C211">
        <f t="shared" si="32"/>
        <v>372087</v>
      </c>
      <c r="D211">
        <f t="shared" si="33"/>
        <v>3550</v>
      </c>
      <c r="E211">
        <f t="shared" si="34"/>
        <v>3544</v>
      </c>
      <c r="F211">
        <f>VLOOKUP(A211-1,Overview!$A$4:$K$202,11)/3*0.6</f>
        <v>753991.2</v>
      </c>
      <c r="G211" s="272">
        <f t="shared" si="35"/>
        <v>-1.3021637387810259E-2</v>
      </c>
      <c r="H211">
        <f>SUM(B$2:B211)*3</f>
        <v>166234254</v>
      </c>
      <c r="I211">
        <f>VLOOKUP(A211,Overview!A$4:L$202,12)</f>
        <v>259640016</v>
      </c>
      <c r="J211" s="158">
        <f t="shared" si="36"/>
        <v>-0.3597510254351548</v>
      </c>
      <c r="K211" t="str">
        <f t="shared" si="37"/>
        <v>about perfect</v>
      </c>
    </row>
    <row r="212" spans="1:11">
      <c r="A212">
        <v>211</v>
      </c>
      <c r="B212">
        <f>IF(J211&gt;-0.4,B211+ROUNDUP(E211/50,0)*50,ROUNDUP(MAX(MIN(VLOOKUP(A212,Overview!$A$4:$K$202,11)/3*0.6,IF(A212&gt;2,B211+MIN(MAX(A211*50,1850),(B211-B210)*1.22,(B211-B210)+150),999)),B211+(B211-B210)),0))</f>
        <v>747723</v>
      </c>
      <c r="C212">
        <f t="shared" si="32"/>
        <v>373862</v>
      </c>
      <c r="D212">
        <f t="shared" si="33"/>
        <v>3550</v>
      </c>
      <c r="E212">
        <f t="shared" si="34"/>
        <v>3544</v>
      </c>
      <c r="F212">
        <f>VLOOKUP(A212-1,Overview!$A$4:$K$202,11)/3*0.6</f>
        <v>753991.2</v>
      </c>
      <c r="G212" s="272">
        <f t="shared" si="35"/>
        <v>-8.3133596254173492E-3</v>
      </c>
      <c r="H212">
        <f>SUM(B$2:B212)*3</f>
        <v>168477423</v>
      </c>
      <c r="I212">
        <f>VLOOKUP(A212,Overview!A$4:L$202,12)</f>
        <v>259640016</v>
      </c>
      <c r="J212" s="158">
        <f t="shared" si="36"/>
        <v>-0.35111149045684853</v>
      </c>
      <c r="K212" t="str">
        <f t="shared" si="37"/>
        <v>about perfect</v>
      </c>
    </row>
    <row r="213" spans="1:11">
      <c r="A213">
        <v>212</v>
      </c>
      <c r="B213">
        <f>IF(J212&gt;-0.4,B212+ROUNDUP(E212/50,0)*50,ROUNDUP(MAX(MIN(VLOOKUP(A213,Overview!$A$4:$K$202,11)/3*0.6,IF(A213&gt;2,B212+MIN(MAX(A212*50,1850),(B212-B211)*1.22,(B212-B211)+150),999)),B212+(B212-B211)),0))</f>
        <v>751273</v>
      </c>
      <c r="C213">
        <f t="shared" si="32"/>
        <v>375637</v>
      </c>
      <c r="D213">
        <f t="shared" si="33"/>
        <v>3550</v>
      </c>
      <c r="E213">
        <f t="shared" si="34"/>
        <v>3544</v>
      </c>
      <c r="F213">
        <f>VLOOKUP(A213-1,Overview!$A$4:$K$202,11)/3*0.6</f>
        <v>753991.2</v>
      </c>
      <c r="G213" s="272">
        <f t="shared" si="35"/>
        <v>-3.6050818630243286E-3</v>
      </c>
      <c r="H213">
        <f>SUM(B$2:B213)*3</f>
        <v>170731242</v>
      </c>
      <c r="I213">
        <f>VLOOKUP(A213,Overview!A$4:L$202,12)</f>
        <v>259640016</v>
      </c>
      <c r="J213" s="158">
        <f t="shared" si="36"/>
        <v>-0.34243093714799344</v>
      </c>
      <c r="K213" t="str">
        <f t="shared" si="37"/>
        <v>about perfect</v>
      </c>
    </row>
    <row r="214" spans="1:11">
      <c r="A214">
        <v>213</v>
      </c>
      <c r="B214">
        <f>IF(J213&gt;-0.4,B213+ROUNDUP(E213/50,0)*50,ROUNDUP(MAX(MIN(VLOOKUP(A214,Overview!$A$4:$K$202,11)/3*0.6,IF(A214&gt;2,B213+MIN(MAX(A213*50,1850),(B213-B212)*1.22,(B213-B212)+150),999)),B213+(B213-B212)),0))</f>
        <v>754823</v>
      </c>
      <c r="C214">
        <f t="shared" si="32"/>
        <v>377412</v>
      </c>
      <c r="D214">
        <f t="shared" si="33"/>
        <v>3550</v>
      </c>
      <c r="E214">
        <f t="shared" si="34"/>
        <v>3544</v>
      </c>
      <c r="F214">
        <f>VLOOKUP(A214-1,Overview!$A$4:$K$202,11)/3*0.6</f>
        <v>753991.2</v>
      </c>
      <c r="G214" s="272">
        <f t="shared" si="35"/>
        <v>1.1031958993685809E-3</v>
      </c>
      <c r="H214">
        <f>SUM(B$2:B214)*3</f>
        <v>172995711</v>
      </c>
      <c r="I214">
        <f>VLOOKUP(A214,Overview!A$4:L$202,12)</f>
        <v>259640016</v>
      </c>
      <c r="J214" s="158">
        <f t="shared" si="36"/>
        <v>-0.33370936550858943</v>
      </c>
      <c r="K214" t="str">
        <f t="shared" si="37"/>
        <v>about perfect</v>
      </c>
    </row>
    <row r="215" spans="1:11">
      <c r="A215">
        <v>214</v>
      </c>
      <c r="B215">
        <f>IF(J214&gt;-0.4,B214+ROUNDUP(E214/50,0)*50,ROUNDUP(MAX(MIN(VLOOKUP(A215,Overview!$A$4:$K$202,11)/3*0.6,IF(A215&gt;2,B214+MIN(MAX(A214*50,1850),(B214-B213)*1.22,(B214-B213)+150),999)),B214+(B214-B213)),0))</f>
        <v>758373</v>
      </c>
      <c r="C215">
        <f t="shared" si="32"/>
        <v>379187</v>
      </c>
      <c r="D215">
        <f t="shared" si="33"/>
        <v>3550</v>
      </c>
      <c r="E215">
        <f t="shared" si="34"/>
        <v>3544</v>
      </c>
      <c r="F215">
        <f>VLOOKUP(A215-1,Overview!$A$4:$K$202,11)/3*0.6</f>
        <v>753991.2</v>
      </c>
      <c r="G215" s="272">
        <f t="shared" si="35"/>
        <v>5.8114736617616014E-3</v>
      </c>
      <c r="H215">
        <f>SUM(B$2:B215)*3</f>
        <v>175270830</v>
      </c>
      <c r="I215">
        <f>VLOOKUP(A215,Overview!A$4:L$202,12)</f>
        <v>259640016</v>
      </c>
      <c r="J215" s="158">
        <f t="shared" si="36"/>
        <v>-0.32494677553863649</v>
      </c>
      <c r="K215" t="str">
        <f t="shared" si="37"/>
        <v>about perfect</v>
      </c>
    </row>
    <row r="216" spans="1:11">
      <c r="A216">
        <v>215</v>
      </c>
      <c r="B216">
        <f>IF(J215&gt;-0.4,B215+ROUNDUP(E215/50,0)*50,ROUNDUP(MAX(MIN(VLOOKUP(A216,Overview!$A$4:$K$202,11)/3*0.6,IF(A216&gt;2,B215+MIN(MAX(A215*50,1850),(B215-B214)*1.22,(B215-B214)+150),999)),B215+(B215-B214)),0))</f>
        <v>761923</v>
      </c>
      <c r="C216">
        <f t="shared" si="32"/>
        <v>380962</v>
      </c>
      <c r="D216">
        <f t="shared" si="33"/>
        <v>3550</v>
      </c>
      <c r="E216">
        <f t="shared" si="34"/>
        <v>3544</v>
      </c>
      <c r="F216">
        <f>VLOOKUP(A216-1,Overview!$A$4:$K$202,11)/3*0.6</f>
        <v>753991.2</v>
      </c>
      <c r="G216" s="272">
        <f t="shared" si="35"/>
        <v>1.0519751424154622E-2</v>
      </c>
      <c r="H216">
        <f>SUM(B$2:B216)*3</f>
        <v>177556599</v>
      </c>
      <c r="I216">
        <f>VLOOKUP(A216,Overview!A$4:L$202,12)</f>
        <v>259640016</v>
      </c>
      <c r="J216" s="158">
        <f t="shared" si="36"/>
        <v>-0.31614316723813485</v>
      </c>
      <c r="K216" t="str">
        <f t="shared" si="37"/>
        <v>about perfect</v>
      </c>
    </row>
    <row r="217" spans="1:11">
      <c r="A217">
        <v>216</v>
      </c>
      <c r="B217">
        <f>IF(J216&gt;-0.4,B216+ROUNDUP(E216/50,0)*50,ROUNDUP(MAX(MIN(VLOOKUP(A217,Overview!$A$4:$K$202,11)/3*0.6,IF(A217&gt;2,B216+MIN(MAX(A216*50,1850),(B216-B215)*1.22,(B216-B215)+150),999)),B216+(B216-B215)),0))</f>
        <v>765473</v>
      </c>
      <c r="C217">
        <f t="shared" si="32"/>
        <v>382737</v>
      </c>
      <c r="D217">
        <f t="shared" si="33"/>
        <v>3550</v>
      </c>
      <c r="E217">
        <f t="shared" si="34"/>
        <v>3544</v>
      </c>
      <c r="F217">
        <f>VLOOKUP(A217-1,Overview!$A$4:$K$202,11)/3*0.6</f>
        <v>753991.2</v>
      </c>
      <c r="G217" s="272">
        <f t="shared" si="35"/>
        <v>1.5228029186547642E-2</v>
      </c>
      <c r="H217">
        <f>SUM(B$2:B217)*3</f>
        <v>179853018</v>
      </c>
      <c r="I217">
        <f>VLOOKUP(A217,Overview!A$4:L$202,12)</f>
        <v>259640016</v>
      </c>
      <c r="J217" s="158">
        <f t="shared" si="36"/>
        <v>-0.30729854060708428</v>
      </c>
      <c r="K217" t="str">
        <f t="shared" si="37"/>
        <v>about perfect</v>
      </c>
    </row>
    <row r="218" spans="1:11">
      <c r="A218">
        <v>217</v>
      </c>
      <c r="B218">
        <f>IF(J217&gt;-0.4,B217+ROUNDUP(E217/50,0)*50,ROUNDUP(MAX(MIN(VLOOKUP(A218,Overview!$A$4:$K$202,11)/3*0.6,IF(A218&gt;2,B217+MIN(MAX(A217*50,1850),(B217-B216)*1.22,(B217-B216)+150),999)),B217+(B217-B216)),0))</f>
        <v>769023</v>
      </c>
      <c r="C218">
        <f t="shared" si="32"/>
        <v>384512</v>
      </c>
      <c r="D218">
        <f t="shared" si="33"/>
        <v>3550</v>
      </c>
      <c r="E218">
        <f t="shared" si="34"/>
        <v>3544</v>
      </c>
      <c r="F218">
        <f>VLOOKUP(A218-1,Overview!$A$4:$K$202,11)/3*0.6</f>
        <v>753991.2</v>
      </c>
      <c r="G218" s="272">
        <f t="shared" si="35"/>
        <v>1.9936306948940663E-2</v>
      </c>
      <c r="H218">
        <f>SUM(B$2:B218)*3</f>
        <v>182160087</v>
      </c>
      <c r="I218">
        <f>VLOOKUP(A218,Overview!A$4:L$202,12)</f>
        <v>259640016</v>
      </c>
      <c r="J218" s="158">
        <f t="shared" si="36"/>
        <v>-0.29841289564548479</v>
      </c>
      <c r="K218" t="str">
        <f t="shared" si="37"/>
        <v>More expensive than it should be</v>
      </c>
    </row>
    <row r="219" spans="1:11">
      <c r="A219">
        <v>218</v>
      </c>
      <c r="B219">
        <f>IF(J218&gt;-0.4,B218+ROUNDUP(E218/50,0)*50,ROUNDUP(MAX(MIN(VLOOKUP(A219,Overview!$A$4:$K$202,11)/3*0.6,IF(A219&gt;2,B218+MIN(MAX(A218*50,1850),(B218-B217)*1.22,(B218-B217)+150),999)),B218+(B218-B217)),0))</f>
        <v>772573</v>
      </c>
      <c r="C219">
        <f t="shared" si="32"/>
        <v>386287</v>
      </c>
      <c r="D219">
        <f t="shared" si="33"/>
        <v>3550</v>
      </c>
      <c r="E219">
        <f t="shared" si="34"/>
        <v>3544</v>
      </c>
      <c r="F219">
        <f>VLOOKUP(A219-1,Overview!$A$4:$K$202,11)/3*0.6</f>
        <v>753991.2</v>
      </c>
      <c r="G219" s="272">
        <f t="shared" si="35"/>
        <v>2.4644584711333462E-2</v>
      </c>
      <c r="H219">
        <f>SUM(B$2:B219)*3</f>
        <v>184477806</v>
      </c>
      <c r="I219">
        <f>VLOOKUP(A219,Overview!A$4:L$202,12)</f>
        <v>259640016</v>
      </c>
      <c r="J219" s="158">
        <f t="shared" si="36"/>
        <v>-0.28948623235333648</v>
      </c>
      <c r="K219" t="str">
        <f t="shared" si="37"/>
        <v>More expensive than it should be</v>
      </c>
    </row>
    <row r="220" spans="1:11">
      <c r="A220">
        <v>219</v>
      </c>
      <c r="B220">
        <f>IF(J219&gt;-0.4,B219+ROUNDUP(E219/50,0)*50,ROUNDUP(MAX(MIN(VLOOKUP(A220,Overview!$A$4:$K$202,11)/3*0.6,IF(A220&gt;2,B219+MIN(MAX(A219*50,1850),(B219-B218)*1.22,(B219-B218)+150),999)),B219+(B219-B218)),0))</f>
        <v>776123</v>
      </c>
      <c r="C220">
        <f t="shared" si="32"/>
        <v>388062</v>
      </c>
      <c r="D220">
        <f t="shared" si="33"/>
        <v>3550</v>
      </c>
      <c r="E220">
        <f t="shared" si="34"/>
        <v>3544</v>
      </c>
      <c r="F220">
        <f>VLOOKUP(A220-1,Overview!$A$4:$K$202,11)/3*0.6</f>
        <v>753991.2</v>
      </c>
      <c r="G220" s="272">
        <f t="shared" si="35"/>
        <v>2.9352862473726482E-2</v>
      </c>
      <c r="H220">
        <f>SUM(B$2:B220)*3</f>
        <v>186806175</v>
      </c>
      <c r="I220">
        <f>VLOOKUP(A220,Overview!A$4:L$202,12)</f>
        <v>259640016</v>
      </c>
      <c r="J220" s="158">
        <f t="shared" si="36"/>
        <v>-0.28051855073063925</v>
      </c>
      <c r="K220" t="str">
        <f t="shared" si="37"/>
        <v>More expensive than it should be</v>
      </c>
    </row>
    <row r="221" spans="1:11">
      <c r="A221">
        <v>220</v>
      </c>
      <c r="B221">
        <f>IF(J220&gt;-0.4,B220+ROUNDUP(E220/50,0)*50,ROUNDUP(MAX(MIN(VLOOKUP(A221,Overview!$A$4:$K$202,11)/3*0.6,IF(A221&gt;2,B220+MIN(MAX(A220*50,1850),(B220-B219)*1.22,(B220-B219)+150),999)),B220+(B220-B219)),0))</f>
        <v>779673</v>
      </c>
      <c r="C221">
        <f t="shared" si="32"/>
        <v>389837</v>
      </c>
      <c r="D221">
        <f t="shared" si="33"/>
        <v>3550</v>
      </c>
      <c r="E221">
        <f t="shared" si="34"/>
        <v>3544</v>
      </c>
      <c r="F221">
        <f>VLOOKUP(A221-1,Overview!$A$4:$K$202,11)/3*0.6</f>
        <v>753991.2</v>
      </c>
      <c r="G221" s="272">
        <f t="shared" si="35"/>
        <v>3.4061140236119503E-2</v>
      </c>
      <c r="H221">
        <f>SUM(B$2:B221)*3</f>
        <v>189145194</v>
      </c>
      <c r="I221">
        <f>VLOOKUP(A221,Overview!A$4:L$202,12)</f>
        <v>259640016</v>
      </c>
      <c r="J221" s="158">
        <f t="shared" si="36"/>
        <v>-0.27150985077739331</v>
      </c>
      <c r="K221" t="str">
        <f t="shared" si="37"/>
        <v>More expensive than it should be</v>
      </c>
    </row>
    <row r="222" spans="1:11">
      <c r="A222">
        <v>221</v>
      </c>
      <c r="B222">
        <f>IF(J221&gt;-0.4,B221+ROUNDUP(E221/50,0)*50,ROUNDUP(MAX(MIN(VLOOKUP(A222,Overview!$A$4:$K$202,11)/3*0.6,IF(A222&gt;2,B221+MIN(MAX(A221*50,1850),(B221-B220)*1.22,(B221-B220)+150),999)),B221+(B221-B220)),0))</f>
        <v>783223</v>
      </c>
      <c r="C222">
        <f t="shared" si="32"/>
        <v>391612</v>
      </c>
      <c r="D222">
        <f t="shared" si="33"/>
        <v>3550</v>
      </c>
      <c r="E222">
        <f t="shared" si="34"/>
        <v>3544</v>
      </c>
      <c r="F222">
        <f>VLOOKUP(A222-1,Overview!$A$4:$K$202,11)/3*0.6</f>
        <v>753991.2</v>
      </c>
      <c r="G222" s="272">
        <f t="shared" si="35"/>
        <v>3.8769417998512523E-2</v>
      </c>
      <c r="H222">
        <f>SUM(B$2:B222)*3</f>
        <v>191494863</v>
      </c>
      <c r="I222">
        <f>VLOOKUP(A222,Overview!A$4:L$202,12)</f>
        <v>259640016</v>
      </c>
      <c r="J222" s="158">
        <f t="shared" si="36"/>
        <v>-0.26246013249359834</v>
      </c>
      <c r="K222" t="str">
        <f t="shared" si="37"/>
        <v>More expensive than it should be</v>
      </c>
    </row>
    <row r="223" spans="1:11">
      <c r="A223">
        <v>222</v>
      </c>
      <c r="B223">
        <f>IF(J222&gt;-0.4,B222+ROUNDUP(E222/50,0)*50,ROUNDUP(MAX(MIN(VLOOKUP(A223,Overview!$A$4:$K$202,11)/3*0.6,IF(A223&gt;2,B222+MIN(MAX(A222*50,1850),(B222-B221)*1.22,(B222-B221)+150),999)),B222+(B222-B221)),0))</f>
        <v>786773</v>
      </c>
      <c r="C223">
        <f t="shared" si="32"/>
        <v>393387</v>
      </c>
      <c r="D223">
        <f t="shared" si="33"/>
        <v>3550</v>
      </c>
      <c r="E223">
        <f t="shared" si="34"/>
        <v>3544</v>
      </c>
      <c r="F223">
        <f>VLOOKUP(A223-1,Overview!$A$4:$K$202,11)/3*0.6</f>
        <v>753991.2</v>
      </c>
      <c r="G223" s="272">
        <f t="shared" si="35"/>
        <v>4.3477695760905544E-2</v>
      </c>
      <c r="H223">
        <f>SUM(B$2:B223)*3</f>
        <v>193855182</v>
      </c>
      <c r="I223">
        <f>VLOOKUP(A223,Overview!A$4:L$202,12)</f>
        <v>259640016</v>
      </c>
      <c r="J223" s="158">
        <f t="shared" si="36"/>
        <v>-0.25336939587925456</v>
      </c>
      <c r="K223" t="str">
        <f t="shared" si="37"/>
        <v>More expensive than it should be</v>
      </c>
    </row>
    <row r="224" spans="1:11">
      <c r="A224">
        <v>223</v>
      </c>
      <c r="B224">
        <f>IF(J223&gt;-0.4,B223+ROUNDUP(E223/50,0)*50,ROUNDUP(MAX(MIN(VLOOKUP(A224,Overview!$A$4:$K$202,11)/3*0.6,IF(A224&gt;2,B223+MIN(MAX(A223*50,1850),(B223-B222)*1.22,(B223-B222)+150),999)),B223+(B223-B222)),0))</f>
        <v>790323</v>
      </c>
      <c r="C224">
        <f t="shared" si="32"/>
        <v>395162</v>
      </c>
      <c r="D224">
        <f t="shared" si="33"/>
        <v>3550</v>
      </c>
      <c r="E224">
        <f t="shared" si="34"/>
        <v>3544</v>
      </c>
      <c r="F224">
        <f>VLOOKUP(A224-1,Overview!$A$4:$K$202,11)/3*0.6</f>
        <v>753991.2</v>
      </c>
      <c r="G224" s="272">
        <f t="shared" si="35"/>
        <v>4.8185973523298564E-2</v>
      </c>
      <c r="H224">
        <f>SUM(B$2:B224)*3</f>
        <v>196226151</v>
      </c>
      <c r="I224">
        <f>VLOOKUP(A224,Overview!A$4:L$202,12)</f>
        <v>259640016</v>
      </c>
      <c r="J224" s="158">
        <f t="shared" si="36"/>
        <v>-0.24423764093436195</v>
      </c>
      <c r="K224" t="str">
        <f t="shared" si="37"/>
        <v>More expensive than it should be</v>
      </c>
    </row>
    <row r="225" spans="1:11">
      <c r="A225">
        <v>224</v>
      </c>
      <c r="B225">
        <f>IF(J224&gt;-0.4,B224+ROUNDUP(E224/50,0)*50,ROUNDUP(MAX(MIN(VLOOKUP(A225,Overview!$A$4:$K$202,11)/3*0.6,IF(A225&gt;2,B224+MIN(MAX(A224*50,1850),(B224-B223)*1.22,(B224-B223)+150),999)),B224+(B224-B223)),0))</f>
        <v>793873</v>
      </c>
      <c r="C225">
        <f t="shared" si="32"/>
        <v>396937</v>
      </c>
      <c r="D225">
        <f t="shared" si="33"/>
        <v>3550</v>
      </c>
      <c r="E225">
        <f t="shared" si="34"/>
        <v>3544</v>
      </c>
      <c r="F225">
        <f>VLOOKUP(A225-1,Overview!$A$4:$K$202,11)/3*0.6</f>
        <v>753991.2</v>
      </c>
      <c r="G225" s="272">
        <f t="shared" si="35"/>
        <v>5.2894251285691363E-2</v>
      </c>
      <c r="H225">
        <f>SUM(B$2:B225)*3</f>
        <v>198607770</v>
      </c>
      <c r="I225">
        <f>VLOOKUP(A225,Overview!A$4:L$202,12)</f>
        <v>259640016</v>
      </c>
      <c r="J225" s="158">
        <f t="shared" si="36"/>
        <v>-0.23506486765892054</v>
      </c>
      <c r="K225" t="str">
        <f t="shared" si="37"/>
        <v>More expensive than it should be</v>
      </c>
    </row>
    <row r="226" spans="1:11">
      <c r="A226">
        <v>225</v>
      </c>
      <c r="B226">
        <f>IF(J225&gt;-0.4,B225+ROUNDUP(E225/50,0)*50,ROUNDUP(MAX(MIN(VLOOKUP(A226,Overview!$A$4:$K$202,11)/3*0.6,IF(A226&gt;2,B225+MIN(MAX(A225*50,1850),(B225-B224)*1.22,(B225-B224)+150),999)),B225+(B225-B224)),0))</f>
        <v>797423</v>
      </c>
      <c r="C226">
        <f t="shared" si="32"/>
        <v>398712</v>
      </c>
      <c r="D226">
        <f t="shared" si="33"/>
        <v>3550</v>
      </c>
      <c r="E226">
        <f t="shared" si="34"/>
        <v>3544</v>
      </c>
      <c r="F226">
        <f>VLOOKUP(A226-1,Overview!$A$4:$K$202,11)/3*0.6</f>
        <v>753991.2</v>
      </c>
      <c r="G226" s="272">
        <f t="shared" si="35"/>
        <v>5.7602529048084383E-2</v>
      </c>
      <c r="H226">
        <f>SUM(B$2:B226)*3</f>
        <v>201000039</v>
      </c>
      <c r="I226">
        <f>VLOOKUP(A226,Overview!A$4:L$202,12)</f>
        <v>259640016</v>
      </c>
      <c r="J226" s="158">
        <f t="shared" si="36"/>
        <v>-0.2258510760529302</v>
      </c>
      <c r="K226" t="str">
        <f t="shared" si="37"/>
        <v>More expensive than it should be</v>
      </c>
    </row>
    <row r="227" spans="1:11">
      <c r="A227">
        <v>226</v>
      </c>
      <c r="B227">
        <f>IF(J226&gt;-0.4,B226+ROUNDUP(E226/50,0)*50,ROUNDUP(MAX(MIN(VLOOKUP(A227,Overview!$A$4:$K$202,11)/3*0.6,IF(A227&gt;2,B226+MIN(MAX(A226*50,1850),(B226-B225)*1.22,(B226-B225)+150),999)),B226+(B226-B225)),0))</f>
        <v>800973</v>
      </c>
      <c r="C227">
        <f t="shared" si="32"/>
        <v>400487</v>
      </c>
      <c r="D227">
        <f t="shared" si="33"/>
        <v>3550</v>
      </c>
      <c r="E227">
        <f t="shared" si="34"/>
        <v>3544</v>
      </c>
      <c r="F227">
        <f>VLOOKUP(A227-1,Overview!$A$4:$K$202,11)/3*0.6</f>
        <v>753991.2</v>
      </c>
      <c r="G227" s="272">
        <f t="shared" si="35"/>
        <v>6.2310806810477404E-2</v>
      </c>
      <c r="H227">
        <f>SUM(B$2:B227)*3</f>
        <v>203402958</v>
      </c>
      <c r="I227">
        <f>VLOOKUP(A227,Overview!A$4:L$202,12)</f>
        <v>259640016</v>
      </c>
      <c r="J227" s="158">
        <f t="shared" si="36"/>
        <v>-0.21659626611639093</v>
      </c>
      <c r="K227" t="str">
        <f t="shared" si="37"/>
        <v>More expensive than it should be</v>
      </c>
    </row>
    <row r="228" spans="1:11">
      <c r="A228">
        <v>227</v>
      </c>
      <c r="B228">
        <f>IF(J227&gt;-0.4,B227+ROUNDUP(E227/50,0)*50,ROUNDUP(MAX(MIN(VLOOKUP(A228,Overview!$A$4:$K$202,11)/3*0.6,IF(A228&gt;2,B227+MIN(MAX(A227*50,1850),(B227-B226)*1.22,(B227-B226)+150),999)),B227+(B227-B226)),0))</f>
        <v>804523</v>
      </c>
      <c r="C228">
        <f t="shared" si="32"/>
        <v>402262</v>
      </c>
      <c r="D228">
        <f t="shared" si="33"/>
        <v>3550</v>
      </c>
      <c r="E228">
        <f t="shared" si="34"/>
        <v>3544</v>
      </c>
      <c r="F228">
        <f>VLOOKUP(A228-1,Overview!$A$4:$K$202,11)/3*0.6</f>
        <v>753991.2</v>
      </c>
      <c r="G228" s="272">
        <f t="shared" si="35"/>
        <v>6.7019084572870424E-2</v>
      </c>
      <c r="H228">
        <f>SUM(B$2:B228)*3</f>
        <v>205816527</v>
      </c>
      <c r="I228">
        <f>VLOOKUP(A228,Overview!A$4:L$202,12)</f>
        <v>259640016</v>
      </c>
      <c r="J228" s="158">
        <f t="shared" si="36"/>
        <v>-0.20730043784930285</v>
      </c>
      <c r="K228" t="str">
        <f t="shared" si="37"/>
        <v>More expensive than it should be</v>
      </c>
    </row>
    <row r="229" spans="1:11">
      <c r="A229">
        <v>228</v>
      </c>
      <c r="B229">
        <f>IF(J228&gt;-0.4,B228+ROUNDUP(E228/50,0)*50,ROUNDUP(MAX(MIN(VLOOKUP(A229,Overview!$A$4:$K$202,11)/3*0.6,IF(A229&gt;2,B228+MIN(MAX(A228*50,1850),(B228-B227)*1.22,(B228-B227)+150),999)),B228+(B228-B227)),0))</f>
        <v>808073</v>
      </c>
      <c r="C229">
        <f t="shared" si="32"/>
        <v>404037</v>
      </c>
      <c r="D229">
        <f t="shared" si="33"/>
        <v>3550</v>
      </c>
      <c r="E229">
        <f t="shared" si="34"/>
        <v>3544</v>
      </c>
      <c r="F229">
        <f>VLOOKUP(A229-1,Overview!$A$4:$K$202,11)/3*0.6</f>
        <v>753991.2</v>
      </c>
      <c r="G229" s="272">
        <f t="shared" si="35"/>
        <v>7.1727362335263445E-2</v>
      </c>
      <c r="H229">
        <f>SUM(B$2:B229)*3</f>
        <v>208240746</v>
      </c>
      <c r="I229">
        <f>VLOOKUP(A229,Overview!A$4:L$202,12)</f>
        <v>259640016</v>
      </c>
      <c r="J229" s="158">
        <f t="shared" si="36"/>
        <v>-0.19796359125166596</v>
      </c>
      <c r="K229" t="str">
        <f t="shared" si="37"/>
        <v>More expensive than it should be</v>
      </c>
    </row>
    <row r="230" spans="1:11">
      <c r="A230">
        <v>229</v>
      </c>
      <c r="B230">
        <f>IF(J229&gt;-0.4,B229+ROUNDUP(E229/50,0)*50,ROUNDUP(MAX(MIN(VLOOKUP(A230,Overview!$A$4:$K$202,11)/3*0.6,IF(A230&gt;2,B229+MIN(MAX(A229*50,1850),(B229-B228)*1.22,(B229-B228)+150),999)),B229+(B229-B228)),0))</f>
        <v>811623</v>
      </c>
      <c r="C230">
        <f t="shared" si="32"/>
        <v>405812</v>
      </c>
      <c r="D230">
        <f t="shared" si="33"/>
        <v>3550</v>
      </c>
      <c r="E230">
        <f t="shared" si="34"/>
        <v>3544</v>
      </c>
      <c r="F230">
        <f>VLOOKUP(A230-1,Overview!$A$4:$K$202,11)/3*0.6</f>
        <v>753991.2</v>
      </c>
      <c r="G230" s="272">
        <f t="shared" si="35"/>
        <v>7.6435640097656465E-2</v>
      </c>
      <c r="H230">
        <f>SUM(B$2:B230)*3</f>
        <v>210675615</v>
      </c>
      <c r="I230">
        <f>VLOOKUP(A230,Overview!A$4:L$202,12)</f>
        <v>259640016</v>
      </c>
      <c r="J230" s="158">
        <f t="shared" si="36"/>
        <v>-0.18858572632348014</v>
      </c>
      <c r="K230" t="str">
        <f t="shared" si="37"/>
        <v>More expensive than it should be</v>
      </c>
    </row>
    <row r="231" spans="1:11">
      <c r="A231">
        <v>230</v>
      </c>
      <c r="B231">
        <f>IF(J230&gt;-0.4,B230+ROUNDUP(E230/50,0)*50,ROUNDUP(MAX(MIN(VLOOKUP(A231,Overview!$A$4:$K$202,11)/3*0.6,IF(A231&gt;2,B230+MIN(MAX(A230*50,1850),(B230-B229)*1.22,(B230-B229)+150),999)),B230+(B230-B229)),0))</f>
        <v>815173</v>
      </c>
      <c r="C231">
        <f t="shared" si="32"/>
        <v>407587</v>
      </c>
      <c r="D231">
        <f t="shared" si="33"/>
        <v>3550</v>
      </c>
      <c r="E231">
        <f t="shared" si="34"/>
        <v>3544</v>
      </c>
      <c r="F231">
        <f>VLOOKUP(A231-1,Overview!$A$4:$K$202,11)/3*0.6</f>
        <v>753991.2</v>
      </c>
      <c r="G231" s="272">
        <f t="shared" si="35"/>
        <v>8.1143917860049264E-2</v>
      </c>
      <c r="H231">
        <f>SUM(B$2:B231)*3</f>
        <v>213121134</v>
      </c>
      <c r="I231">
        <f>VLOOKUP(A231,Overview!A$4:L$202,12)</f>
        <v>259640016</v>
      </c>
      <c r="J231" s="158">
        <f t="shared" si="36"/>
        <v>-0.17916684306474551</v>
      </c>
      <c r="K231" t="str">
        <f t="shared" si="37"/>
        <v>More expensive than it should be</v>
      </c>
    </row>
    <row r="232" spans="1:11">
      <c r="A232">
        <v>231</v>
      </c>
      <c r="B232">
        <f>IF(J231&gt;-0.4,B231+ROUNDUP(E231/50,0)*50,ROUNDUP(MAX(MIN(VLOOKUP(A232,Overview!$A$4:$K$202,11)/3*0.6,IF(A232&gt;2,B231+MIN(MAX(A231*50,1850),(B231-B230)*1.22,(B231-B230)+150),999)),B231+(B231-B230)),0))</f>
        <v>818723</v>
      </c>
      <c r="C232">
        <f t="shared" si="32"/>
        <v>409362</v>
      </c>
      <c r="D232">
        <f t="shared" si="33"/>
        <v>3550</v>
      </c>
      <c r="E232">
        <f t="shared" si="34"/>
        <v>3544</v>
      </c>
      <c r="F232">
        <f>VLOOKUP(A232-1,Overview!$A$4:$K$202,11)/3*0.6</f>
        <v>753991.2</v>
      </c>
      <c r="G232" s="272">
        <f t="shared" si="35"/>
        <v>8.5852195622442284E-2</v>
      </c>
      <c r="H232">
        <f>SUM(B$2:B232)*3</f>
        <v>215577303</v>
      </c>
      <c r="I232">
        <f>VLOOKUP(A232,Overview!A$4:L$202,12)</f>
        <v>259640016</v>
      </c>
      <c r="J232" s="158">
        <f t="shared" si="36"/>
        <v>-0.16970694147546195</v>
      </c>
      <c r="K232" t="str">
        <f t="shared" si="37"/>
        <v>More expensive than it should be</v>
      </c>
    </row>
    <row r="233" spans="1:11">
      <c r="A233">
        <v>232</v>
      </c>
      <c r="B233">
        <f>IF(J232&gt;-0.4,B232+ROUNDUP(E232/50,0)*50,ROUNDUP(MAX(MIN(VLOOKUP(A233,Overview!$A$4:$K$202,11)/3*0.6,IF(A233&gt;2,B232+MIN(MAX(A232*50,1850),(B232-B231)*1.22,(B232-B231)+150),999)),B232+(B232-B231)),0))</f>
        <v>822273</v>
      </c>
      <c r="C233">
        <f t="shared" si="32"/>
        <v>411137</v>
      </c>
      <c r="D233">
        <f t="shared" si="33"/>
        <v>3550</v>
      </c>
      <c r="E233">
        <f t="shared" si="34"/>
        <v>3544</v>
      </c>
      <c r="F233">
        <f>VLOOKUP(A233-1,Overview!$A$4:$K$202,11)/3*0.6</f>
        <v>753991.2</v>
      </c>
      <c r="G233" s="272">
        <f t="shared" si="35"/>
        <v>9.0560473384835305E-2</v>
      </c>
      <c r="H233">
        <f>SUM(B$2:B233)*3</f>
        <v>218044122</v>
      </c>
      <c r="I233">
        <f>VLOOKUP(A233,Overview!A$4:L$202,12)</f>
        <v>259640016</v>
      </c>
      <c r="J233" s="158">
        <f t="shared" si="36"/>
        <v>-0.16020602155562957</v>
      </c>
      <c r="K233" t="str">
        <f t="shared" si="37"/>
        <v>More expensive than it should be</v>
      </c>
    </row>
    <row r="234" spans="1:11">
      <c r="A234">
        <v>233</v>
      </c>
      <c r="B234">
        <f>IF(J233&gt;-0.4,B233+ROUNDUP(E233/50,0)*50,ROUNDUP(MAX(MIN(VLOOKUP(A234,Overview!$A$4:$K$202,11)/3*0.6,IF(A234&gt;2,B233+MIN(MAX(A233*50,1850),(B233-B232)*1.22,(B233-B232)+150),999)),B233+(B233-B232)),0))</f>
        <v>825823</v>
      </c>
      <c r="C234">
        <f t="shared" si="32"/>
        <v>412912</v>
      </c>
      <c r="D234">
        <f t="shared" si="33"/>
        <v>3550</v>
      </c>
      <c r="E234">
        <f t="shared" si="34"/>
        <v>3544</v>
      </c>
      <c r="F234">
        <f>VLOOKUP(A234-1,Overview!$A$4:$K$202,11)/3*0.6</f>
        <v>753991.2</v>
      </c>
      <c r="G234" s="272">
        <f t="shared" si="35"/>
        <v>9.5268751147228325E-2</v>
      </c>
      <c r="H234">
        <f>SUM(B$2:B234)*3</f>
        <v>220521591</v>
      </c>
      <c r="I234">
        <f>VLOOKUP(A234,Overview!A$4:L$202,12)</f>
        <v>259640016</v>
      </c>
      <c r="J234" s="158">
        <f t="shared" si="36"/>
        <v>-0.15066408330524828</v>
      </c>
      <c r="K234" t="str">
        <f t="shared" si="37"/>
        <v>More expensive than it should be</v>
      </c>
    </row>
    <row r="235" spans="1:11">
      <c r="A235">
        <v>234</v>
      </c>
      <c r="B235">
        <f>IF(J234&gt;-0.4,B234+ROUNDUP(E234/50,0)*50,ROUNDUP(MAX(MIN(VLOOKUP(A235,Overview!$A$4:$K$202,11)/3*0.6,IF(A235&gt;2,B234+MIN(MAX(A234*50,1850),(B234-B233)*1.22,(B234-B233)+150),999)),B234+(B234-B233)),0))</f>
        <v>829373</v>
      </c>
      <c r="C235">
        <f t="shared" si="32"/>
        <v>414687</v>
      </c>
      <c r="D235">
        <f t="shared" si="33"/>
        <v>3550</v>
      </c>
      <c r="E235">
        <f t="shared" si="34"/>
        <v>3544</v>
      </c>
      <c r="F235">
        <f>VLOOKUP(A235-1,Overview!$A$4:$K$202,11)/3*0.6</f>
        <v>753991.2</v>
      </c>
      <c r="G235" s="272">
        <f t="shared" si="35"/>
        <v>9.9977028909621346E-2</v>
      </c>
      <c r="H235">
        <f>SUM(B$2:B235)*3</f>
        <v>223009710</v>
      </c>
      <c r="I235">
        <f>VLOOKUP(A235,Overview!A$4:L$202,12)</f>
        <v>259640016</v>
      </c>
      <c r="J235" s="158">
        <f t="shared" si="36"/>
        <v>-0.14108112672431816</v>
      </c>
      <c r="K235" t="str">
        <f t="shared" si="37"/>
        <v>More expensive than it should be</v>
      </c>
    </row>
    <row r="236" spans="1:11">
      <c r="A236">
        <v>235</v>
      </c>
      <c r="B236">
        <f>IF(J235&gt;-0.4,B235+ROUNDUP(E235/50,0)*50,ROUNDUP(MAX(MIN(VLOOKUP(A236,Overview!$A$4:$K$202,11)/3*0.6,IF(A236&gt;2,B235+MIN(MAX(A235*50,1850),(B235-B234)*1.22,(B235-B234)+150),999)),B235+(B235-B234)),0))</f>
        <v>832923</v>
      </c>
      <c r="C236">
        <f t="shared" si="32"/>
        <v>416462</v>
      </c>
      <c r="D236">
        <f t="shared" si="33"/>
        <v>3550</v>
      </c>
      <c r="E236">
        <f t="shared" si="34"/>
        <v>3544</v>
      </c>
      <c r="F236">
        <f>VLOOKUP(A236-1,Overview!$A$4:$K$202,11)/3*0.6</f>
        <v>753991.2</v>
      </c>
      <c r="G236" s="272">
        <f t="shared" si="35"/>
        <v>0.10468530667201437</v>
      </c>
      <c r="H236">
        <f>SUM(B$2:B236)*3</f>
        <v>225508479</v>
      </c>
      <c r="I236">
        <f>VLOOKUP(A236,Overview!A$4:L$202,12)</f>
        <v>259640016</v>
      </c>
      <c r="J236" s="158">
        <f t="shared" si="36"/>
        <v>-0.13145715181283923</v>
      </c>
      <c r="K236" t="str">
        <f t="shared" si="37"/>
        <v>More expensive than it should be</v>
      </c>
    </row>
    <row r="237" spans="1:11">
      <c r="A237">
        <v>236</v>
      </c>
      <c r="B237">
        <f>IF(J236&gt;-0.4,B236+ROUNDUP(E236/50,0)*50,ROUNDUP(MAX(MIN(VLOOKUP(A237,Overview!$A$4:$K$202,11)/3*0.6,IF(A237&gt;2,B236+MIN(MAX(A236*50,1850),(B236-B235)*1.22,(B236-B235)+150),999)),B236+(B236-B235)),0))</f>
        <v>836473</v>
      </c>
      <c r="C237">
        <f t="shared" si="32"/>
        <v>418237</v>
      </c>
      <c r="D237">
        <f t="shared" si="33"/>
        <v>3550</v>
      </c>
      <c r="E237">
        <f t="shared" si="34"/>
        <v>3544</v>
      </c>
      <c r="F237">
        <f>VLOOKUP(A237-1,Overview!$A$4:$K$202,11)/3*0.6</f>
        <v>753991.2</v>
      </c>
      <c r="G237" s="272">
        <f t="shared" si="35"/>
        <v>0.10939358443440717</v>
      </c>
      <c r="H237">
        <f>SUM(B$2:B237)*3</f>
        <v>228017898</v>
      </c>
      <c r="I237">
        <f>VLOOKUP(A237,Overview!A$4:L$202,12)</f>
        <v>259640016</v>
      </c>
      <c r="J237" s="158">
        <f t="shared" si="36"/>
        <v>-0.12179215857081138</v>
      </c>
      <c r="K237" t="str">
        <f t="shared" si="37"/>
        <v>More expensive than it should be</v>
      </c>
    </row>
    <row r="238" spans="1:11">
      <c r="A238">
        <v>237</v>
      </c>
      <c r="B238">
        <f>IF(J237&gt;-0.4,B237+ROUNDUP(E237/50,0)*50,ROUNDUP(MAX(MIN(VLOOKUP(A238,Overview!$A$4:$K$202,11)/3*0.6,IF(A238&gt;2,B237+MIN(MAX(A237*50,1850),(B237-B236)*1.22,(B237-B236)+150),999)),B237+(B237-B236)),0))</f>
        <v>840023</v>
      </c>
      <c r="C238">
        <f t="shared" si="32"/>
        <v>420012</v>
      </c>
      <c r="D238">
        <f t="shared" si="33"/>
        <v>3550</v>
      </c>
      <c r="E238">
        <f t="shared" si="34"/>
        <v>3544</v>
      </c>
      <c r="F238">
        <f>VLOOKUP(A238-1,Overview!$A$4:$K$202,11)/3*0.6</f>
        <v>753991.2</v>
      </c>
      <c r="G238" s="272">
        <f t="shared" si="35"/>
        <v>0.11410186219680019</v>
      </c>
      <c r="H238">
        <f>SUM(B$2:B238)*3</f>
        <v>230537967</v>
      </c>
      <c r="I238">
        <f>VLOOKUP(A238,Overview!A$4:L$202,12)</f>
        <v>259640016</v>
      </c>
      <c r="J238" s="158">
        <f t="shared" si="36"/>
        <v>-0.11208614699823471</v>
      </c>
      <c r="K238" t="str">
        <f t="shared" si="37"/>
        <v>More expensive than it should be</v>
      </c>
    </row>
    <row r="239" spans="1:11">
      <c r="A239">
        <v>238</v>
      </c>
      <c r="B239">
        <f>IF(J238&gt;-0.4,B238+ROUNDUP(E238/50,0)*50,ROUNDUP(MAX(MIN(VLOOKUP(A239,Overview!$A$4:$K$202,11)/3*0.6,IF(A239&gt;2,B238+MIN(MAX(A238*50,1850),(B238-B237)*1.22,(B238-B237)+150),999)),B238+(B238-B237)),0))</f>
        <v>843573</v>
      </c>
      <c r="C239">
        <f t="shared" si="32"/>
        <v>421787</v>
      </c>
      <c r="D239">
        <f t="shared" si="33"/>
        <v>3550</v>
      </c>
      <c r="E239">
        <f t="shared" si="34"/>
        <v>3544</v>
      </c>
      <c r="F239">
        <f>VLOOKUP(A239-1,Overview!$A$4:$K$202,11)/3*0.6</f>
        <v>753991.2</v>
      </c>
      <c r="G239" s="272">
        <f t="shared" si="35"/>
        <v>0.11881013995919321</v>
      </c>
      <c r="H239">
        <f>SUM(B$2:B239)*3</f>
        <v>233068686</v>
      </c>
      <c r="I239">
        <f>VLOOKUP(A239,Overview!A$4:L$202,12)</f>
        <v>259640016</v>
      </c>
      <c r="J239" s="158">
        <f t="shared" si="36"/>
        <v>-0.10233911709510912</v>
      </c>
      <c r="K239" t="str">
        <f t="shared" si="37"/>
        <v>More expensive than it should be</v>
      </c>
    </row>
    <row r="240" spans="1:11">
      <c r="A240">
        <v>239</v>
      </c>
      <c r="B240">
        <f>IF(J239&gt;-0.4,B239+ROUNDUP(E239/50,0)*50,ROUNDUP(MAX(MIN(VLOOKUP(A240,Overview!$A$4:$K$202,11)/3*0.6,IF(A240&gt;2,B239+MIN(MAX(A239*50,1850),(B239-B238)*1.22,(B239-B238)+150),999)),B239+(B239-B238)),0))</f>
        <v>847123</v>
      </c>
      <c r="C240">
        <f t="shared" si="32"/>
        <v>423562</v>
      </c>
      <c r="D240">
        <f t="shared" si="33"/>
        <v>3550</v>
      </c>
      <c r="E240">
        <f t="shared" si="34"/>
        <v>3544</v>
      </c>
      <c r="F240">
        <f>VLOOKUP(A240-1,Overview!$A$4:$K$202,11)/3*0.6</f>
        <v>753991.2</v>
      </c>
      <c r="G240" s="272">
        <f t="shared" si="35"/>
        <v>0.12351841772158623</v>
      </c>
      <c r="H240">
        <f>SUM(B$2:B240)*3</f>
        <v>235610055</v>
      </c>
      <c r="I240">
        <f>VLOOKUP(A240,Overview!A$4:L$202,12)</f>
        <v>259640016</v>
      </c>
      <c r="J240" s="158">
        <f t="shared" si="36"/>
        <v>-9.2551068861434715E-2</v>
      </c>
      <c r="K240" t="str">
        <f t="shared" si="37"/>
        <v>More expensive than it should be</v>
      </c>
    </row>
    <row r="241" spans="1:11">
      <c r="A241">
        <v>240</v>
      </c>
      <c r="B241">
        <f>IF(J240&gt;-0.4,B240+ROUNDUP(E240/50,0)*50,ROUNDUP(MAX(MIN(VLOOKUP(A241,Overview!$A$4:$K$202,11)/3*0.6,IF(A241&gt;2,B240+MIN(MAX(A240*50,1850),(B240-B239)*1.22,(B240-B239)+150),999)),B240+(B240-B239)),0))</f>
        <v>850673</v>
      </c>
      <c r="C241">
        <f t="shared" si="32"/>
        <v>425337</v>
      </c>
      <c r="D241">
        <f t="shared" si="33"/>
        <v>3550</v>
      </c>
      <c r="E241">
        <f t="shared" si="34"/>
        <v>3544</v>
      </c>
      <c r="F241">
        <f>VLOOKUP(A241-1,Overview!$A$4:$K$202,11)/3*0.6</f>
        <v>753991.2</v>
      </c>
      <c r="G241" s="272">
        <f t="shared" si="35"/>
        <v>0.12822669548397925</v>
      </c>
      <c r="H241">
        <f>SUM(B$2:B241)*3</f>
        <v>238162074</v>
      </c>
      <c r="I241">
        <f>VLOOKUP(A241,Overview!A$4:L$202,12)</f>
        <v>259640016</v>
      </c>
      <c r="J241" s="158">
        <f t="shared" si="36"/>
        <v>-8.2722002297211383E-2</v>
      </c>
      <c r="K241" t="str">
        <f t="shared" si="37"/>
        <v>More expensive than it should be</v>
      </c>
    </row>
    <row r="242" spans="1:11">
      <c r="A242">
        <v>241</v>
      </c>
      <c r="B242">
        <f>IF(J241&gt;-0.4,B241+ROUNDUP(E241/50,0)*50,ROUNDUP(MAX(MIN(VLOOKUP(A242,Overview!$A$4:$K$202,11)/3*0.6,IF(A242&gt;2,B241+MIN(MAX(A241*50,1850),(B241-B240)*1.22,(B241-B240)+150),999)),B241+(B241-B240)),0))</f>
        <v>854223</v>
      </c>
      <c r="C242">
        <f t="shared" si="32"/>
        <v>427112</v>
      </c>
      <c r="D242">
        <f t="shared" si="33"/>
        <v>3550</v>
      </c>
      <c r="E242">
        <f t="shared" si="34"/>
        <v>3544</v>
      </c>
      <c r="F242">
        <f>VLOOKUP(A242-1,Overview!$A$4:$K$202,11)/3*0.6</f>
        <v>753991.2</v>
      </c>
      <c r="G242" s="272">
        <f t="shared" si="35"/>
        <v>0.13293497324637227</v>
      </c>
      <c r="H242">
        <f>SUM(B$2:B242)*3</f>
        <v>240724743</v>
      </c>
      <c r="I242">
        <f>VLOOKUP(A242,Overview!A$4:L$202,12)</f>
        <v>259640016</v>
      </c>
      <c r="J242" s="158">
        <f t="shared" si="36"/>
        <v>-7.2851917402439237E-2</v>
      </c>
      <c r="K242" t="str">
        <f t="shared" si="37"/>
        <v>More expensive than it should be</v>
      </c>
    </row>
    <row r="243" spans="1:11">
      <c r="A243">
        <v>242</v>
      </c>
      <c r="B243">
        <f>IF(J242&gt;-0.4,B242+ROUNDUP(E242/50,0)*50,ROUNDUP(MAX(MIN(VLOOKUP(A243,Overview!$A$4:$K$202,11)/3*0.6,IF(A243&gt;2,B242+MIN(MAX(A242*50,1850),(B242-B241)*1.22,(B242-B241)+150),999)),B242+(B242-B241)),0))</f>
        <v>857773</v>
      </c>
      <c r="C243">
        <f t="shared" si="32"/>
        <v>428887</v>
      </c>
      <c r="D243">
        <f t="shared" si="33"/>
        <v>3550</v>
      </c>
      <c r="E243">
        <f t="shared" si="34"/>
        <v>3545</v>
      </c>
      <c r="F243">
        <f>VLOOKUP(A243-1,Overview!$A$4:$K$202,11)/3*0.6</f>
        <v>753991.2</v>
      </c>
      <c r="G243" s="272">
        <f t="shared" si="35"/>
        <v>0.13764325100876507</v>
      </c>
      <c r="H243">
        <f>SUM(B$2:B243)*3</f>
        <v>243298062</v>
      </c>
      <c r="I243">
        <f>VLOOKUP(A243,Overview!A$4:L$202,12)</f>
        <v>259640016</v>
      </c>
      <c r="J243" s="158">
        <f t="shared" si="36"/>
        <v>-6.2940814177118165E-2</v>
      </c>
      <c r="K243" t="str">
        <f t="shared" si="37"/>
        <v>More expensive than it should be</v>
      </c>
    </row>
    <row r="244" spans="1:11">
      <c r="A244">
        <v>243</v>
      </c>
      <c r="B244">
        <f>IF(J243&gt;-0.4,B243+ROUNDUP(E243/50,0)*50,ROUNDUP(MAX(MIN(VLOOKUP(A244,Overview!$A$4:$K$202,11)/3*0.6,IF(A244&gt;2,B243+MIN(MAX(A243*50,1850),(B243-B242)*1.22,(B243-B242)+150),999)),B243+(B243-B242)),0))</f>
        <v>861323</v>
      </c>
      <c r="C244">
        <f t="shared" si="32"/>
        <v>430662</v>
      </c>
      <c r="D244">
        <f t="shared" si="33"/>
        <v>3550</v>
      </c>
      <c r="E244">
        <f t="shared" si="34"/>
        <v>3545</v>
      </c>
      <c r="F244">
        <f>VLOOKUP(A244-1,Overview!$A$4:$K$202,11)/3*0.6</f>
        <v>753991.2</v>
      </c>
      <c r="G244" s="272">
        <f t="shared" si="35"/>
        <v>0.14235152877115809</v>
      </c>
      <c r="H244">
        <f>SUM(B$2:B244)*3</f>
        <v>245882031</v>
      </c>
      <c r="I244">
        <f>VLOOKUP(A244,Overview!A$4:L$202,12)</f>
        <v>259640016</v>
      </c>
      <c r="J244" s="158">
        <f t="shared" si="36"/>
        <v>-5.298869262124839E-2</v>
      </c>
      <c r="K244" t="str">
        <f t="shared" si="37"/>
        <v>More expensive than it should be</v>
      </c>
    </row>
    <row r="245" spans="1:11">
      <c r="A245">
        <v>244</v>
      </c>
      <c r="B245">
        <f>IF(J244&gt;-0.4,B244+ROUNDUP(E244/50,0)*50,ROUNDUP(MAX(MIN(VLOOKUP(A245,Overview!$A$4:$K$202,11)/3*0.6,IF(A245&gt;2,B244+MIN(MAX(A244*50,1850),(B244-B243)*1.22,(B244-B243)+150),999)),B244+(B244-B243)),0))</f>
        <v>864873</v>
      </c>
      <c r="C245">
        <f t="shared" si="32"/>
        <v>432437</v>
      </c>
      <c r="D245">
        <f t="shared" si="33"/>
        <v>3550</v>
      </c>
      <c r="E245">
        <f t="shared" si="34"/>
        <v>3545</v>
      </c>
      <c r="F245">
        <f>VLOOKUP(A245-1,Overview!$A$4:$K$202,11)/3*0.6</f>
        <v>753991.2</v>
      </c>
      <c r="G245" s="272">
        <f t="shared" si="35"/>
        <v>0.14705980653355111</v>
      </c>
      <c r="H245">
        <f>SUM(B$2:B245)*3</f>
        <v>248476650</v>
      </c>
      <c r="I245">
        <f>VLOOKUP(A245,Overview!A$4:L$202,12)</f>
        <v>259640016</v>
      </c>
      <c r="J245" s="158">
        <f t="shared" si="36"/>
        <v>-4.2995552734829579E-2</v>
      </c>
      <c r="K245" t="str">
        <f t="shared" si="37"/>
        <v>More expensive than it should be</v>
      </c>
    </row>
    <row r="246" spans="1:11">
      <c r="A246">
        <v>245</v>
      </c>
      <c r="B246">
        <f>IF(J245&gt;-0.4,B245+ROUNDUP(E245/50,0)*50,ROUNDUP(MAX(MIN(VLOOKUP(A246,Overview!$A$4:$K$202,11)/3*0.6,IF(A246&gt;2,B245+MIN(MAX(A245*50,1850),(B245-B244)*1.22,(B245-B244)+150),999)),B245+(B245-B244)),0))</f>
        <v>868423</v>
      </c>
      <c r="C246">
        <f t="shared" si="32"/>
        <v>434212</v>
      </c>
      <c r="D246">
        <f t="shared" si="33"/>
        <v>3550</v>
      </c>
      <c r="E246">
        <f t="shared" si="34"/>
        <v>3545</v>
      </c>
      <c r="F246">
        <f>VLOOKUP(A246-1,Overview!$A$4:$K$202,11)/3*0.6</f>
        <v>753991.2</v>
      </c>
      <c r="G246" s="272">
        <f t="shared" si="35"/>
        <v>0.15176808429594413</v>
      </c>
      <c r="H246">
        <f>SUM(B$2:B246)*3</f>
        <v>251081919</v>
      </c>
      <c r="I246">
        <f>VLOOKUP(A246,Overview!A$4:L$202,12)</f>
        <v>259640016</v>
      </c>
      <c r="J246" s="158">
        <f t="shared" si="36"/>
        <v>-3.2961394517861953E-2</v>
      </c>
      <c r="K246" t="str">
        <f t="shared" si="37"/>
        <v>More expensive than it should be</v>
      </c>
    </row>
    <row r="247" spans="1:11">
      <c r="A247">
        <v>246</v>
      </c>
      <c r="B247">
        <f>IF(J246&gt;-0.4,B246+ROUNDUP(E246/50,0)*50,ROUNDUP(MAX(MIN(VLOOKUP(A247,Overview!$A$4:$K$202,11)/3*0.6,IF(A247&gt;2,B246+MIN(MAX(A246*50,1850),(B246-B245)*1.22,(B246-B245)+150),999)),B246+(B246-B245)),0))</f>
        <v>871973</v>
      </c>
      <c r="C247">
        <f t="shared" si="32"/>
        <v>435987</v>
      </c>
      <c r="D247">
        <f t="shared" si="33"/>
        <v>3550</v>
      </c>
      <c r="E247">
        <f t="shared" si="34"/>
        <v>3545</v>
      </c>
      <c r="F247">
        <f>VLOOKUP(A247-1,Overview!$A$4:$K$202,11)/3*0.6</f>
        <v>753991.2</v>
      </c>
      <c r="G247" s="272">
        <f t="shared" si="35"/>
        <v>0.15647636205833715</v>
      </c>
      <c r="H247">
        <f>SUM(B$2:B247)*3</f>
        <v>253697838</v>
      </c>
      <c r="I247">
        <f>VLOOKUP(A247,Overview!A$4:L$202,12)</f>
        <v>259640016</v>
      </c>
      <c r="J247" s="158">
        <f t="shared" si="36"/>
        <v>-2.2886217970345513E-2</v>
      </c>
      <c r="K247" t="str">
        <f t="shared" si="37"/>
        <v>More expensive than it should be</v>
      </c>
    </row>
    <row r="248" spans="1:11">
      <c r="A248">
        <v>247</v>
      </c>
      <c r="B248">
        <f>IF(J247&gt;-0.4,B247+ROUNDUP(E247/50,0)*50,ROUNDUP(MAX(MIN(VLOOKUP(A248,Overview!$A$4:$K$202,11)/3*0.6,IF(A248&gt;2,B247+MIN(MAX(A247*50,1850),(B247-B246)*1.22,(B247-B246)+150),999)),B247+(B247-B246)),0))</f>
        <v>875523</v>
      </c>
      <c r="C248">
        <f t="shared" si="32"/>
        <v>437762</v>
      </c>
      <c r="D248">
        <f t="shared" si="33"/>
        <v>3550</v>
      </c>
      <c r="E248">
        <f t="shared" si="34"/>
        <v>3545</v>
      </c>
      <c r="F248">
        <f>VLOOKUP(A248-1,Overview!$A$4:$K$202,11)/3*0.6</f>
        <v>753991.2</v>
      </c>
      <c r="G248" s="272">
        <f t="shared" si="35"/>
        <v>0.16118463982073017</v>
      </c>
      <c r="H248">
        <f>SUM(B$2:B248)*3</f>
        <v>256324407</v>
      </c>
      <c r="I248">
        <f>VLOOKUP(A248,Overview!A$4:L$202,12)</f>
        <v>259640016</v>
      </c>
      <c r="J248" s="158">
        <f t="shared" si="36"/>
        <v>-1.2770023092280147E-2</v>
      </c>
      <c r="K248" t="str">
        <f t="shared" si="37"/>
        <v>More expensive than it should be</v>
      </c>
    </row>
    <row r="249" spans="1:11">
      <c r="A249">
        <v>248</v>
      </c>
      <c r="B249">
        <f>IF(J248&gt;-0.4,B248+ROUNDUP(E248/50,0)*50,ROUNDUP(MAX(MIN(VLOOKUP(A249,Overview!$A$4:$K$202,11)/3*0.6,IF(A249&gt;2,B248+MIN(MAX(A248*50,1850),(B248-B247)*1.22,(B248-B247)+150),999)),B248+(B248-B247)),0))</f>
        <v>879073</v>
      </c>
      <c r="C249">
        <f t="shared" si="32"/>
        <v>439537</v>
      </c>
      <c r="D249">
        <f t="shared" si="33"/>
        <v>3550</v>
      </c>
      <c r="E249">
        <f t="shared" si="34"/>
        <v>3545</v>
      </c>
      <c r="F249">
        <f>VLOOKUP(A249-1,Overview!$A$4:$K$202,11)/3*0.6</f>
        <v>753991.2</v>
      </c>
      <c r="G249" s="272">
        <f t="shared" si="35"/>
        <v>0.16589291758312297</v>
      </c>
      <c r="H249">
        <f>SUM(B$2:B249)*3</f>
        <v>258961626</v>
      </c>
      <c r="I249">
        <f>VLOOKUP(A249,Overview!A$4:L$202,12)</f>
        <v>259640016</v>
      </c>
      <c r="J249" s="158">
        <f t="shared" si="36"/>
        <v>-2.6128098836659674E-3</v>
      </c>
      <c r="K249" t="str">
        <f t="shared" si="37"/>
        <v>More expensive than it should be</v>
      </c>
    </row>
    <row r="250" spans="1:11">
      <c r="A250">
        <v>249</v>
      </c>
      <c r="B250">
        <f>IF(J249&gt;-0.4,B249+ROUNDUP(E249/50,0)*50,ROUNDUP(MAX(MIN(VLOOKUP(A250,Overview!$A$4:$K$202,11)/3*0.6,IF(A250&gt;2,B249+MIN(MAX(A249*50,1850),(B249-B248)*1.22,(B249-B248)+150),999)),B249+(B249-B248)),0))</f>
        <v>882623</v>
      </c>
      <c r="C250">
        <f t="shared" si="32"/>
        <v>441312</v>
      </c>
      <c r="D250">
        <f t="shared" si="33"/>
        <v>3550</v>
      </c>
      <c r="E250">
        <f t="shared" si="34"/>
        <v>3545</v>
      </c>
      <c r="F250">
        <f>VLOOKUP(A250-1,Overview!$A$4:$K$202,11)/3*0.6</f>
        <v>753991.2</v>
      </c>
      <c r="G250" s="272">
        <f t="shared" si="35"/>
        <v>0.17060119534551599</v>
      </c>
      <c r="H250">
        <f>SUM(B$2:B250)*3</f>
        <v>261609495</v>
      </c>
      <c r="I250">
        <f>VLOOKUP(A250,Overview!A$4:L$202,12)</f>
        <v>259640016</v>
      </c>
      <c r="J250" s="158">
        <f t="shared" si="36"/>
        <v>7.5854216554971376E-3</v>
      </c>
      <c r="K250" t="str">
        <f t="shared" si="37"/>
        <v>More expensive than it should be</v>
      </c>
    </row>
    <row r="251" spans="1:11">
      <c r="A251">
        <v>250</v>
      </c>
      <c r="B251">
        <f>IF(J250&gt;-0.4,B250+ROUNDUP(E250/50,0)*50,ROUNDUP(MAX(MIN(VLOOKUP(A251,Overview!$A$4:$K$202,11)/3*0.6,IF(A251&gt;2,B250+MIN(MAX(A250*50,1850),(B250-B249)*1.22,(B250-B249)+150),999)),B250+(B250-B249)),0))</f>
        <v>886173</v>
      </c>
      <c r="C251">
        <f t="shared" si="32"/>
        <v>443087</v>
      </c>
      <c r="D251">
        <f t="shared" si="33"/>
        <v>3550</v>
      </c>
      <c r="E251">
        <f t="shared" si="34"/>
        <v>3545</v>
      </c>
      <c r="F251">
        <f>VLOOKUP(A251-1,Overview!$A$4:$K$202,11)/3*0.6</f>
        <v>753991.2</v>
      </c>
      <c r="G251" s="272">
        <f t="shared" si="35"/>
        <v>0.17530947310790901</v>
      </c>
      <c r="H251">
        <f>SUM(B$2:B251)*3</f>
        <v>264268014</v>
      </c>
      <c r="I251">
        <f>VLOOKUP(A251,Overview!A$4:L$202,12)</f>
        <v>259640016</v>
      </c>
      <c r="J251" s="158">
        <f t="shared" si="36"/>
        <v>1.7824671525209057E-2</v>
      </c>
      <c r="K251" t="str">
        <f t="shared" si="37"/>
        <v>More expensive than it should be</v>
      </c>
    </row>
    <row r="252" spans="1:11">
      <c r="A252">
        <v>251</v>
      </c>
      <c r="B252">
        <f>IF(J251&gt;-0.4,B251+ROUNDUP(E251/50,0)*50,ROUNDUP(MAX(MIN(VLOOKUP(A252,Overview!$A$4:$K$202,11)/3*0.6,IF(A252&gt;2,B251+MIN(MAX(A251*50,1850),(B251-B250)*1.22,(B251-B250)+150),999)),B251+(B251-B250)),0))</f>
        <v>889723</v>
      </c>
      <c r="C252">
        <f t="shared" si="32"/>
        <v>444862</v>
      </c>
      <c r="D252">
        <f t="shared" si="33"/>
        <v>3550</v>
      </c>
      <c r="E252">
        <f t="shared" si="34"/>
        <v>3545</v>
      </c>
      <c r="F252">
        <f>VLOOKUP(A252-1,Overview!$A$4:$K$202,11)/3*0.6</f>
        <v>753991.2</v>
      </c>
      <c r="G252" s="272">
        <f t="shared" si="35"/>
        <v>0.18001775087030203</v>
      </c>
      <c r="H252">
        <f>SUM(B$2:B252)*3</f>
        <v>266937183</v>
      </c>
      <c r="I252">
        <f>VLOOKUP(A252,Overview!A$4:L$202,12)</f>
        <v>259640016</v>
      </c>
      <c r="J252" s="158">
        <f t="shared" si="36"/>
        <v>2.8104939725469791E-2</v>
      </c>
      <c r="K252" t="str">
        <f t="shared" si="37"/>
        <v>More expensive than it should be</v>
      </c>
    </row>
    <row r="253" spans="1:11">
      <c r="A253">
        <v>252</v>
      </c>
      <c r="B253">
        <f>IF(J252&gt;-0.4,B252+ROUNDUP(E252/50,0)*50,ROUNDUP(MAX(MIN(VLOOKUP(A253,Overview!$A$4:$K$202,11)/3*0.6,IF(A253&gt;2,B252+MIN(MAX(A252*50,1850),(B252-B251)*1.22,(B252-B251)+150),999)),B252+(B252-B251)),0))</f>
        <v>893273</v>
      </c>
      <c r="C253">
        <f t="shared" si="32"/>
        <v>446637</v>
      </c>
      <c r="D253">
        <f t="shared" si="33"/>
        <v>3550</v>
      </c>
      <c r="E253">
        <f t="shared" si="34"/>
        <v>3545</v>
      </c>
      <c r="F253">
        <f>VLOOKUP(A253-1,Overview!$A$4:$K$202,11)/3*0.6</f>
        <v>753991.2</v>
      </c>
      <c r="G253" s="272">
        <f t="shared" si="35"/>
        <v>0.18472602863269505</v>
      </c>
      <c r="H253">
        <f>SUM(B$2:B253)*3</f>
        <v>269617002</v>
      </c>
      <c r="I253">
        <f>VLOOKUP(A253,Overview!A$4:L$202,12)</f>
        <v>259640016</v>
      </c>
      <c r="J253" s="158">
        <f t="shared" si="36"/>
        <v>3.8426226256279339E-2</v>
      </c>
      <c r="K253" t="str">
        <f t="shared" si="37"/>
        <v>More expensive than it should be</v>
      </c>
    </row>
    <row r="254" spans="1:11">
      <c r="A254">
        <v>253</v>
      </c>
      <c r="B254">
        <f>IF(J253&gt;-0.4,B253+ROUNDUP(E253/50,0)*50,ROUNDUP(MAX(MIN(VLOOKUP(A254,Overview!$A$4:$K$202,11)/3*0.6,IF(A254&gt;2,B253+MIN(MAX(A253*50,1850),(B253-B252)*1.22,(B253-B252)+150),999)),B253+(B253-B252)),0))</f>
        <v>896823</v>
      </c>
      <c r="C254">
        <f t="shared" si="32"/>
        <v>448412</v>
      </c>
      <c r="D254">
        <f t="shared" si="33"/>
        <v>3550</v>
      </c>
      <c r="E254">
        <f t="shared" si="34"/>
        <v>3545</v>
      </c>
      <c r="F254">
        <f>VLOOKUP(A254-1,Overview!$A$4:$K$202,11)/3*0.6</f>
        <v>753991.2</v>
      </c>
      <c r="G254" s="272">
        <f t="shared" si="35"/>
        <v>0.18943430639508807</v>
      </c>
      <c r="H254">
        <f>SUM(B$2:B254)*3</f>
        <v>272307471</v>
      </c>
      <c r="I254">
        <f>VLOOKUP(A254,Overview!A$4:L$202,12)</f>
        <v>259640016</v>
      </c>
      <c r="J254" s="158">
        <f t="shared" si="36"/>
        <v>4.8788531117637923E-2</v>
      </c>
      <c r="K254" t="str">
        <f t="shared" si="37"/>
        <v>More expensive than it should be</v>
      </c>
    </row>
    <row r="255" spans="1:11">
      <c r="A255">
        <v>254</v>
      </c>
      <c r="B255">
        <f>IF(J254&gt;-0.4,B254+ROUNDUP(E254/50,0)*50,ROUNDUP(MAX(MIN(VLOOKUP(A255,Overview!$A$4:$K$202,11)/3*0.6,IF(A255&gt;2,B254+MIN(MAX(A254*50,1850),(B254-B253)*1.22,(B254-B253)+150),999)),B254+(B254-B253)),0))</f>
        <v>900373</v>
      </c>
      <c r="C255">
        <f t="shared" si="32"/>
        <v>450187</v>
      </c>
      <c r="D255">
        <f t="shared" si="33"/>
        <v>3550</v>
      </c>
      <c r="E255">
        <f t="shared" si="34"/>
        <v>3545</v>
      </c>
      <c r="F255">
        <f>VLOOKUP(A255-1,Overview!$A$4:$K$202,11)/3*0.6</f>
        <v>753991.2</v>
      </c>
      <c r="G255" s="272">
        <f t="shared" si="35"/>
        <v>0.19414258415748087</v>
      </c>
      <c r="H255">
        <f>SUM(B$2:B255)*3</f>
        <v>275008590</v>
      </c>
      <c r="I255">
        <f>VLOOKUP(A255,Overview!A$4:L$202,12)</f>
        <v>259640016</v>
      </c>
      <c r="J255" s="158">
        <f t="shared" si="36"/>
        <v>5.9191854309545322E-2</v>
      </c>
      <c r="K255" t="str">
        <f t="shared" si="37"/>
        <v>More expensive than it should be</v>
      </c>
    </row>
    <row r="256" spans="1:11">
      <c r="A256">
        <v>255</v>
      </c>
      <c r="B256">
        <f>IF(J255&gt;-0.4,B255+ROUNDUP(E255/50,0)*50,ROUNDUP(MAX(MIN(VLOOKUP(A256,Overview!$A$4:$K$202,11)/3*0.6,IF(A256&gt;2,B255+MIN(MAX(A255*50,1850),(B255-B254)*1.22,(B255-B254)+150),999)),B255+(B255-B254)),0))</f>
        <v>903923</v>
      </c>
      <c r="C256">
        <f t="shared" si="32"/>
        <v>451962</v>
      </c>
      <c r="D256">
        <f t="shared" si="33"/>
        <v>3550</v>
      </c>
      <c r="E256">
        <f t="shared" si="34"/>
        <v>3545</v>
      </c>
      <c r="F256">
        <f>VLOOKUP(A256-1,Overview!$A$4:$K$202,11)/3*0.6</f>
        <v>753991.2</v>
      </c>
      <c r="G256" s="272">
        <f t="shared" si="35"/>
        <v>0.19885086191987389</v>
      </c>
      <c r="H256">
        <f>SUM(B$2:B256)*3</f>
        <v>277720359</v>
      </c>
      <c r="I256">
        <f>VLOOKUP(A256,Overview!A$4:L$202,12)</f>
        <v>259640016</v>
      </c>
      <c r="J256" s="158">
        <f t="shared" si="36"/>
        <v>6.9636195832001535E-2</v>
      </c>
      <c r="K256" t="str">
        <f t="shared" si="37"/>
        <v>More expensive than it should be</v>
      </c>
    </row>
    <row r="257" spans="1:11">
      <c r="A257">
        <v>256</v>
      </c>
      <c r="B257">
        <f>IF(J256&gt;-0.4,B256+ROUNDUP(E256/50,0)*50,ROUNDUP(MAX(MIN(VLOOKUP(A257,Overview!$A$4:$K$202,11)/3*0.6,IF(A257&gt;2,B256+MIN(MAX(A256*50,1850),(B256-B255)*1.22,(B256-B255)+150),999)),B256+(B256-B255)),0))</f>
        <v>907473</v>
      </c>
      <c r="C257">
        <f t="shared" si="32"/>
        <v>453737</v>
      </c>
      <c r="D257">
        <f t="shared" si="33"/>
        <v>3550</v>
      </c>
      <c r="E257">
        <f t="shared" si="34"/>
        <v>3545</v>
      </c>
      <c r="F257">
        <f>VLOOKUP(A257-1,Overview!$A$4:$K$202,11)/3*0.6</f>
        <v>753991.2</v>
      </c>
      <c r="G257" s="272">
        <f t="shared" si="35"/>
        <v>0.20355913968226691</v>
      </c>
      <c r="H257">
        <f>SUM(B$2:B257)*3</f>
        <v>280442778</v>
      </c>
      <c r="I257">
        <f>VLOOKUP(A257,Overview!A$4:L$202,12)</f>
        <v>259640016</v>
      </c>
      <c r="J257" s="158">
        <f t="shared" si="36"/>
        <v>8.0121555685006562E-2</v>
      </c>
      <c r="K257" t="str">
        <f t="shared" si="37"/>
        <v>More expensive than it should be</v>
      </c>
    </row>
    <row r="258" spans="1:11">
      <c r="A258">
        <v>257</v>
      </c>
      <c r="B258">
        <f>IF(J257&gt;-0.4,B257+ROUNDUP(E257/50,0)*50,ROUNDUP(MAX(MIN(VLOOKUP(A258,Overview!$A$4:$K$202,11)/3*0.6,IF(A258&gt;2,B257+MIN(MAX(A257*50,1850),(B257-B256)*1.22,(B257-B256)+150),999)),B257+(B257-B256)),0))</f>
        <v>911023</v>
      </c>
      <c r="C258">
        <f t="shared" si="32"/>
        <v>455512</v>
      </c>
      <c r="D258">
        <f t="shared" si="33"/>
        <v>3550</v>
      </c>
      <c r="E258">
        <f t="shared" si="34"/>
        <v>3545</v>
      </c>
      <c r="F258">
        <f>VLOOKUP(A258-1,Overview!$A$4:$K$202,11)/3*0.6</f>
        <v>753991.2</v>
      </c>
      <c r="G258" s="272">
        <f t="shared" si="35"/>
        <v>0.20826741744465993</v>
      </c>
      <c r="H258">
        <f>SUM(B$2:B258)*3</f>
        <v>283175847</v>
      </c>
      <c r="I258">
        <f>VLOOKUP(A258,Overview!A$4:L$202,12)</f>
        <v>259640016</v>
      </c>
      <c r="J258" s="158">
        <f t="shared" si="36"/>
        <v>9.0647933868560626E-2</v>
      </c>
      <c r="K258" t="str">
        <f t="shared" si="37"/>
        <v>More expensive than it should be</v>
      </c>
    </row>
    <row r="259" spans="1:11">
      <c r="A259">
        <v>258</v>
      </c>
      <c r="B259">
        <f>IF(J258&gt;-0.4,B258+ROUNDUP(E258/50,0)*50,ROUNDUP(MAX(MIN(VLOOKUP(A259,Overview!$A$4:$K$202,11)/3*0.6,IF(A259&gt;2,B258+MIN(MAX(A258*50,1850),(B258-B257)*1.22,(B258-B257)+150),999)),B258+(B258-B257)),0))</f>
        <v>914573</v>
      </c>
      <c r="C259">
        <f t="shared" si="32"/>
        <v>457287</v>
      </c>
      <c r="D259">
        <f t="shared" si="33"/>
        <v>3550</v>
      </c>
      <c r="E259">
        <f t="shared" si="34"/>
        <v>3545</v>
      </c>
      <c r="F259">
        <f>VLOOKUP(A259-1,Overview!$A$4:$K$202,11)/3*0.6</f>
        <v>753991.2</v>
      </c>
      <c r="G259" s="272">
        <f t="shared" si="35"/>
        <v>0.21297569520705295</v>
      </c>
      <c r="H259">
        <f>SUM(B$2:B259)*3</f>
        <v>285919566</v>
      </c>
      <c r="I259">
        <f>VLOOKUP(A259,Overview!A$4:L$202,12)</f>
        <v>259640016</v>
      </c>
      <c r="J259" s="158">
        <f t="shared" si="36"/>
        <v>0.10121533038266328</v>
      </c>
      <c r="K259" t="str">
        <f t="shared" si="37"/>
        <v>More expensive than it should be</v>
      </c>
    </row>
    <row r="260" spans="1:11">
      <c r="A260">
        <v>259</v>
      </c>
      <c r="B260">
        <f>IF(J259&gt;-0.4,B259+ROUNDUP(E259/50,0)*50,ROUNDUP(MAX(MIN(VLOOKUP(A260,Overview!$A$4:$K$202,11)/3*0.6,IF(A260&gt;2,B259+MIN(MAX(A259*50,1850),(B259-B258)*1.22,(B259-B258)+150),999)),B259+(B259-B258)),0))</f>
        <v>918123</v>
      </c>
      <c r="C260">
        <f t="shared" si="32"/>
        <v>459062</v>
      </c>
      <c r="D260">
        <f t="shared" si="33"/>
        <v>3550</v>
      </c>
      <c r="E260">
        <f t="shared" si="34"/>
        <v>3545</v>
      </c>
      <c r="F260">
        <f>VLOOKUP(A260-1,Overview!$A$4:$K$202,11)/3*0.6</f>
        <v>753991.2</v>
      </c>
      <c r="G260" s="272">
        <f t="shared" si="35"/>
        <v>0.21768397296944597</v>
      </c>
      <c r="H260">
        <f>SUM(B$2:B260)*3</f>
        <v>288673935</v>
      </c>
      <c r="I260">
        <f>VLOOKUP(A260,Overview!A$4:L$202,12)</f>
        <v>259640016</v>
      </c>
      <c r="J260" s="158">
        <f t="shared" si="36"/>
        <v>0.11182374522731497</v>
      </c>
      <c r="K260" t="str">
        <f t="shared" si="37"/>
        <v>More expensive than it should be</v>
      </c>
    </row>
    <row r="261" spans="1:11">
      <c r="A261">
        <v>260</v>
      </c>
      <c r="B261">
        <f>IF(J260&gt;-0.4,B260+ROUNDUP(E260/50,0)*50,ROUNDUP(MAX(MIN(VLOOKUP(A261,Overview!$A$4:$K$202,11)/3*0.6,IF(A261&gt;2,B260+MIN(MAX(A260*50,1850),(B260-B259)*1.22,(B260-B259)+150),999)),B260+(B260-B259)),0))</f>
        <v>921673</v>
      </c>
      <c r="C261">
        <f t="shared" si="32"/>
        <v>460837</v>
      </c>
      <c r="D261">
        <f t="shared" si="33"/>
        <v>3550</v>
      </c>
      <c r="E261">
        <f t="shared" si="34"/>
        <v>3545</v>
      </c>
      <c r="F261">
        <f>VLOOKUP(A261-1,Overview!$A$4:$K$202,11)/3*0.6</f>
        <v>753991.2</v>
      </c>
      <c r="G261" s="272">
        <f t="shared" si="35"/>
        <v>0.22239225073183877</v>
      </c>
      <c r="H261">
        <f>SUM(B$2:B261)*3</f>
        <v>291438954</v>
      </c>
      <c r="I261">
        <f>VLOOKUP(A261,Overview!A$4:L$202,12)</f>
        <v>259640016</v>
      </c>
      <c r="J261" s="158">
        <f t="shared" si="36"/>
        <v>0.12247317840251548</v>
      </c>
      <c r="K261" t="str">
        <f t="shared" si="37"/>
        <v>More expensive than it should be</v>
      </c>
    </row>
    <row r="262" spans="1:11">
      <c r="A262">
        <v>261</v>
      </c>
      <c r="B262">
        <f>IF(J261&gt;-0.4,B261+ROUNDUP(E261/50,0)*50,ROUNDUP(MAX(MIN(VLOOKUP(A262,Overview!$A$4:$K$202,11)/3*0.6,IF(A262&gt;2,B261+MIN(MAX(A261*50,1850),(B261-B260)*1.22,(B261-B260)+150),999)),B261+(B261-B260)),0))</f>
        <v>925223</v>
      </c>
      <c r="C262">
        <f t="shared" si="32"/>
        <v>462612</v>
      </c>
      <c r="D262">
        <f t="shared" si="33"/>
        <v>3550</v>
      </c>
      <c r="E262">
        <f t="shared" si="34"/>
        <v>3545</v>
      </c>
      <c r="F262">
        <f>VLOOKUP(A262-1,Overview!$A$4:$K$202,11)/3*0.6</f>
        <v>753991.2</v>
      </c>
      <c r="G262" s="272">
        <f t="shared" si="35"/>
        <v>0.22710052849423179</v>
      </c>
      <c r="H262">
        <f>SUM(B$2:B262)*3</f>
        <v>294214623</v>
      </c>
      <c r="I262">
        <f>VLOOKUP(A262,Overview!A$4:L$202,12)</f>
        <v>259640016</v>
      </c>
      <c r="J262" s="158">
        <f t="shared" si="36"/>
        <v>0.13316362990826502</v>
      </c>
      <c r="K262" t="str">
        <f t="shared" si="37"/>
        <v>More expensive than it should be</v>
      </c>
    </row>
    <row r="263" spans="1:11">
      <c r="A263">
        <v>262</v>
      </c>
      <c r="B263">
        <f>IF(J262&gt;-0.4,B262+ROUNDUP(E262/50,0)*50,ROUNDUP(MAX(MIN(VLOOKUP(A263,Overview!$A$4:$K$202,11)/3*0.6,IF(A263&gt;2,B262+MIN(MAX(A262*50,1850),(B262-B261)*1.22,(B262-B261)+150),999)),B262+(B262-B261)),0))</f>
        <v>928773</v>
      </c>
      <c r="C263">
        <f t="shared" si="32"/>
        <v>464387</v>
      </c>
      <c r="D263">
        <f t="shared" si="33"/>
        <v>3550</v>
      </c>
      <c r="E263">
        <f t="shared" si="34"/>
        <v>3545</v>
      </c>
      <c r="F263">
        <f>VLOOKUP(A263-1,Overview!$A$4:$K$202,11)/3*0.6</f>
        <v>753991.2</v>
      </c>
      <c r="G263" s="272">
        <f t="shared" si="35"/>
        <v>0.23180880625662481</v>
      </c>
      <c r="H263">
        <f>SUM(B$2:B263)*3</f>
        <v>297000942</v>
      </c>
      <c r="I263">
        <f>VLOOKUP(A263,Overview!A$4:L$202,12)</f>
        <v>259640016</v>
      </c>
      <c r="J263" s="158">
        <f t="shared" si="36"/>
        <v>0.14389509974456316</v>
      </c>
      <c r="K263" t="str">
        <f t="shared" si="37"/>
        <v>More expensive than it should be</v>
      </c>
    </row>
    <row r="264" spans="1:11">
      <c r="A264">
        <v>263</v>
      </c>
      <c r="B264">
        <f>IF(J263&gt;-0.4,B263+ROUNDUP(E263/50,0)*50,ROUNDUP(MAX(MIN(VLOOKUP(A264,Overview!$A$4:$K$202,11)/3*0.6,IF(A264&gt;2,B263+MIN(MAX(A263*50,1850),(B263-B262)*1.22,(B263-B262)+150),999)),B263+(B263-B262)),0))</f>
        <v>932323</v>
      </c>
      <c r="C264">
        <f t="shared" si="32"/>
        <v>466162</v>
      </c>
      <c r="D264">
        <f t="shared" si="33"/>
        <v>3550</v>
      </c>
      <c r="E264">
        <f t="shared" si="34"/>
        <v>3545</v>
      </c>
      <c r="F264">
        <f>VLOOKUP(A264-1,Overview!$A$4:$K$202,11)/3*0.6</f>
        <v>753991.2</v>
      </c>
      <c r="G264" s="272">
        <f t="shared" si="35"/>
        <v>0.23651708401901783</v>
      </c>
      <c r="H264">
        <f>SUM(B$2:B264)*3</f>
        <v>299797911</v>
      </c>
      <c r="I264">
        <f>VLOOKUP(A264,Overview!A$4:L$202,12)</f>
        <v>259640016</v>
      </c>
      <c r="J264" s="158">
        <f t="shared" si="36"/>
        <v>0.15466758791141033</v>
      </c>
      <c r="K264" t="str">
        <f t="shared" si="37"/>
        <v>More expensive than it should be</v>
      </c>
    </row>
    <row r="265" spans="1:11">
      <c r="A265">
        <v>264</v>
      </c>
      <c r="B265">
        <f>IF(J264&gt;-0.4,B264+ROUNDUP(E264/50,0)*50,ROUNDUP(MAX(MIN(VLOOKUP(A265,Overview!$A$4:$K$202,11)/3*0.6,IF(A265&gt;2,B264+MIN(MAX(A264*50,1850),(B264-B263)*1.22,(B264-B263)+150),999)),B264+(B264-B263)),0))</f>
        <v>935873</v>
      </c>
      <c r="C265">
        <f t="shared" ref="C265:C328" si="38">ROUND(B265/2,0)</f>
        <v>467937</v>
      </c>
      <c r="D265">
        <f t="shared" ref="D265:D328" si="39">B265-B264</f>
        <v>3550</v>
      </c>
      <c r="E265">
        <f t="shared" ref="E265:E328" si="40">ROUND(B265/A265,0)</f>
        <v>3545</v>
      </c>
      <c r="F265">
        <f>VLOOKUP(A265-1,Overview!$A$4:$K$202,11)/3*0.6</f>
        <v>753991.2</v>
      </c>
      <c r="G265" s="272">
        <f t="shared" ref="G265:G328" si="41">B265/F265-1</f>
        <v>0.24122536178141085</v>
      </c>
      <c r="H265">
        <f>SUM(B$2:B265)*3</f>
        <v>302605530</v>
      </c>
      <c r="I265">
        <f>VLOOKUP(A265,Overview!A$4:L$202,12)</f>
        <v>259640016</v>
      </c>
      <c r="J265" s="158">
        <f t="shared" ref="J265:J328" si="42">H265/I265-1</f>
        <v>0.16548109440880632</v>
      </c>
      <c r="K265" t="str">
        <f t="shared" ref="K265:K328" si="43">IF(J265&lt;-0.5,"Cheaper than it should be",IF(J265&gt;-0.3,"More expensive than it should be","about perfect"))</f>
        <v>More expensive than it should be</v>
      </c>
    </row>
    <row r="266" spans="1:11">
      <c r="A266">
        <v>265</v>
      </c>
      <c r="B266">
        <f>IF(J265&gt;-0.4,B265+ROUNDUP(E265/50,0)*50,ROUNDUP(MAX(MIN(VLOOKUP(A266,Overview!$A$4:$K$202,11)/3*0.6,IF(A266&gt;2,B265+MIN(MAX(A265*50,1850),(B265-B264)*1.22,(B265-B264)+150),999)),B265+(B265-B264)),0))</f>
        <v>939423</v>
      </c>
      <c r="C266">
        <f t="shared" si="38"/>
        <v>469712</v>
      </c>
      <c r="D266">
        <f t="shared" si="39"/>
        <v>3550</v>
      </c>
      <c r="E266">
        <f t="shared" si="40"/>
        <v>3545</v>
      </c>
      <c r="F266">
        <f>VLOOKUP(A266-1,Overview!$A$4:$K$202,11)/3*0.6</f>
        <v>753991.2</v>
      </c>
      <c r="G266" s="272">
        <f t="shared" si="41"/>
        <v>0.24593363954380387</v>
      </c>
      <c r="H266">
        <f>SUM(B$2:B266)*3</f>
        <v>305423799</v>
      </c>
      <c r="I266">
        <f>VLOOKUP(A266,Overview!A$4:L$202,12)</f>
        <v>259640016</v>
      </c>
      <c r="J266" s="158">
        <f t="shared" si="42"/>
        <v>0.17633561923675134</v>
      </c>
      <c r="K266" t="str">
        <f t="shared" si="43"/>
        <v>More expensive than it should be</v>
      </c>
    </row>
    <row r="267" spans="1:11">
      <c r="A267">
        <v>266</v>
      </c>
      <c r="B267">
        <f>IF(J266&gt;-0.4,B266+ROUNDUP(E266/50,0)*50,ROUNDUP(MAX(MIN(VLOOKUP(A267,Overview!$A$4:$K$202,11)/3*0.6,IF(A267&gt;2,B266+MIN(MAX(A266*50,1850),(B266-B265)*1.22,(B266-B265)+150),999)),B266+(B266-B265)),0))</f>
        <v>942973</v>
      </c>
      <c r="C267">
        <f t="shared" si="38"/>
        <v>471487</v>
      </c>
      <c r="D267">
        <f t="shared" si="39"/>
        <v>3550</v>
      </c>
      <c r="E267">
        <f t="shared" si="40"/>
        <v>3545</v>
      </c>
      <c r="F267">
        <f>VLOOKUP(A267-1,Overview!$A$4:$K$202,11)/3*0.6</f>
        <v>753991.2</v>
      </c>
      <c r="G267" s="272">
        <f t="shared" si="41"/>
        <v>0.25064191730619667</v>
      </c>
      <c r="H267">
        <f>SUM(B$2:B267)*3</f>
        <v>308252718</v>
      </c>
      <c r="I267">
        <f>VLOOKUP(A267,Overview!A$4:L$202,12)</f>
        <v>259640016</v>
      </c>
      <c r="J267" s="158">
        <f t="shared" si="42"/>
        <v>0.18723116239524495</v>
      </c>
      <c r="K267" t="str">
        <f t="shared" si="43"/>
        <v>More expensive than it should be</v>
      </c>
    </row>
    <row r="268" spans="1:11">
      <c r="A268">
        <v>267</v>
      </c>
      <c r="B268">
        <f>IF(J267&gt;-0.4,B267+ROUNDUP(E267/50,0)*50,ROUNDUP(MAX(MIN(VLOOKUP(A268,Overview!$A$4:$K$202,11)/3*0.6,IF(A268&gt;2,B267+MIN(MAX(A267*50,1850),(B267-B266)*1.22,(B267-B266)+150),999)),B267+(B267-B266)),0))</f>
        <v>946523</v>
      </c>
      <c r="C268">
        <f t="shared" si="38"/>
        <v>473262</v>
      </c>
      <c r="D268">
        <f t="shared" si="39"/>
        <v>3550</v>
      </c>
      <c r="E268">
        <f t="shared" si="40"/>
        <v>3545</v>
      </c>
      <c r="F268">
        <f>VLOOKUP(A268-1,Overview!$A$4:$K$202,11)/3*0.6</f>
        <v>753991.2</v>
      </c>
      <c r="G268" s="272">
        <f t="shared" si="41"/>
        <v>0.25535019506858969</v>
      </c>
      <c r="H268">
        <f>SUM(B$2:B268)*3</f>
        <v>311092287</v>
      </c>
      <c r="I268">
        <f>VLOOKUP(A268,Overview!A$4:L$202,12)</f>
        <v>259640016</v>
      </c>
      <c r="J268" s="158">
        <f t="shared" si="42"/>
        <v>0.19816772388428761</v>
      </c>
      <c r="K268" t="str">
        <f t="shared" si="43"/>
        <v>More expensive than it should be</v>
      </c>
    </row>
    <row r="269" spans="1:11">
      <c r="A269">
        <v>268</v>
      </c>
      <c r="B269">
        <f>IF(J268&gt;-0.4,B268+ROUNDUP(E268/50,0)*50,ROUNDUP(MAX(MIN(VLOOKUP(A269,Overview!$A$4:$K$202,11)/3*0.6,IF(A269&gt;2,B268+MIN(MAX(A268*50,1850),(B268-B267)*1.22,(B268-B267)+150),999)),B268+(B268-B267)),0))</f>
        <v>950073</v>
      </c>
      <c r="C269">
        <f t="shared" si="38"/>
        <v>475037</v>
      </c>
      <c r="D269">
        <f t="shared" si="39"/>
        <v>3550</v>
      </c>
      <c r="E269">
        <f t="shared" si="40"/>
        <v>3545</v>
      </c>
      <c r="F269">
        <f>VLOOKUP(A269-1,Overview!$A$4:$K$202,11)/3*0.6</f>
        <v>753991.2</v>
      </c>
      <c r="G269" s="272">
        <f t="shared" si="41"/>
        <v>0.26005847283098271</v>
      </c>
      <c r="H269">
        <f>SUM(B$2:B269)*3</f>
        <v>313942506</v>
      </c>
      <c r="I269">
        <f>VLOOKUP(A269,Overview!A$4:L$202,12)</f>
        <v>259640016</v>
      </c>
      <c r="J269" s="158">
        <f t="shared" si="42"/>
        <v>0.20914530370387907</v>
      </c>
      <c r="K269" t="str">
        <f t="shared" si="43"/>
        <v>More expensive than it should be</v>
      </c>
    </row>
    <row r="270" spans="1:11">
      <c r="A270">
        <v>269</v>
      </c>
      <c r="B270">
        <f>IF(J269&gt;-0.4,B269+ROUNDUP(E269/50,0)*50,ROUNDUP(MAX(MIN(VLOOKUP(A270,Overview!$A$4:$K$202,11)/3*0.6,IF(A270&gt;2,B269+MIN(MAX(A269*50,1850),(B269-B268)*1.22,(B269-B268)+150),999)),B269+(B269-B268)),0))</f>
        <v>953623</v>
      </c>
      <c r="C270">
        <f t="shared" si="38"/>
        <v>476812</v>
      </c>
      <c r="D270">
        <f t="shared" si="39"/>
        <v>3550</v>
      </c>
      <c r="E270">
        <f t="shared" si="40"/>
        <v>3545</v>
      </c>
      <c r="F270">
        <f>VLOOKUP(A270-1,Overview!$A$4:$K$202,11)/3*0.6</f>
        <v>753991.2</v>
      </c>
      <c r="G270" s="272">
        <f t="shared" si="41"/>
        <v>0.26476675059337573</v>
      </c>
      <c r="H270">
        <f>SUM(B$2:B270)*3</f>
        <v>316803375</v>
      </c>
      <c r="I270">
        <f>VLOOKUP(A270,Overview!A$4:L$202,12)</f>
        <v>259640016</v>
      </c>
      <c r="J270" s="158">
        <f t="shared" si="42"/>
        <v>0.22016390185401935</v>
      </c>
      <c r="K270" t="str">
        <f t="shared" si="43"/>
        <v>More expensive than it should be</v>
      </c>
    </row>
    <row r="271" spans="1:11">
      <c r="A271">
        <v>270</v>
      </c>
      <c r="B271">
        <f>IF(J270&gt;-0.4,B270+ROUNDUP(E270/50,0)*50,ROUNDUP(MAX(MIN(VLOOKUP(A271,Overview!$A$4:$K$202,11)/3*0.6,IF(A271&gt;2,B270+MIN(MAX(A270*50,1850),(B270-B269)*1.22,(B270-B269)+150),999)),B270+(B270-B269)),0))</f>
        <v>957173</v>
      </c>
      <c r="C271">
        <f t="shared" si="38"/>
        <v>478587</v>
      </c>
      <c r="D271">
        <f t="shared" si="39"/>
        <v>3550</v>
      </c>
      <c r="E271">
        <f t="shared" si="40"/>
        <v>3545</v>
      </c>
      <c r="F271">
        <f>VLOOKUP(A271-1,Overview!$A$4:$K$202,11)/3*0.6</f>
        <v>753991.2</v>
      </c>
      <c r="G271" s="272">
        <f t="shared" si="41"/>
        <v>0.26947502835576875</v>
      </c>
      <c r="H271">
        <f>SUM(B$2:B271)*3</f>
        <v>319674894</v>
      </c>
      <c r="I271">
        <f>VLOOKUP(A271,Overview!A$4:L$202,12)</f>
        <v>259640016</v>
      </c>
      <c r="J271" s="158">
        <f t="shared" si="42"/>
        <v>0.23122351833470844</v>
      </c>
      <c r="K271" t="str">
        <f t="shared" si="43"/>
        <v>More expensive than it should be</v>
      </c>
    </row>
    <row r="272" spans="1:11">
      <c r="A272">
        <v>271</v>
      </c>
      <c r="B272">
        <f>IF(J271&gt;-0.4,B271+ROUNDUP(E271/50,0)*50,ROUNDUP(MAX(MIN(VLOOKUP(A272,Overview!$A$4:$K$202,11)/3*0.6,IF(A272&gt;2,B271+MIN(MAX(A271*50,1850),(B271-B270)*1.22,(B271-B270)+150),999)),B271+(B271-B270)),0))</f>
        <v>960723</v>
      </c>
      <c r="C272">
        <f t="shared" si="38"/>
        <v>480362</v>
      </c>
      <c r="D272">
        <f t="shared" si="39"/>
        <v>3550</v>
      </c>
      <c r="E272">
        <f t="shared" si="40"/>
        <v>3545</v>
      </c>
      <c r="F272">
        <f>VLOOKUP(A272-1,Overview!$A$4:$K$202,11)/3*0.6</f>
        <v>753991.2</v>
      </c>
      <c r="G272" s="272">
        <f t="shared" si="41"/>
        <v>0.27418330611816177</v>
      </c>
      <c r="H272">
        <f>SUM(B$2:B272)*3</f>
        <v>322557063</v>
      </c>
      <c r="I272">
        <f>VLOOKUP(A272,Overview!A$4:L$202,12)</f>
        <v>259640016</v>
      </c>
      <c r="J272" s="158">
        <f t="shared" si="42"/>
        <v>0.24232415314594657</v>
      </c>
      <c r="K272" t="str">
        <f t="shared" si="43"/>
        <v>More expensive than it should be</v>
      </c>
    </row>
    <row r="273" spans="1:11">
      <c r="A273">
        <v>272</v>
      </c>
      <c r="B273">
        <f>IF(J272&gt;-0.4,B272+ROUNDUP(E272/50,0)*50,ROUNDUP(MAX(MIN(VLOOKUP(A273,Overview!$A$4:$K$202,11)/3*0.6,IF(A273&gt;2,B272+MIN(MAX(A272*50,1850),(B272-B271)*1.22,(B272-B271)+150),999)),B272+(B272-B271)),0))</f>
        <v>964273</v>
      </c>
      <c r="C273">
        <f t="shared" si="38"/>
        <v>482137</v>
      </c>
      <c r="D273">
        <f t="shared" si="39"/>
        <v>3550</v>
      </c>
      <c r="E273">
        <f t="shared" si="40"/>
        <v>3545</v>
      </c>
      <c r="F273">
        <f>VLOOKUP(A273-1,Overview!$A$4:$K$202,11)/3*0.6</f>
        <v>753991.2</v>
      </c>
      <c r="G273" s="272">
        <f t="shared" si="41"/>
        <v>0.27889158388055457</v>
      </c>
      <c r="H273">
        <f>SUM(B$2:B273)*3</f>
        <v>325449882</v>
      </c>
      <c r="I273">
        <f>VLOOKUP(A273,Overview!A$4:L$202,12)</f>
        <v>259640016</v>
      </c>
      <c r="J273" s="158">
        <f t="shared" si="42"/>
        <v>0.2534658062877333</v>
      </c>
      <c r="K273" t="str">
        <f t="shared" si="43"/>
        <v>More expensive than it should be</v>
      </c>
    </row>
    <row r="274" spans="1:11">
      <c r="A274">
        <v>273</v>
      </c>
      <c r="B274">
        <f>IF(J273&gt;-0.4,B273+ROUNDUP(E273/50,0)*50,ROUNDUP(MAX(MIN(VLOOKUP(A274,Overview!$A$4:$K$202,11)/3*0.6,IF(A274&gt;2,B273+MIN(MAX(A273*50,1850),(B273-B272)*1.22,(B273-B272)+150),999)),B273+(B273-B272)),0))</f>
        <v>967823</v>
      </c>
      <c r="C274">
        <f t="shared" si="38"/>
        <v>483912</v>
      </c>
      <c r="D274">
        <f t="shared" si="39"/>
        <v>3550</v>
      </c>
      <c r="E274">
        <f t="shared" si="40"/>
        <v>3545</v>
      </c>
      <c r="F274">
        <f>VLOOKUP(A274-1,Overview!$A$4:$K$202,11)/3*0.6</f>
        <v>753991.2</v>
      </c>
      <c r="G274" s="272">
        <f t="shared" si="41"/>
        <v>0.28359986164294759</v>
      </c>
      <c r="H274">
        <f>SUM(B$2:B274)*3</f>
        <v>328353351</v>
      </c>
      <c r="I274">
        <f>VLOOKUP(A274,Overview!A$4:L$202,12)</f>
        <v>259640016</v>
      </c>
      <c r="J274" s="158">
        <f t="shared" si="42"/>
        <v>0.26464847776006906</v>
      </c>
      <c r="K274" t="str">
        <f t="shared" si="43"/>
        <v>More expensive than it should be</v>
      </c>
    </row>
    <row r="275" spans="1:11">
      <c r="A275">
        <v>274</v>
      </c>
      <c r="B275">
        <f>IF(J274&gt;-0.4,B274+ROUNDUP(E274/50,0)*50,ROUNDUP(MAX(MIN(VLOOKUP(A275,Overview!$A$4:$K$202,11)/3*0.6,IF(A275&gt;2,B274+MIN(MAX(A274*50,1850),(B274-B273)*1.22,(B274-B273)+150),999)),B274+(B274-B273)),0))</f>
        <v>971373</v>
      </c>
      <c r="C275">
        <f t="shared" si="38"/>
        <v>485687</v>
      </c>
      <c r="D275">
        <f t="shared" si="39"/>
        <v>3550</v>
      </c>
      <c r="E275">
        <f t="shared" si="40"/>
        <v>3545</v>
      </c>
      <c r="F275">
        <f>VLOOKUP(A275-1,Overview!$A$4:$K$202,11)/3*0.6</f>
        <v>753991.2</v>
      </c>
      <c r="G275" s="272">
        <f t="shared" si="41"/>
        <v>0.28830813940534061</v>
      </c>
      <c r="H275">
        <f>SUM(B$2:B275)*3</f>
        <v>331267470</v>
      </c>
      <c r="I275">
        <f>VLOOKUP(A275,Overview!A$4:L$202,12)</f>
        <v>259640016</v>
      </c>
      <c r="J275" s="158">
        <f t="shared" si="42"/>
        <v>0.27587216756295385</v>
      </c>
      <c r="K275" t="str">
        <f t="shared" si="43"/>
        <v>More expensive than it should be</v>
      </c>
    </row>
    <row r="276" spans="1:11">
      <c r="A276">
        <v>275</v>
      </c>
      <c r="B276">
        <f>IF(J275&gt;-0.4,B275+ROUNDUP(E275/50,0)*50,ROUNDUP(MAX(MIN(VLOOKUP(A276,Overview!$A$4:$K$202,11)/3*0.6,IF(A276&gt;2,B275+MIN(MAX(A275*50,1850),(B275-B274)*1.22,(B275-B274)+150),999)),B275+(B275-B274)),0))</f>
        <v>974923</v>
      </c>
      <c r="C276">
        <f t="shared" si="38"/>
        <v>487462</v>
      </c>
      <c r="D276">
        <f t="shared" si="39"/>
        <v>3550</v>
      </c>
      <c r="E276">
        <f t="shared" si="40"/>
        <v>3545</v>
      </c>
      <c r="F276">
        <f>VLOOKUP(A276-1,Overview!$A$4:$K$202,11)/3*0.6</f>
        <v>753991.2</v>
      </c>
      <c r="G276" s="272">
        <f t="shared" si="41"/>
        <v>0.29301641716773363</v>
      </c>
      <c r="H276">
        <f>SUM(B$2:B276)*3</f>
        <v>334192239</v>
      </c>
      <c r="I276">
        <f>VLOOKUP(A276,Overview!A$4:L$202,12)</f>
        <v>259640016</v>
      </c>
      <c r="J276" s="158">
        <f t="shared" si="42"/>
        <v>0.28713687569638724</v>
      </c>
      <c r="K276" t="str">
        <f t="shared" si="43"/>
        <v>More expensive than it should be</v>
      </c>
    </row>
    <row r="277" spans="1:11">
      <c r="A277">
        <v>276</v>
      </c>
      <c r="B277">
        <f>IF(J276&gt;-0.4,B276+ROUNDUP(E276/50,0)*50,ROUNDUP(MAX(MIN(VLOOKUP(A277,Overview!$A$4:$K$202,11)/3*0.6,IF(A277&gt;2,B276+MIN(MAX(A276*50,1850),(B276-B275)*1.22,(B276-B275)+150),999)),B276+(B276-B275)),0))</f>
        <v>978473</v>
      </c>
      <c r="C277">
        <f t="shared" si="38"/>
        <v>489237</v>
      </c>
      <c r="D277">
        <f t="shared" si="39"/>
        <v>3550</v>
      </c>
      <c r="E277">
        <f t="shared" si="40"/>
        <v>3545</v>
      </c>
      <c r="F277">
        <f>VLOOKUP(A277-1,Overview!$A$4:$K$202,11)/3*0.6</f>
        <v>753991.2</v>
      </c>
      <c r="G277" s="272">
        <f t="shared" si="41"/>
        <v>0.29772469493012665</v>
      </c>
      <c r="H277">
        <f>SUM(B$2:B277)*3</f>
        <v>337127658</v>
      </c>
      <c r="I277">
        <f>VLOOKUP(A277,Overview!A$4:L$202,12)</f>
        <v>259640016</v>
      </c>
      <c r="J277" s="158">
        <f t="shared" si="42"/>
        <v>0.29844260216036966</v>
      </c>
      <c r="K277" t="str">
        <f t="shared" si="43"/>
        <v>More expensive than it should be</v>
      </c>
    </row>
    <row r="278" spans="1:11">
      <c r="A278">
        <v>277</v>
      </c>
      <c r="B278">
        <f>IF(J277&gt;-0.4,B277+ROUNDUP(E277/50,0)*50,ROUNDUP(MAX(MIN(VLOOKUP(A278,Overview!$A$4:$K$202,11)/3*0.6,IF(A278&gt;2,B277+MIN(MAX(A277*50,1850),(B277-B276)*1.22,(B277-B276)+150),999)),B277+(B277-B276)),0))</f>
        <v>982023</v>
      </c>
      <c r="C278">
        <f t="shared" si="38"/>
        <v>491012</v>
      </c>
      <c r="D278">
        <f t="shared" si="39"/>
        <v>3550</v>
      </c>
      <c r="E278">
        <f t="shared" si="40"/>
        <v>3545</v>
      </c>
      <c r="F278">
        <f>VLOOKUP(A278-1,Overview!$A$4:$K$202,11)/3*0.6</f>
        <v>753991.2</v>
      </c>
      <c r="G278" s="272">
        <f t="shared" si="41"/>
        <v>0.30243297269251967</v>
      </c>
      <c r="H278">
        <f>SUM(B$2:B278)*3</f>
        <v>340073727</v>
      </c>
      <c r="I278">
        <f>VLOOKUP(A278,Overview!A$4:L$202,12)</f>
        <v>259640016</v>
      </c>
      <c r="J278" s="158">
        <f t="shared" si="42"/>
        <v>0.3097893469549009</v>
      </c>
      <c r="K278" t="str">
        <f t="shared" si="43"/>
        <v>More expensive than it should be</v>
      </c>
    </row>
    <row r="279" spans="1:11">
      <c r="A279">
        <v>278</v>
      </c>
      <c r="B279">
        <f>IF(J278&gt;-0.4,B278+ROUNDUP(E278/50,0)*50,ROUNDUP(MAX(MIN(VLOOKUP(A279,Overview!$A$4:$K$202,11)/3*0.6,IF(A279&gt;2,B278+MIN(MAX(A278*50,1850),(B278-B277)*1.22,(B278-B277)+150),999)),B278+(B278-B277)),0))</f>
        <v>985573</v>
      </c>
      <c r="C279">
        <f t="shared" si="38"/>
        <v>492787</v>
      </c>
      <c r="D279">
        <f t="shared" si="39"/>
        <v>3550</v>
      </c>
      <c r="E279">
        <f t="shared" si="40"/>
        <v>3545</v>
      </c>
      <c r="F279">
        <f>VLOOKUP(A279-1,Overview!$A$4:$K$202,11)/3*0.6</f>
        <v>753991.2</v>
      </c>
      <c r="G279" s="272">
        <f t="shared" si="41"/>
        <v>0.30714125045491247</v>
      </c>
      <c r="H279">
        <f>SUM(B$2:B279)*3</f>
        <v>343030446</v>
      </c>
      <c r="I279">
        <f>VLOOKUP(A279,Overview!A$4:L$202,12)</f>
        <v>259640016</v>
      </c>
      <c r="J279" s="158">
        <f t="shared" si="42"/>
        <v>0.32117711007998095</v>
      </c>
      <c r="K279" t="str">
        <f t="shared" si="43"/>
        <v>More expensive than it should be</v>
      </c>
    </row>
    <row r="280" spans="1:11">
      <c r="A280">
        <v>279</v>
      </c>
      <c r="B280">
        <f>IF(J279&gt;-0.4,B279+ROUNDUP(E279/50,0)*50,ROUNDUP(MAX(MIN(VLOOKUP(A280,Overview!$A$4:$K$202,11)/3*0.6,IF(A280&gt;2,B279+MIN(MAX(A279*50,1850),(B279-B278)*1.22,(B279-B278)+150),999)),B279+(B279-B278)),0))</f>
        <v>989123</v>
      </c>
      <c r="C280">
        <f t="shared" si="38"/>
        <v>494562</v>
      </c>
      <c r="D280">
        <f t="shared" si="39"/>
        <v>3550</v>
      </c>
      <c r="E280">
        <f t="shared" si="40"/>
        <v>3545</v>
      </c>
      <c r="F280">
        <f>VLOOKUP(A280-1,Overview!$A$4:$K$202,11)/3*0.6</f>
        <v>753991.2</v>
      </c>
      <c r="G280" s="272">
        <f t="shared" si="41"/>
        <v>0.31184952821730549</v>
      </c>
      <c r="H280">
        <f>SUM(B$2:B280)*3</f>
        <v>345997815</v>
      </c>
      <c r="I280">
        <f>VLOOKUP(A280,Overview!A$4:L$202,12)</f>
        <v>259640016</v>
      </c>
      <c r="J280" s="158">
        <f t="shared" si="42"/>
        <v>0.33260589153560982</v>
      </c>
      <c r="K280" t="str">
        <f t="shared" si="43"/>
        <v>More expensive than it should be</v>
      </c>
    </row>
    <row r="281" spans="1:11">
      <c r="A281">
        <v>280</v>
      </c>
      <c r="B281">
        <f>IF(J280&gt;-0.4,B280+ROUNDUP(E280/50,0)*50,ROUNDUP(MAX(MIN(VLOOKUP(A281,Overview!$A$4:$K$202,11)/3*0.6,IF(A281&gt;2,B280+MIN(MAX(A280*50,1850),(B280-B279)*1.22,(B280-B279)+150),999)),B280+(B280-B279)),0))</f>
        <v>992673</v>
      </c>
      <c r="C281">
        <f t="shared" si="38"/>
        <v>496337</v>
      </c>
      <c r="D281">
        <f t="shared" si="39"/>
        <v>3550</v>
      </c>
      <c r="E281">
        <f t="shared" si="40"/>
        <v>3545</v>
      </c>
      <c r="F281">
        <f>VLOOKUP(A281-1,Overview!$A$4:$K$202,11)/3*0.6</f>
        <v>753991.2</v>
      </c>
      <c r="G281" s="272">
        <f t="shared" si="41"/>
        <v>0.31655780597969851</v>
      </c>
      <c r="H281">
        <f>SUM(B$2:B281)*3</f>
        <v>348975834</v>
      </c>
      <c r="I281">
        <f>VLOOKUP(A281,Overview!A$4:L$202,12)</f>
        <v>259640016</v>
      </c>
      <c r="J281" s="158">
        <f t="shared" si="42"/>
        <v>0.34407569132178772</v>
      </c>
      <c r="K281" t="str">
        <f t="shared" si="43"/>
        <v>More expensive than it should be</v>
      </c>
    </row>
    <row r="282" spans="1:11">
      <c r="A282">
        <v>281</v>
      </c>
      <c r="B282">
        <f>IF(J281&gt;-0.4,B281+ROUNDUP(E281/50,0)*50,ROUNDUP(MAX(MIN(VLOOKUP(A282,Overview!$A$4:$K$202,11)/3*0.6,IF(A282&gt;2,B281+MIN(MAX(A281*50,1850),(B281-B280)*1.22,(B281-B280)+150),999)),B281+(B281-B280)),0))</f>
        <v>996223</v>
      </c>
      <c r="C282">
        <f t="shared" si="38"/>
        <v>498112</v>
      </c>
      <c r="D282">
        <f t="shared" si="39"/>
        <v>3550</v>
      </c>
      <c r="E282">
        <f t="shared" si="40"/>
        <v>3545</v>
      </c>
      <c r="F282">
        <f>VLOOKUP(A282-1,Overview!$A$4:$K$202,11)/3*0.6</f>
        <v>753991.2</v>
      </c>
      <c r="G282" s="272">
        <f t="shared" si="41"/>
        <v>0.32126608374209153</v>
      </c>
      <c r="H282">
        <f>SUM(B$2:B282)*3</f>
        <v>351964503</v>
      </c>
      <c r="I282">
        <f>VLOOKUP(A282,Overview!A$4:L$202,12)</f>
        <v>259640016</v>
      </c>
      <c r="J282" s="158">
        <f t="shared" si="42"/>
        <v>0.35558650943851422</v>
      </c>
      <c r="K282" t="str">
        <f t="shared" si="43"/>
        <v>More expensive than it should be</v>
      </c>
    </row>
    <row r="283" spans="1:11">
      <c r="A283">
        <v>282</v>
      </c>
      <c r="B283">
        <f>IF(J282&gt;-0.4,B282+ROUNDUP(E282/50,0)*50,ROUNDUP(MAX(MIN(VLOOKUP(A283,Overview!$A$4:$K$202,11)/3*0.6,IF(A283&gt;2,B282+MIN(MAX(A282*50,1850),(B282-B281)*1.22,(B282-B281)+150),999)),B282+(B282-B281)),0))</f>
        <v>999773</v>
      </c>
      <c r="C283">
        <f t="shared" si="38"/>
        <v>499887</v>
      </c>
      <c r="D283">
        <f t="shared" si="39"/>
        <v>3550</v>
      </c>
      <c r="E283">
        <f t="shared" si="40"/>
        <v>3545</v>
      </c>
      <c r="F283">
        <f>VLOOKUP(A283-1,Overview!$A$4:$K$202,11)/3*0.6</f>
        <v>753991.2</v>
      </c>
      <c r="G283" s="272">
        <f t="shared" si="41"/>
        <v>0.32597436150448456</v>
      </c>
      <c r="H283">
        <f>SUM(B$2:B283)*3</f>
        <v>354963822</v>
      </c>
      <c r="I283">
        <f>VLOOKUP(A283,Overview!A$4:L$202,12)</f>
        <v>259640016</v>
      </c>
      <c r="J283" s="158">
        <f t="shared" si="42"/>
        <v>0.36713834588578975</v>
      </c>
      <c r="K283" t="str">
        <f t="shared" si="43"/>
        <v>More expensive than it should be</v>
      </c>
    </row>
    <row r="284" spans="1:11">
      <c r="A284">
        <v>283</v>
      </c>
      <c r="B284">
        <f>IF(J283&gt;-0.4,B283+ROUNDUP(E283/50,0)*50,ROUNDUP(MAX(MIN(VLOOKUP(A284,Overview!$A$4:$K$202,11)/3*0.6,IF(A284&gt;2,B283+MIN(MAX(A283*50,1850),(B283-B282)*1.22,(B283-B282)+150),999)),B283+(B283-B282)),0))</f>
        <v>1003323</v>
      </c>
      <c r="C284">
        <f t="shared" si="38"/>
        <v>501662</v>
      </c>
      <c r="D284">
        <f t="shared" si="39"/>
        <v>3550</v>
      </c>
      <c r="E284">
        <f t="shared" si="40"/>
        <v>3545</v>
      </c>
      <c r="F284">
        <f>VLOOKUP(A284-1,Overview!$A$4:$K$202,11)/3*0.6</f>
        <v>753991.2</v>
      </c>
      <c r="G284" s="272">
        <f t="shared" si="41"/>
        <v>0.33068263926687758</v>
      </c>
      <c r="H284">
        <f>SUM(B$2:B284)*3</f>
        <v>357973791</v>
      </c>
      <c r="I284">
        <f>VLOOKUP(A284,Overview!A$4:L$202,12)</f>
        <v>259640016</v>
      </c>
      <c r="J284" s="158">
        <f t="shared" si="42"/>
        <v>0.3787312006636141</v>
      </c>
      <c r="K284" t="str">
        <f t="shared" si="43"/>
        <v>More expensive than it should be</v>
      </c>
    </row>
    <row r="285" spans="1:11">
      <c r="A285">
        <v>284</v>
      </c>
      <c r="B285">
        <f>IF(J284&gt;-0.4,B284+ROUNDUP(E284/50,0)*50,ROUNDUP(MAX(MIN(VLOOKUP(A285,Overview!$A$4:$K$202,11)/3*0.6,IF(A285&gt;2,B284+MIN(MAX(A284*50,1850),(B284-B283)*1.22,(B284-B283)+150),999)),B284+(B284-B283)),0))</f>
        <v>1006873</v>
      </c>
      <c r="C285">
        <f t="shared" si="38"/>
        <v>503437</v>
      </c>
      <c r="D285">
        <f t="shared" si="39"/>
        <v>3550</v>
      </c>
      <c r="E285">
        <f t="shared" si="40"/>
        <v>3545</v>
      </c>
      <c r="F285">
        <f>VLOOKUP(A285-1,Overview!$A$4:$K$202,11)/3*0.6</f>
        <v>753991.2</v>
      </c>
      <c r="G285" s="272">
        <f t="shared" si="41"/>
        <v>0.33539091702927037</v>
      </c>
      <c r="H285">
        <f>SUM(B$2:B285)*3</f>
        <v>360994410</v>
      </c>
      <c r="I285">
        <f>VLOOKUP(A285,Overview!A$4:L$202,12)</f>
        <v>259640016</v>
      </c>
      <c r="J285" s="158">
        <f t="shared" si="42"/>
        <v>0.39036507377198748</v>
      </c>
      <c r="K285" t="str">
        <f t="shared" si="43"/>
        <v>More expensive than it should be</v>
      </c>
    </row>
    <row r="286" spans="1:11">
      <c r="A286">
        <v>285</v>
      </c>
      <c r="B286">
        <f>IF(J285&gt;-0.4,B285+ROUNDUP(E285/50,0)*50,ROUNDUP(MAX(MIN(VLOOKUP(A286,Overview!$A$4:$K$202,11)/3*0.6,IF(A286&gt;2,B285+MIN(MAX(A285*50,1850),(B285-B284)*1.22,(B285-B284)+150),999)),B285+(B285-B284)),0))</f>
        <v>1010423</v>
      </c>
      <c r="C286">
        <f t="shared" si="38"/>
        <v>505212</v>
      </c>
      <c r="D286">
        <f t="shared" si="39"/>
        <v>3550</v>
      </c>
      <c r="E286">
        <f t="shared" si="40"/>
        <v>3545</v>
      </c>
      <c r="F286">
        <f>VLOOKUP(A286-1,Overview!$A$4:$K$202,11)/3*0.6</f>
        <v>753991.2</v>
      </c>
      <c r="G286" s="272">
        <f t="shared" si="41"/>
        <v>0.3400991947916634</v>
      </c>
      <c r="H286">
        <f>SUM(B$2:B286)*3</f>
        <v>364025679</v>
      </c>
      <c r="I286">
        <f>VLOOKUP(A286,Overview!A$4:L$202,12)</f>
        <v>259640016</v>
      </c>
      <c r="J286" s="158">
        <f t="shared" si="42"/>
        <v>0.40203996521090946</v>
      </c>
      <c r="K286" t="str">
        <f t="shared" si="43"/>
        <v>More expensive than it should be</v>
      </c>
    </row>
    <row r="287" spans="1:11">
      <c r="A287">
        <v>286</v>
      </c>
      <c r="B287">
        <f>IF(J286&gt;-0.4,B286+ROUNDUP(E286/50,0)*50,ROUNDUP(MAX(MIN(VLOOKUP(A287,Overview!$A$4:$K$202,11)/3*0.6,IF(A287&gt;2,B286+MIN(MAX(A286*50,1850),(B286-B285)*1.22,(B286-B285)+150),999)),B286+(B286-B285)),0))</f>
        <v>1013973</v>
      </c>
      <c r="C287">
        <f t="shared" si="38"/>
        <v>506987</v>
      </c>
      <c r="D287">
        <f t="shared" si="39"/>
        <v>3550</v>
      </c>
      <c r="E287">
        <f t="shared" si="40"/>
        <v>3545</v>
      </c>
      <c r="F287">
        <f>VLOOKUP(A287-1,Overview!$A$4:$K$202,11)/3*0.6</f>
        <v>753991.2</v>
      </c>
      <c r="G287" s="272">
        <f t="shared" si="41"/>
        <v>0.34480747255405642</v>
      </c>
      <c r="H287">
        <f>SUM(B$2:B287)*3</f>
        <v>367067598</v>
      </c>
      <c r="I287">
        <f>VLOOKUP(A287,Overview!A$4:L$202,12)</f>
        <v>259640016</v>
      </c>
      <c r="J287" s="158">
        <f t="shared" si="42"/>
        <v>0.41375587498038047</v>
      </c>
      <c r="K287" t="str">
        <f t="shared" si="43"/>
        <v>More expensive than it should be</v>
      </c>
    </row>
    <row r="288" spans="1:11">
      <c r="A288">
        <v>287</v>
      </c>
      <c r="B288">
        <f>IF(J287&gt;-0.4,B287+ROUNDUP(E287/50,0)*50,ROUNDUP(MAX(MIN(VLOOKUP(A288,Overview!$A$4:$K$202,11)/3*0.6,IF(A288&gt;2,B287+MIN(MAX(A287*50,1850),(B287-B286)*1.22,(B287-B286)+150),999)),B287+(B287-B286)),0))</f>
        <v>1017523</v>
      </c>
      <c r="C288">
        <f t="shared" si="38"/>
        <v>508762</v>
      </c>
      <c r="D288">
        <f t="shared" si="39"/>
        <v>3550</v>
      </c>
      <c r="E288">
        <f t="shared" si="40"/>
        <v>3545</v>
      </c>
      <c r="F288">
        <f>VLOOKUP(A288-1,Overview!$A$4:$K$202,11)/3*0.6</f>
        <v>753991.2</v>
      </c>
      <c r="G288" s="272">
        <f t="shared" si="41"/>
        <v>0.34951575031644944</v>
      </c>
      <c r="H288">
        <f>SUM(B$2:B288)*3</f>
        <v>370120167</v>
      </c>
      <c r="I288">
        <f>VLOOKUP(A288,Overview!A$4:L$202,12)</f>
        <v>259640016</v>
      </c>
      <c r="J288" s="158">
        <f t="shared" si="42"/>
        <v>0.42551280308040029</v>
      </c>
      <c r="K288" t="str">
        <f t="shared" si="43"/>
        <v>More expensive than it should be</v>
      </c>
    </row>
    <row r="289" spans="1:11">
      <c r="A289">
        <v>288</v>
      </c>
      <c r="B289">
        <f>IF(J288&gt;-0.4,B288+ROUNDUP(E288/50,0)*50,ROUNDUP(MAX(MIN(VLOOKUP(A289,Overview!$A$4:$K$202,11)/3*0.6,IF(A289&gt;2,B288+MIN(MAX(A288*50,1850),(B288-B287)*1.22,(B288-B287)+150),999)),B288+(B288-B287)),0))</f>
        <v>1021073</v>
      </c>
      <c r="C289">
        <f t="shared" si="38"/>
        <v>510537</v>
      </c>
      <c r="D289">
        <f t="shared" si="39"/>
        <v>3550</v>
      </c>
      <c r="E289">
        <f t="shared" si="40"/>
        <v>3545</v>
      </c>
      <c r="F289">
        <f>VLOOKUP(A289-1,Overview!$A$4:$K$202,11)/3*0.6</f>
        <v>753991.2</v>
      </c>
      <c r="G289" s="272">
        <f t="shared" si="41"/>
        <v>0.35422402807884246</v>
      </c>
      <c r="H289">
        <f>SUM(B$2:B289)*3</f>
        <v>373183386</v>
      </c>
      <c r="I289">
        <f>VLOOKUP(A289,Overview!A$4:L$202,12)</f>
        <v>259640016</v>
      </c>
      <c r="J289" s="158">
        <f t="shared" si="42"/>
        <v>0.43731074951096915</v>
      </c>
      <c r="K289" t="str">
        <f t="shared" si="43"/>
        <v>More expensive than it should be</v>
      </c>
    </row>
    <row r="290" spans="1:11">
      <c r="A290">
        <v>289</v>
      </c>
      <c r="B290">
        <f>IF(J289&gt;-0.4,B289+ROUNDUP(E289/50,0)*50,ROUNDUP(MAX(MIN(VLOOKUP(A290,Overview!$A$4:$K$202,11)/3*0.6,IF(A290&gt;2,B289+MIN(MAX(A289*50,1850),(B289-B288)*1.22,(B289-B288)+150),999)),B289+(B289-B288)),0))</f>
        <v>1024623</v>
      </c>
      <c r="C290">
        <f t="shared" si="38"/>
        <v>512312</v>
      </c>
      <c r="D290">
        <f t="shared" si="39"/>
        <v>3550</v>
      </c>
      <c r="E290">
        <f t="shared" si="40"/>
        <v>3545</v>
      </c>
      <c r="F290">
        <f>VLOOKUP(A290-1,Overview!$A$4:$K$202,11)/3*0.6</f>
        <v>753991.2</v>
      </c>
      <c r="G290" s="272">
        <f t="shared" si="41"/>
        <v>0.35893230584123548</v>
      </c>
      <c r="H290">
        <f>SUM(B$2:B290)*3</f>
        <v>376257255</v>
      </c>
      <c r="I290">
        <f>VLOOKUP(A290,Overview!A$4:L$202,12)</f>
        <v>259640016</v>
      </c>
      <c r="J290" s="158">
        <f t="shared" si="42"/>
        <v>0.44914971427208661</v>
      </c>
      <c r="K290" t="str">
        <f t="shared" si="43"/>
        <v>More expensive than it should be</v>
      </c>
    </row>
    <row r="291" spans="1:11">
      <c r="A291">
        <v>290</v>
      </c>
      <c r="B291">
        <f>IF(J290&gt;-0.4,B290+ROUNDUP(E290/50,0)*50,ROUNDUP(MAX(MIN(VLOOKUP(A291,Overview!$A$4:$K$202,11)/3*0.6,IF(A291&gt;2,B290+MIN(MAX(A290*50,1850),(B290-B289)*1.22,(B290-B289)+150),999)),B290+(B290-B289)),0))</f>
        <v>1028173</v>
      </c>
      <c r="C291">
        <f t="shared" si="38"/>
        <v>514087</v>
      </c>
      <c r="D291">
        <f t="shared" si="39"/>
        <v>3550</v>
      </c>
      <c r="E291">
        <f t="shared" si="40"/>
        <v>3545</v>
      </c>
      <c r="F291">
        <f>VLOOKUP(A291-1,Overview!$A$4:$K$202,11)/3*0.6</f>
        <v>753991.2</v>
      </c>
      <c r="G291" s="272">
        <f t="shared" si="41"/>
        <v>0.36364058360362828</v>
      </c>
      <c r="H291">
        <f>SUM(B$2:B291)*3</f>
        <v>379341774</v>
      </c>
      <c r="I291">
        <f>VLOOKUP(A291,Overview!A$4:L$202,12)</f>
        <v>259640016</v>
      </c>
      <c r="J291" s="158">
        <f t="shared" si="42"/>
        <v>0.4610296973637531</v>
      </c>
      <c r="K291" t="str">
        <f t="shared" si="43"/>
        <v>More expensive than it should be</v>
      </c>
    </row>
    <row r="292" spans="1:11">
      <c r="A292">
        <v>291</v>
      </c>
      <c r="B292">
        <f>IF(J291&gt;-0.4,B291+ROUNDUP(E291/50,0)*50,ROUNDUP(MAX(MIN(VLOOKUP(A292,Overview!$A$4:$K$202,11)/3*0.6,IF(A292&gt;2,B291+MIN(MAX(A291*50,1850),(B291-B290)*1.22,(B291-B290)+150),999)),B291+(B291-B290)),0))</f>
        <v>1031723</v>
      </c>
      <c r="C292">
        <f t="shared" si="38"/>
        <v>515862</v>
      </c>
      <c r="D292">
        <f t="shared" si="39"/>
        <v>3550</v>
      </c>
      <c r="E292">
        <f t="shared" si="40"/>
        <v>3545</v>
      </c>
      <c r="F292">
        <f>VLOOKUP(A292-1,Overview!$A$4:$K$202,11)/3*0.6</f>
        <v>753991.2</v>
      </c>
      <c r="G292" s="272">
        <f t="shared" si="41"/>
        <v>0.3683488613660213</v>
      </c>
      <c r="H292">
        <f>SUM(B$2:B292)*3</f>
        <v>382436943</v>
      </c>
      <c r="I292">
        <f>VLOOKUP(A292,Overview!A$4:L$202,12)</f>
        <v>259640016</v>
      </c>
      <c r="J292" s="158">
        <f t="shared" si="42"/>
        <v>0.4729506987859684</v>
      </c>
      <c r="K292" t="str">
        <f t="shared" si="43"/>
        <v>More expensive than it should be</v>
      </c>
    </row>
    <row r="293" spans="1:11">
      <c r="A293">
        <v>292</v>
      </c>
      <c r="B293">
        <f>IF(J292&gt;-0.4,B292+ROUNDUP(E292/50,0)*50,ROUNDUP(MAX(MIN(VLOOKUP(A293,Overview!$A$4:$K$202,11)/3*0.6,IF(A293&gt;2,B292+MIN(MAX(A292*50,1850),(B292-B291)*1.22,(B292-B291)+150),999)),B292+(B292-B291)),0))</f>
        <v>1035273</v>
      </c>
      <c r="C293">
        <f t="shared" si="38"/>
        <v>517637</v>
      </c>
      <c r="D293">
        <f t="shared" si="39"/>
        <v>3550</v>
      </c>
      <c r="E293">
        <f t="shared" si="40"/>
        <v>3545</v>
      </c>
      <c r="F293">
        <f>VLOOKUP(A293-1,Overview!$A$4:$K$202,11)/3*0.6</f>
        <v>753991.2</v>
      </c>
      <c r="G293" s="272">
        <f t="shared" si="41"/>
        <v>0.37305713912841432</v>
      </c>
      <c r="H293">
        <f>SUM(B$2:B293)*3</f>
        <v>385542762</v>
      </c>
      <c r="I293">
        <f>VLOOKUP(A293,Overview!A$4:L$202,12)</f>
        <v>259640016</v>
      </c>
      <c r="J293" s="158">
        <f t="shared" si="42"/>
        <v>0.48491271853873252</v>
      </c>
      <c r="K293" t="str">
        <f t="shared" si="43"/>
        <v>More expensive than it should be</v>
      </c>
    </row>
    <row r="294" spans="1:11">
      <c r="A294">
        <v>293</v>
      </c>
      <c r="B294">
        <f>IF(J293&gt;-0.4,B293+ROUNDUP(E293/50,0)*50,ROUNDUP(MAX(MIN(VLOOKUP(A294,Overview!$A$4:$K$202,11)/3*0.6,IF(A294&gt;2,B293+MIN(MAX(A293*50,1850),(B293-B292)*1.22,(B293-B292)+150),999)),B293+(B293-B292)),0))</f>
        <v>1038823</v>
      </c>
      <c r="C294">
        <f t="shared" si="38"/>
        <v>519412</v>
      </c>
      <c r="D294">
        <f t="shared" si="39"/>
        <v>3550</v>
      </c>
      <c r="E294">
        <f t="shared" si="40"/>
        <v>3545</v>
      </c>
      <c r="F294">
        <f>VLOOKUP(A294-1,Overview!$A$4:$K$202,11)/3*0.6</f>
        <v>753991.2</v>
      </c>
      <c r="G294" s="272">
        <f t="shared" si="41"/>
        <v>0.37776541689080734</v>
      </c>
      <c r="H294">
        <f>SUM(B$2:B294)*3</f>
        <v>388659231</v>
      </c>
      <c r="I294">
        <f>VLOOKUP(A294,Overview!A$4:L$202,12)</f>
        <v>259640016</v>
      </c>
      <c r="J294" s="158">
        <f t="shared" si="42"/>
        <v>0.49691575662204546</v>
      </c>
      <c r="K294" t="str">
        <f t="shared" si="43"/>
        <v>More expensive than it should be</v>
      </c>
    </row>
    <row r="295" spans="1:11">
      <c r="A295">
        <v>294</v>
      </c>
      <c r="B295">
        <f>IF(J294&gt;-0.4,B294+ROUNDUP(E294/50,0)*50,ROUNDUP(MAX(MIN(VLOOKUP(A295,Overview!$A$4:$K$202,11)/3*0.6,IF(A295&gt;2,B294+MIN(MAX(A294*50,1850),(B294-B293)*1.22,(B294-B293)+150),999)),B294+(B294-B293)),0))</f>
        <v>1042373</v>
      </c>
      <c r="C295">
        <f t="shared" si="38"/>
        <v>521187</v>
      </c>
      <c r="D295">
        <f t="shared" si="39"/>
        <v>3550</v>
      </c>
      <c r="E295">
        <f t="shared" si="40"/>
        <v>3545</v>
      </c>
      <c r="F295">
        <f>VLOOKUP(A295-1,Overview!$A$4:$K$202,11)/3*0.6</f>
        <v>753991.2</v>
      </c>
      <c r="G295" s="272">
        <f t="shared" si="41"/>
        <v>0.38247369465320036</v>
      </c>
      <c r="H295">
        <f>SUM(B$2:B295)*3</f>
        <v>391786350</v>
      </c>
      <c r="I295">
        <f>VLOOKUP(A295,Overview!A$4:L$202,12)</f>
        <v>259640016</v>
      </c>
      <c r="J295" s="158">
        <f t="shared" si="42"/>
        <v>0.50895981303590743</v>
      </c>
      <c r="K295" t="str">
        <f t="shared" si="43"/>
        <v>More expensive than it should be</v>
      </c>
    </row>
    <row r="296" spans="1:11">
      <c r="A296">
        <v>295</v>
      </c>
      <c r="B296">
        <f>IF(J295&gt;-0.4,B295+ROUNDUP(E295/50,0)*50,ROUNDUP(MAX(MIN(VLOOKUP(A296,Overview!$A$4:$K$202,11)/3*0.6,IF(A296&gt;2,B295+MIN(MAX(A295*50,1850),(B295-B294)*1.22,(B295-B294)+150),999)),B295+(B295-B294)),0))</f>
        <v>1045923</v>
      </c>
      <c r="C296">
        <f t="shared" si="38"/>
        <v>522962</v>
      </c>
      <c r="D296">
        <f t="shared" si="39"/>
        <v>3550</v>
      </c>
      <c r="E296">
        <f t="shared" si="40"/>
        <v>3546</v>
      </c>
      <c r="F296">
        <f>VLOOKUP(A296-1,Overview!$A$4:$K$202,11)/3*0.6</f>
        <v>753991.2</v>
      </c>
      <c r="G296" s="272">
        <f t="shared" si="41"/>
        <v>0.38718197241559316</v>
      </c>
      <c r="H296">
        <f>SUM(B$2:B296)*3</f>
        <v>394924119</v>
      </c>
      <c r="I296">
        <f>VLOOKUP(A296,Overview!A$4:L$202,12)</f>
        <v>259640016</v>
      </c>
      <c r="J296" s="158">
        <f t="shared" si="42"/>
        <v>0.52104488778031821</v>
      </c>
      <c r="K296" t="str">
        <f t="shared" si="43"/>
        <v>More expensive than it should be</v>
      </c>
    </row>
    <row r="297" spans="1:11">
      <c r="A297">
        <v>296</v>
      </c>
      <c r="B297">
        <f>IF(J296&gt;-0.4,B296+ROUNDUP(E296/50,0)*50,ROUNDUP(MAX(MIN(VLOOKUP(A297,Overview!$A$4:$K$202,11)/3*0.6,IF(A297&gt;2,B296+MIN(MAX(A296*50,1850),(B296-B295)*1.22,(B296-B295)+150),999)),B296+(B296-B295)),0))</f>
        <v>1049473</v>
      </c>
      <c r="C297">
        <f t="shared" si="38"/>
        <v>524737</v>
      </c>
      <c r="D297">
        <f t="shared" si="39"/>
        <v>3550</v>
      </c>
      <c r="E297">
        <f t="shared" si="40"/>
        <v>3546</v>
      </c>
      <c r="F297">
        <f>VLOOKUP(A297-1,Overview!$A$4:$K$202,11)/3*0.6</f>
        <v>753991.2</v>
      </c>
      <c r="G297" s="272">
        <f t="shared" si="41"/>
        <v>0.39189025017798618</v>
      </c>
      <c r="H297">
        <f>SUM(B$2:B297)*3</f>
        <v>398072538</v>
      </c>
      <c r="I297">
        <f>VLOOKUP(A297,Overview!A$4:L$202,12)</f>
        <v>259640016</v>
      </c>
      <c r="J297" s="158">
        <f t="shared" si="42"/>
        <v>0.53317098085527781</v>
      </c>
      <c r="K297" t="str">
        <f t="shared" si="43"/>
        <v>More expensive than it should be</v>
      </c>
    </row>
    <row r="298" spans="1:11">
      <c r="A298">
        <v>297</v>
      </c>
      <c r="B298">
        <f>IF(J297&gt;-0.4,B297+ROUNDUP(E297/50,0)*50,ROUNDUP(MAX(MIN(VLOOKUP(A298,Overview!$A$4:$K$202,11)/3*0.6,IF(A298&gt;2,B297+MIN(MAX(A297*50,1850),(B297-B296)*1.22,(B297-B296)+150),999)),B297+(B297-B296)),0))</f>
        <v>1053023</v>
      </c>
      <c r="C298">
        <f t="shared" si="38"/>
        <v>526512</v>
      </c>
      <c r="D298">
        <f t="shared" si="39"/>
        <v>3550</v>
      </c>
      <c r="E298">
        <f t="shared" si="40"/>
        <v>3546</v>
      </c>
      <c r="F298">
        <f>VLOOKUP(A298-1,Overview!$A$4:$K$202,11)/3*0.6</f>
        <v>753991.2</v>
      </c>
      <c r="G298" s="272">
        <f t="shared" si="41"/>
        <v>0.3965985279403792</v>
      </c>
      <c r="H298">
        <f>SUM(B$2:B298)*3</f>
        <v>401231607</v>
      </c>
      <c r="I298">
        <f>VLOOKUP(A298,Overview!A$4:L$202,12)</f>
        <v>259640016</v>
      </c>
      <c r="J298" s="158">
        <f t="shared" si="42"/>
        <v>0.54533809226078622</v>
      </c>
      <c r="K298" t="str">
        <f t="shared" si="43"/>
        <v>More expensive than it should be</v>
      </c>
    </row>
    <row r="299" spans="1:11">
      <c r="A299">
        <v>298</v>
      </c>
      <c r="B299">
        <f>IF(J298&gt;-0.4,B298+ROUNDUP(E298/50,0)*50,ROUNDUP(MAX(MIN(VLOOKUP(A299,Overview!$A$4:$K$202,11)/3*0.6,IF(A299&gt;2,B298+MIN(MAX(A298*50,1850),(B298-B297)*1.22,(B298-B297)+150),999)),B298+(B298-B297)),0))</f>
        <v>1056573</v>
      </c>
      <c r="C299">
        <f t="shared" si="38"/>
        <v>528287</v>
      </c>
      <c r="D299">
        <f t="shared" si="39"/>
        <v>3550</v>
      </c>
      <c r="E299">
        <f t="shared" si="40"/>
        <v>3546</v>
      </c>
      <c r="F299">
        <f>VLOOKUP(A299-1,Overview!$A$4:$K$202,11)/3*0.6</f>
        <v>753991.2</v>
      </c>
      <c r="G299" s="272">
        <f t="shared" si="41"/>
        <v>0.40130680570277222</v>
      </c>
      <c r="H299">
        <f>SUM(B$2:B299)*3</f>
        <v>404401326</v>
      </c>
      <c r="I299">
        <f>VLOOKUP(A299,Overview!A$4:L$202,12)</f>
        <v>259640016</v>
      </c>
      <c r="J299" s="158">
        <f t="shared" si="42"/>
        <v>0.55754622199684345</v>
      </c>
      <c r="K299" t="str">
        <f t="shared" si="43"/>
        <v>More expensive than it should be</v>
      </c>
    </row>
    <row r="300" spans="1:11">
      <c r="A300">
        <v>299</v>
      </c>
      <c r="B300">
        <f>IF(J299&gt;-0.4,B299+ROUNDUP(E299/50,0)*50,ROUNDUP(MAX(MIN(VLOOKUP(A300,Overview!$A$4:$K$202,11)/3*0.6,IF(A300&gt;2,B299+MIN(MAX(A299*50,1850),(B299-B298)*1.22,(B299-B298)+150),999)),B299+(B299-B298)),0))</f>
        <v>1060123</v>
      </c>
      <c r="C300">
        <f t="shared" si="38"/>
        <v>530062</v>
      </c>
      <c r="D300">
        <f t="shared" si="39"/>
        <v>3550</v>
      </c>
      <c r="E300">
        <f t="shared" si="40"/>
        <v>3546</v>
      </c>
      <c r="F300">
        <f>VLOOKUP(A300-1,Overview!$A$4:$K$202,11)/3*0.6</f>
        <v>753991.2</v>
      </c>
      <c r="G300" s="272">
        <f t="shared" si="41"/>
        <v>0.40601508346516524</v>
      </c>
      <c r="H300">
        <f>SUM(B$2:B300)*3</f>
        <v>407581695</v>
      </c>
      <c r="I300">
        <f>VLOOKUP(A300,Overview!A$4:L$202,12)</f>
        <v>259640016</v>
      </c>
      <c r="J300" s="158">
        <f t="shared" si="42"/>
        <v>0.56979537006344971</v>
      </c>
      <c r="K300" t="str">
        <f t="shared" si="43"/>
        <v>More expensive than it should be</v>
      </c>
    </row>
    <row r="301" spans="1:11">
      <c r="A301">
        <v>300</v>
      </c>
      <c r="B301">
        <f>IF(J300&gt;-0.4,B300+ROUNDUP(E300/50,0)*50,ROUNDUP(MAX(MIN(VLOOKUP(A301,Overview!$A$4:$K$202,11)/3*0.6,IF(A301&gt;2,B300+MIN(MAX(A300*50,1850),(B300-B299)*1.22,(B300-B299)+150),999)),B300+(B300-B299)),0))</f>
        <v>1063673</v>
      </c>
      <c r="C301">
        <f t="shared" si="38"/>
        <v>531837</v>
      </c>
      <c r="D301">
        <f t="shared" si="39"/>
        <v>3550</v>
      </c>
      <c r="E301">
        <f t="shared" si="40"/>
        <v>3546</v>
      </c>
      <c r="F301">
        <f>VLOOKUP(A301-1,Overview!$A$4:$K$202,11)/3*0.6</f>
        <v>753991.2</v>
      </c>
      <c r="G301" s="272">
        <f t="shared" si="41"/>
        <v>0.41072336122755826</v>
      </c>
      <c r="H301">
        <f>SUM(B$2:B301)*3</f>
        <v>410772714</v>
      </c>
      <c r="I301">
        <f>VLOOKUP(A301,Overview!A$4:L$202,12)</f>
        <v>259640016</v>
      </c>
      <c r="J301" s="158">
        <f t="shared" si="42"/>
        <v>0.58208553646060479</v>
      </c>
      <c r="K301" t="str">
        <f t="shared" si="43"/>
        <v>More expensive than it should be</v>
      </c>
    </row>
    <row r="302" spans="1:11">
      <c r="A302">
        <v>301</v>
      </c>
      <c r="B302">
        <f>IF(J301&gt;-0.4,B301+ROUNDUP(E301/50,0)*50,ROUNDUP(MAX(MIN(VLOOKUP(A302,Overview!$A$4:$K$202,11)/3*0.6,IF(A302&gt;2,B301+MIN(MAX(A301*50,1850),(B301-B300)*1.22,(B301-B300)+150),999)),B301+(B301-B300)),0))</f>
        <v>1067223</v>
      </c>
      <c r="C302">
        <f t="shared" si="38"/>
        <v>533612</v>
      </c>
      <c r="D302">
        <f t="shared" si="39"/>
        <v>3550</v>
      </c>
      <c r="E302">
        <f t="shared" si="40"/>
        <v>3546</v>
      </c>
      <c r="F302">
        <f>VLOOKUP(A302-1,Overview!$A$4:$K$202,11)/3*0.6</f>
        <v>753991.2</v>
      </c>
      <c r="G302" s="272">
        <f t="shared" si="41"/>
        <v>0.41543163898995106</v>
      </c>
      <c r="H302">
        <f>SUM(B$2:B302)*3</f>
        <v>413974383</v>
      </c>
      <c r="I302">
        <f>VLOOKUP(A302,Overview!A$4:L$202,12)</f>
        <v>259640016</v>
      </c>
      <c r="J302" s="158">
        <f t="shared" si="42"/>
        <v>0.59441672118830868</v>
      </c>
      <c r="K302" t="str">
        <f t="shared" si="43"/>
        <v>More expensive than it should be</v>
      </c>
    </row>
    <row r="303" spans="1:11">
      <c r="A303">
        <v>302</v>
      </c>
      <c r="B303">
        <f>IF(J302&gt;-0.4,B302+ROUNDUP(E302/50,0)*50,ROUNDUP(MAX(MIN(VLOOKUP(A303,Overview!$A$4:$K$202,11)/3*0.6,IF(A303&gt;2,B302+MIN(MAX(A302*50,1850),(B302-B301)*1.22,(B302-B301)+150),999)),B302+(B302-B301)),0))</f>
        <v>1070773</v>
      </c>
      <c r="C303">
        <f t="shared" si="38"/>
        <v>535387</v>
      </c>
      <c r="D303">
        <f t="shared" si="39"/>
        <v>3550</v>
      </c>
      <c r="E303">
        <f t="shared" si="40"/>
        <v>3546</v>
      </c>
      <c r="F303">
        <f>VLOOKUP(A303-1,Overview!$A$4:$K$202,11)/3*0.6</f>
        <v>753991.2</v>
      </c>
      <c r="G303" s="272">
        <f t="shared" si="41"/>
        <v>0.42013991675234408</v>
      </c>
      <c r="H303">
        <f>SUM(B$2:B303)*3</f>
        <v>417186702</v>
      </c>
      <c r="I303">
        <f>VLOOKUP(A303,Overview!A$4:L$202,12)</f>
        <v>259640016</v>
      </c>
      <c r="J303" s="158">
        <f t="shared" si="42"/>
        <v>0.60678892424656139</v>
      </c>
      <c r="K303" t="str">
        <f t="shared" si="43"/>
        <v>More expensive than it should be</v>
      </c>
    </row>
    <row r="304" spans="1:11">
      <c r="A304">
        <v>303</v>
      </c>
      <c r="B304">
        <f>IF(J303&gt;-0.4,B303+ROUNDUP(E303/50,0)*50,ROUNDUP(MAX(MIN(VLOOKUP(A304,Overview!$A$4:$K$202,11)/3*0.6,IF(A304&gt;2,B303+MIN(MAX(A303*50,1850),(B303-B302)*1.22,(B303-B302)+150),999)),B303+(B303-B302)),0))</f>
        <v>1074323</v>
      </c>
      <c r="C304">
        <f t="shared" si="38"/>
        <v>537162</v>
      </c>
      <c r="D304">
        <f t="shared" si="39"/>
        <v>3550</v>
      </c>
      <c r="E304">
        <f t="shared" si="40"/>
        <v>3546</v>
      </c>
      <c r="F304">
        <f>VLOOKUP(A304-1,Overview!$A$4:$K$202,11)/3*0.6</f>
        <v>753991.2</v>
      </c>
      <c r="G304" s="272">
        <f t="shared" si="41"/>
        <v>0.4248481945147371</v>
      </c>
      <c r="H304">
        <f>SUM(B$2:B304)*3</f>
        <v>420409671</v>
      </c>
      <c r="I304">
        <f>VLOOKUP(A304,Overview!A$4:L$202,12)</f>
        <v>259640016</v>
      </c>
      <c r="J304" s="158">
        <f t="shared" si="42"/>
        <v>0.61920214563536313</v>
      </c>
      <c r="K304" t="str">
        <f t="shared" si="43"/>
        <v>More expensive than it should be</v>
      </c>
    </row>
    <row r="305" spans="1:11">
      <c r="A305">
        <v>304</v>
      </c>
      <c r="B305">
        <f>IF(J304&gt;-0.4,B304+ROUNDUP(E304/50,0)*50,ROUNDUP(MAX(MIN(VLOOKUP(A305,Overview!$A$4:$K$202,11)/3*0.6,IF(A305&gt;2,B304+MIN(MAX(A304*50,1850),(B304-B303)*1.22,(B304-B303)+150),999)),B304+(B304-B303)),0))</f>
        <v>1077873</v>
      </c>
      <c r="C305">
        <f t="shared" si="38"/>
        <v>538937</v>
      </c>
      <c r="D305">
        <f t="shared" si="39"/>
        <v>3550</v>
      </c>
      <c r="E305">
        <f t="shared" si="40"/>
        <v>3546</v>
      </c>
      <c r="F305">
        <f>VLOOKUP(A305-1,Overview!$A$4:$K$202,11)/3*0.6</f>
        <v>753991.2</v>
      </c>
      <c r="G305" s="272">
        <f t="shared" si="41"/>
        <v>0.42955647227713012</v>
      </c>
      <c r="H305">
        <f>SUM(B$2:B305)*3</f>
        <v>423643290</v>
      </c>
      <c r="I305">
        <f>VLOOKUP(A305,Overview!A$4:L$202,12)</f>
        <v>259640016</v>
      </c>
      <c r="J305" s="158">
        <f t="shared" si="42"/>
        <v>0.63165638535471369</v>
      </c>
      <c r="K305" t="str">
        <f t="shared" si="43"/>
        <v>More expensive than it should be</v>
      </c>
    </row>
    <row r="306" spans="1:11">
      <c r="A306">
        <v>305</v>
      </c>
      <c r="B306">
        <f>IF(J305&gt;-0.4,B305+ROUNDUP(E305/50,0)*50,ROUNDUP(MAX(MIN(VLOOKUP(A306,Overview!$A$4:$K$202,11)/3*0.6,IF(A306&gt;2,B305+MIN(MAX(A305*50,1850),(B305-B304)*1.22,(B305-B304)+150),999)),B305+(B305-B304)),0))</f>
        <v>1081423</v>
      </c>
      <c r="C306">
        <f t="shared" si="38"/>
        <v>540712</v>
      </c>
      <c r="D306">
        <f t="shared" si="39"/>
        <v>3550</v>
      </c>
      <c r="E306">
        <f t="shared" si="40"/>
        <v>3546</v>
      </c>
      <c r="F306">
        <f>VLOOKUP(A306-1,Overview!$A$4:$K$202,11)/3*0.6</f>
        <v>753991.2</v>
      </c>
      <c r="G306" s="272">
        <f t="shared" si="41"/>
        <v>0.43426475003952314</v>
      </c>
      <c r="H306">
        <f>SUM(B$2:B306)*3</f>
        <v>426887559</v>
      </c>
      <c r="I306">
        <f>VLOOKUP(A306,Overview!A$4:L$202,12)</f>
        <v>259640016</v>
      </c>
      <c r="J306" s="158">
        <f t="shared" si="42"/>
        <v>0.64415164340461284</v>
      </c>
      <c r="K306" t="str">
        <f t="shared" si="43"/>
        <v>More expensive than it should be</v>
      </c>
    </row>
    <row r="307" spans="1:11">
      <c r="A307">
        <v>306</v>
      </c>
      <c r="B307">
        <f>IF(J306&gt;-0.4,B306+ROUNDUP(E306/50,0)*50,ROUNDUP(MAX(MIN(VLOOKUP(A307,Overview!$A$4:$K$202,11)/3*0.6,IF(A307&gt;2,B306+MIN(MAX(A306*50,1850),(B306-B305)*1.22,(B306-B305)+150),999)),B306+(B306-B305)),0))</f>
        <v>1084973</v>
      </c>
      <c r="C307">
        <f t="shared" si="38"/>
        <v>542487</v>
      </c>
      <c r="D307">
        <f t="shared" si="39"/>
        <v>3550</v>
      </c>
      <c r="E307">
        <f t="shared" si="40"/>
        <v>3546</v>
      </c>
      <c r="F307">
        <f>VLOOKUP(A307-1,Overview!$A$4:$K$202,11)/3*0.6</f>
        <v>753991.2</v>
      </c>
      <c r="G307" s="272">
        <f t="shared" si="41"/>
        <v>0.43897302780191616</v>
      </c>
      <c r="H307">
        <f>SUM(B$2:B307)*3</f>
        <v>430142478</v>
      </c>
      <c r="I307">
        <f>VLOOKUP(A307,Overview!A$4:L$202,12)</f>
        <v>259640016</v>
      </c>
      <c r="J307" s="158">
        <f t="shared" si="42"/>
        <v>0.65668791978506125</v>
      </c>
      <c r="K307" t="str">
        <f t="shared" si="43"/>
        <v>More expensive than it should be</v>
      </c>
    </row>
    <row r="308" spans="1:11">
      <c r="A308">
        <v>307</v>
      </c>
      <c r="B308">
        <f>IF(J307&gt;-0.4,B307+ROUNDUP(E307/50,0)*50,ROUNDUP(MAX(MIN(VLOOKUP(A308,Overview!$A$4:$K$202,11)/3*0.6,IF(A308&gt;2,B307+MIN(MAX(A307*50,1850),(B307-B306)*1.22,(B307-B306)+150),999)),B307+(B307-B306)),0))</f>
        <v>1088523</v>
      </c>
      <c r="C308">
        <f t="shared" si="38"/>
        <v>544262</v>
      </c>
      <c r="D308">
        <f t="shared" si="39"/>
        <v>3550</v>
      </c>
      <c r="E308">
        <f t="shared" si="40"/>
        <v>3546</v>
      </c>
      <c r="F308">
        <f>VLOOKUP(A308-1,Overview!$A$4:$K$202,11)/3*0.6</f>
        <v>753991.2</v>
      </c>
      <c r="G308" s="272">
        <f t="shared" si="41"/>
        <v>0.44368130556430896</v>
      </c>
      <c r="H308">
        <f>SUM(B$2:B308)*3</f>
        <v>433408047</v>
      </c>
      <c r="I308">
        <f>VLOOKUP(A308,Overview!A$4:L$202,12)</f>
        <v>259640016</v>
      </c>
      <c r="J308" s="158">
        <f t="shared" si="42"/>
        <v>0.66926521449605825</v>
      </c>
      <c r="K308" t="str">
        <f t="shared" si="43"/>
        <v>More expensive than it should be</v>
      </c>
    </row>
    <row r="309" spans="1:11">
      <c r="A309">
        <v>308</v>
      </c>
      <c r="B309">
        <f>IF(J308&gt;-0.4,B308+ROUNDUP(E308/50,0)*50,ROUNDUP(MAX(MIN(VLOOKUP(A309,Overview!$A$4:$K$202,11)/3*0.6,IF(A309&gt;2,B308+MIN(MAX(A308*50,1850),(B308-B307)*1.22,(B308-B307)+150),999)),B308+(B308-B307)),0))</f>
        <v>1092073</v>
      </c>
      <c r="C309">
        <f t="shared" si="38"/>
        <v>546037</v>
      </c>
      <c r="D309">
        <f t="shared" si="39"/>
        <v>3550</v>
      </c>
      <c r="E309">
        <f t="shared" si="40"/>
        <v>3546</v>
      </c>
      <c r="F309">
        <f>VLOOKUP(A309-1,Overview!$A$4:$K$202,11)/3*0.6</f>
        <v>753991.2</v>
      </c>
      <c r="G309" s="272">
        <f t="shared" si="41"/>
        <v>0.44838958332670198</v>
      </c>
      <c r="H309">
        <f>SUM(B$2:B309)*3</f>
        <v>436684266</v>
      </c>
      <c r="I309">
        <f>VLOOKUP(A309,Overview!A$4:L$202,12)</f>
        <v>259640016</v>
      </c>
      <c r="J309" s="158">
        <f t="shared" si="42"/>
        <v>0.68188352753760428</v>
      </c>
      <c r="K309" t="str">
        <f t="shared" si="43"/>
        <v>More expensive than it should be</v>
      </c>
    </row>
    <row r="310" spans="1:11">
      <c r="A310">
        <v>309</v>
      </c>
      <c r="B310">
        <f>IF(J309&gt;-0.4,B309+ROUNDUP(E309/50,0)*50,ROUNDUP(MAX(MIN(VLOOKUP(A310,Overview!$A$4:$K$202,11)/3*0.6,IF(A310&gt;2,B309+MIN(MAX(A309*50,1850),(B309-B308)*1.22,(B309-B308)+150),999)),B309+(B309-B308)),0))</f>
        <v>1095623</v>
      </c>
      <c r="C310">
        <f t="shared" si="38"/>
        <v>547812</v>
      </c>
      <c r="D310">
        <f t="shared" si="39"/>
        <v>3550</v>
      </c>
      <c r="E310">
        <f t="shared" si="40"/>
        <v>3546</v>
      </c>
      <c r="F310">
        <f>VLOOKUP(A310-1,Overview!$A$4:$K$202,11)/3*0.6</f>
        <v>753991.2</v>
      </c>
      <c r="G310" s="272">
        <f t="shared" si="41"/>
        <v>0.453097861089095</v>
      </c>
      <c r="H310">
        <f>SUM(B$2:B310)*3</f>
        <v>439971135</v>
      </c>
      <c r="I310">
        <f>VLOOKUP(A310,Overview!A$4:L$202,12)</f>
        <v>259640016</v>
      </c>
      <c r="J310" s="158">
        <f t="shared" si="42"/>
        <v>0.69454285890969913</v>
      </c>
      <c r="K310" t="str">
        <f t="shared" si="43"/>
        <v>More expensive than it should be</v>
      </c>
    </row>
    <row r="311" spans="1:11">
      <c r="A311">
        <v>310</v>
      </c>
      <c r="B311">
        <f>IF(J310&gt;-0.4,B310+ROUNDUP(E310/50,0)*50,ROUNDUP(MAX(MIN(VLOOKUP(A311,Overview!$A$4:$K$202,11)/3*0.6,IF(A311&gt;2,B310+MIN(MAX(A310*50,1850),(B310-B309)*1.22,(B310-B309)+150),999)),B310+(B310-B309)),0))</f>
        <v>1099173</v>
      </c>
      <c r="C311">
        <f t="shared" si="38"/>
        <v>549587</v>
      </c>
      <c r="D311">
        <f t="shared" si="39"/>
        <v>3550</v>
      </c>
      <c r="E311">
        <f t="shared" si="40"/>
        <v>3546</v>
      </c>
      <c r="F311">
        <f>VLOOKUP(A311-1,Overview!$A$4:$K$202,11)/3*0.6</f>
        <v>753991.2</v>
      </c>
      <c r="G311" s="272">
        <f t="shared" si="41"/>
        <v>0.45780613885148802</v>
      </c>
      <c r="H311">
        <f>SUM(B$2:B311)*3</f>
        <v>443268654</v>
      </c>
      <c r="I311">
        <f>VLOOKUP(A311,Overview!A$4:L$202,12)</f>
        <v>259640016</v>
      </c>
      <c r="J311" s="158">
        <f t="shared" si="42"/>
        <v>0.7072432086123428</v>
      </c>
      <c r="K311" t="str">
        <f t="shared" si="43"/>
        <v>More expensive than it should be</v>
      </c>
    </row>
    <row r="312" spans="1:11">
      <c r="A312">
        <v>311</v>
      </c>
      <c r="B312">
        <f>IF(J311&gt;-0.4,B311+ROUNDUP(E311/50,0)*50,ROUNDUP(MAX(MIN(VLOOKUP(A312,Overview!$A$4:$K$202,11)/3*0.6,IF(A312&gt;2,B311+MIN(MAX(A311*50,1850),(B311-B310)*1.22,(B311-B310)+150),999)),B311+(B311-B310)),0))</f>
        <v>1102723</v>
      </c>
      <c r="C312">
        <f t="shared" si="38"/>
        <v>551362</v>
      </c>
      <c r="D312">
        <f t="shared" si="39"/>
        <v>3550</v>
      </c>
      <c r="E312">
        <f t="shared" si="40"/>
        <v>3546</v>
      </c>
      <c r="F312">
        <f>VLOOKUP(A312-1,Overview!$A$4:$K$202,11)/3*0.6</f>
        <v>753991.2</v>
      </c>
      <c r="G312" s="272">
        <f t="shared" si="41"/>
        <v>0.46251441661388104</v>
      </c>
      <c r="H312">
        <f>SUM(B$2:B312)*3</f>
        <v>446576823</v>
      </c>
      <c r="I312">
        <f>VLOOKUP(A312,Overview!A$4:L$202,12)</f>
        <v>259640016</v>
      </c>
      <c r="J312" s="158">
        <f t="shared" si="42"/>
        <v>0.71998457664553528</v>
      </c>
      <c r="K312" t="str">
        <f t="shared" si="43"/>
        <v>More expensive than it should be</v>
      </c>
    </row>
    <row r="313" spans="1:11">
      <c r="A313">
        <v>312</v>
      </c>
      <c r="B313">
        <f>IF(J312&gt;-0.4,B312+ROUNDUP(E312/50,0)*50,ROUNDUP(MAX(MIN(VLOOKUP(A313,Overview!$A$4:$K$202,11)/3*0.6,IF(A313&gt;2,B312+MIN(MAX(A312*50,1850),(B312-B311)*1.22,(B312-B311)+150),999)),B312+(B312-B311)),0))</f>
        <v>1106273</v>
      </c>
      <c r="C313">
        <f t="shared" si="38"/>
        <v>553137</v>
      </c>
      <c r="D313">
        <f t="shared" si="39"/>
        <v>3550</v>
      </c>
      <c r="E313">
        <f t="shared" si="40"/>
        <v>3546</v>
      </c>
      <c r="F313">
        <f>VLOOKUP(A313-1,Overview!$A$4:$K$202,11)/3*0.6</f>
        <v>753991.2</v>
      </c>
      <c r="G313" s="272">
        <f t="shared" si="41"/>
        <v>0.46722269437627406</v>
      </c>
      <c r="H313">
        <f>SUM(B$2:B313)*3</f>
        <v>449895642</v>
      </c>
      <c r="I313">
        <f>VLOOKUP(A313,Overview!A$4:L$202,12)</f>
        <v>259640016</v>
      </c>
      <c r="J313" s="158">
        <f t="shared" si="42"/>
        <v>0.73276696300927657</v>
      </c>
      <c r="K313" t="str">
        <f t="shared" si="43"/>
        <v>More expensive than it should be</v>
      </c>
    </row>
    <row r="314" spans="1:11">
      <c r="A314">
        <v>313</v>
      </c>
      <c r="B314">
        <f>IF(J313&gt;-0.4,B313+ROUNDUP(E313/50,0)*50,ROUNDUP(MAX(MIN(VLOOKUP(A314,Overview!$A$4:$K$202,11)/3*0.6,IF(A314&gt;2,B313+MIN(MAX(A313*50,1850),(B313-B312)*1.22,(B313-B312)+150),999)),B313+(B313-B312)),0))</f>
        <v>1109823</v>
      </c>
      <c r="C314">
        <f t="shared" si="38"/>
        <v>554912</v>
      </c>
      <c r="D314">
        <f t="shared" si="39"/>
        <v>3550</v>
      </c>
      <c r="E314">
        <f t="shared" si="40"/>
        <v>3546</v>
      </c>
      <c r="F314">
        <f>VLOOKUP(A314-1,Overview!$A$4:$K$202,11)/3*0.6</f>
        <v>753991.2</v>
      </c>
      <c r="G314" s="272">
        <f t="shared" si="41"/>
        <v>0.47193097213866686</v>
      </c>
      <c r="H314">
        <f>SUM(B$2:B314)*3</f>
        <v>453225111</v>
      </c>
      <c r="I314">
        <f>VLOOKUP(A314,Overview!A$4:L$202,12)</f>
        <v>259640016</v>
      </c>
      <c r="J314" s="158">
        <f t="shared" si="42"/>
        <v>0.7455903677035669</v>
      </c>
      <c r="K314" t="str">
        <f t="shared" si="43"/>
        <v>More expensive than it should be</v>
      </c>
    </row>
    <row r="315" spans="1:11">
      <c r="A315">
        <v>314</v>
      </c>
      <c r="B315">
        <f>IF(J314&gt;-0.4,B314+ROUNDUP(E314/50,0)*50,ROUNDUP(MAX(MIN(VLOOKUP(A315,Overview!$A$4:$K$202,11)/3*0.6,IF(A315&gt;2,B314+MIN(MAX(A314*50,1850),(B314-B313)*1.22,(B314-B313)+150),999)),B314+(B314-B313)),0))</f>
        <v>1113373</v>
      </c>
      <c r="C315">
        <f t="shared" si="38"/>
        <v>556687</v>
      </c>
      <c r="D315">
        <f t="shared" si="39"/>
        <v>3550</v>
      </c>
      <c r="E315">
        <f t="shared" si="40"/>
        <v>3546</v>
      </c>
      <c r="F315">
        <f>VLOOKUP(A315-1,Overview!$A$4:$K$202,11)/3*0.6</f>
        <v>753991.2</v>
      </c>
      <c r="G315" s="272">
        <f t="shared" si="41"/>
        <v>0.47663924990105988</v>
      </c>
      <c r="H315">
        <f>SUM(B$2:B315)*3</f>
        <v>456565230</v>
      </c>
      <c r="I315">
        <f>VLOOKUP(A315,Overview!A$4:L$202,12)</f>
        <v>259640016</v>
      </c>
      <c r="J315" s="158">
        <f t="shared" si="42"/>
        <v>0.75845479072840605</v>
      </c>
      <c r="K315" t="str">
        <f t="shared" si="43"/>
        <v>More expensive than it should be</v>
      </c>
    </row>
    <row r="316" spans="1:11">
      <c r="A316">
        <v>315</v>
      </c>
      <c r="B316">
        <f>IF(J315&gt;-0.4,B315+ROUNDUP(E315/50,0)*50,ROUNDUP(MAX(MIN(VLOOKUP(A316,Overview!$A$4:$K$202,11)/3*0.6,IF(A316&gt;2,B315+MIN(MAX(A315*50,1850),(B315-B314)*1.22,(B315-B314)+150),999)),B315+(B315-B314)),0))</f>
        <v>1116923</v>
      </c>
      <c r="C316">
        <f t="shared" si="38"/>
        <v>558462</v>
      </c>
      <c r="D316">
        <f t="shared" si="39"/>
        <v>3550</v>
      </c>
      <c r="E316">
        <f t="shared" si="40"/>
        <v>3546</v>
      </c>
      <c r="F316">
        <f>VLOOKUP(A316-1,Overview!$A$4:$K$202,11)/3*0.6</f>
        <v>753991.2</v>
      </c>
      <c r="G316" s="272">
        <f t="shared" si="41"/>
        <v>0.4813475276634529</v>
      </c>
      <c r="H316">
        <f>SUM(B$2:B316)*3</f>
        <v>459915999</v>
      </c>
      <c r="I316">
        <f>VLOOKUP(A316,Overview!A$4:L$202,12)</f>
        <v>259640016</v>
      </c>
      <c r="J316" s="158">
        <f t="shared" si="42"/>
        <v>0.77136023208379401</v>
      </c>
      <c r="K316" t="str">
        <f t="shared" si="43"/>
        <v>More expensive than it should be</v>
      </c>
    </row>
    <row r="317" spans="1:11">
      <c r="A317">
        <v>316</v>
      </c>
      <c r="B317">
        <f>IF(J316&gt;-0.4,B316+ROUNDUP(E316/50,0)*50,ROUNDUP(MAX(MIN(VLOOKUP(A317,Overview!$A$4:$K$202,11)/3*0.6,IF(A317&gt;2,B316+MIN(MAX(A316*50,1850),(B316-B315)*1.22,(B316-B315)+150),999)),B316+(B316-B315)),0))</f>
        <v>1120473</v>
      </c>
      <c r="C317">
        <f t="shared" si="38"/>
        <v>560237</v>
      </c>
      <c r="D317">
        <f t="shared" si="39"/>
        <v>3550</v>
      </c>
      <c r="E317">
        <f t="shared" si="40"/>
        <v>3546</v>
      </c>
      <c r="F317">
        <f>VLOOKUP(A317-1,Overview!$A$4:$K$202,11)/3*0.6</f>
        <v>753991.2</v>
      </c>
      <c r="G317" s="272">
        <f t="shared" si="41"/>
        <v>0.48605580542584592</v>
      </c>
      <c r="H317">
        <f>SUM(B$2:B317)*3</f>
        <v>463277418</v>
      </c>
      <c r="I317">
        <f>VLOOKUP(A317,Overview!A$4:L$202,12)</f>
        <v>259640016</v>
      </c>
      <c r="J317" s="158">
        <f t="shared" si="42"/>
        <v>0.784306691769731</v>
      </c>
      <c r="K317" t="str">
        <f t="shared" si="43"/>
        <v>More expensive than it should be</v>
      </c>
    </row>
    <row r="318" spans="1:11">
      <c r="A318">
        <v>317</v>
      </c>
      <c r="B318">
        <f>IF(J317&gt;-0.4,B317+ROUNDUP(E317/50,0)*50,ROUNDUP(MAX(MIN(VLOOKUP(A318,Overview!$A$4:$K$202,11)/3*0.6,IF(A318&gt;2,B317+MIN(MAX(A317*50,1850),(B317-B316)*1.22,(B317-B316)+150),999)),B317+(B317-B316)),0))</f>
        <v>1124023</v>
      </c>
      <c r="C318">
        <f t="shared" si="38"/>
        <v>562012</v>
      </c>
      <c r="D318">
        <f t="shared" si="39"/>
        <v>3550</v>
      </c>
      <c r="E318">
        <f t="shared" si="40"/>
        <v>3546</v>
      </c>
      <c r="F318">
        <f>VLOOKUP(A318-1,Overview!$A$4:$K$202,11)/3*0.6</f>
        <v>753991.2</v>
      </c>
      <c r="G318" s="272">
        <f t="shared" si="41"/>
        <v>0.49076408318823894</v>
      </c>
      <c r="H318">
        <f>SUM(B$2:B318)*3</f>
        <v>466649487</v>
      </c>
      <c r="I318">
        <f>VLOOKUP(A318,Overview!A$4:L$202,12)</f>
        <v>259640016</v>
      </c>
      <c r="J318" s="158">
        <f t="shared" si="42"/>
        <v>0.79729416978621659</v>
      </c>
      <c r="K318" t="str">
        <f t="shared" si="43"/>
        <v>More expensive than it should be</v>
      </c>
    </row>
    <row r="319" spans="1:11">
      <c r="A319">
        <v>318</v>
      </c>
      <c r="B319">
        <f>IF(J318&gt;-0.4,B318+ROUNDUP(E318/50,0)*50,ROUNDUP(MAX(MIN(VLOOKUP(A319,Overview!$A$4:$K$202,11)/3*0.6,IF(A319&gt;2,B318+MIN(MAX(A318*50,1850),(B318-B317)*1.22,(B318-B317)+150),999)),B318+(B318-B317)),0))</f>
        <v>1127573</v>
      </c>
      <c r="C319">
        <f t="shared" si="38"/>
        <v>563787</v>
      </c>
      <c r="D319">
        <f t="shared" si="39"/>
        <v>3550</v>
      </c>
      <c r="E319">
        <f t="shared" si="40"/>
        <v>3546</v>
      </c>
      <c r="F319">
        <f>VLOOKUP(A319-1,Overview!$A$4:$K$202,11)/3*0.6</f>
        <v>753991.2</v>
      </c>
      <c r="G319" s="272">
        <f t="shared" si="41"/>
        <v>0.49547236095063196</v>
      </c>
      <c r="H319">
        <f>SUM(B$2:B319)*3</f>
        <v>470032206</v>
      </c>
      <c r="I319">
        <f>VLOOKUP(A319,Overview!A$4:L$202,12)</f>
        <v>259640016</v>
      </c>
      <c r="J319" s="158">
        <f t="shared" si="42"/>
        <v>0.81032266613325121</v>
      </c>
      <c r="K319" t="str">
        <f t="shared" si="43"/>
        <v>More expensive than it should be</v>
      </c>
    </row>
    <row r="320" spans="1:11">
      <c r="A320">
        <v>319</v>
      </c>
      <c r="B320">
        <f>IF(J319&gt;-0.4,B319+ROUNDUP(E319/50,0)*50,ROUNDUP(MAX(MIN(VLOOKUP(A320,Overview!$A$4:$K$202,11)/3*0.6,IF(A320&gt;2,B319+MIN(MAX(A319*50,1850),(B319-B318)*1.22,(B319-B318)+150),999)),B319+(B319-B318)),0))</f>
        <v>1131123</v>
      </c>
      <c r="C320">
        <f t="shared" si="38"/>
        <v>565562</v>
      </c>
      <c r="D320">
        <f t="shared" si="39"/>
        <v>3550</v>
      </c>
      <c r="E320">
        <f t="shared" si="40"/>
        <v>3546</v>
      </c>
      <c r="F320">
        <f>VLOOKUP(A320-1,Overview!$A$4:$K$202,11)/3*0.6</f>
        <v>753991.2</v>
      </c>
      <c r="G320" s="272">
        <f t="shared" si="41"/>
        <v>0.50018063871302476</v>
      </c>
      <c r="H320">
        <f>SUM(B$2:B320)*3</f>
        <v>473425575</v>
      </c>
      <c r="I320">
        <f>VLOOKUP(A320,Overview!A$4:L$202,12)</f>
        <v>259640016</v>
      </c>
      <c r="J320" s="158">
        <f t="shared" si="42"/>
        <v>0.82339218081083465</v>
      </c>
      <c r="K320" t="str">
        <f t="shared" si="43"/>
        <v>More expensive than it should be</v>
      </c>
    </row>
    <row r="321" spans="1:11">
      <c r="A321">
        <v>320</v>
      </c>
      <c r="B321">
        <f>IF(J320&gt;-0.4,B320+ROUNDUP(E320/50,0)*50,ROUNDUP(MAX(MIN(VLOOKUP(A321,Overview!$A$4:$K$202,11)/3*0.6,IF(A321&gt;2,B320+MIN(MAX(A320*50,1850),(B320-B319)*1.22,(B320-B319)+150),999)),B320+(B320-B319)),0))</f>
        <v>1134673</v>
      </c>
      <c r="C321">
        <f t="shared" si="38"/>
        <v>567337</v>
      </c>
      <c r="D321">
        <f t="shared" si="39"/>
        <v>3550</v>
      </c>
      <c r="E321">
        <f t="shared" si="40"/>
        <v>3546</v>
      </c>
      <c r="F321">
        <f>VLOOKUP(A321-1,Overview!$A$4:$K$202,11)/3*0.6</f>
        <v>753991.2</v>
      </c>
      <c r="G321" s="272">
        <f t="shared" si="41"/>
        <v>0.50488891647541778</v>
      </c>
      <c r="H321">
        <f>SUM(B$2:B321)*3</f>
        <v>476829594</v>
      </c>
      <c r="I321">
        <f>VLOOKUP(A321,Overview!A$4:L$202,12)</f>
        <v>259640016</v>
      </c>
      <c r="J321" s="158">
        <f t="shared" si="42"/>
        <v>0.8365027138189669</v>
      </c>
      <c r="K321" t="str">
        <f t="shared" si="43"/>
        <v>More expensive than it should be</v>
      </c>
    </row>
    <row r="322" spans="1:11">
      <c r="A322">
        <v>321</v>
      </c>
      <c r="B322">
        <f>IF(J321&gt;-0.4,B321+ROUNDUP(E321/50,0)*50,ROUNDUP(MAX(MIN(VLOOKUP(A322,Overview!$A$4:$K$202,11)/3*0.6,IF(A322&gt;2,B321+MIN(MAX(A321*50,1850),(B321-B320)*1.22,(B321-B320)+150),999)),B321+(B321-B320)),0))</f>
        <v>1138223</v>
      </c>
      <c r="C322">
        <f t="shared" si="38"/>
        <v>569112</v>
      </c>
      <c r="D322">
        <f t="shared" si="39"/>
        <v>3550</v>
      </c>
      <c r="E322">
        <f t="shared" si="40"/>
        <v>3546</v>
      </c>
      <c r="F322">
        <f>VLOOKUP(A322-1,Overview!$A$4:$K$202,11)/3*0.6</f>
        <v>753991.2</v>
      </c>
      <c r="G322" s="272">
        <f t="shared" si="41"/>
        <v>0.5095971942378108</v>
      </c>
      <c r="H322">
        <f>SUM(B$2:B322)*3</f>
        <v>480244263</v>
      </c>
      <c r="I322">
        <f>VLOOKUP(A322,Overview!A$4:L$202,12)</f>
        <v>259640016</v>
      </c>
      <c r="J322" s="158">
        <f t="shared" si="42"/>
        <v>0.84965426515764819</v>
      </c>
      <c r="K322" t="str">
        <f t="shared" si="43"/>
        <v>More expensive than it should be</v>
      </c>
    </row>
    <row r="323" spans="1:11">
      <c r="A323">
        <v>322</v>
      </c>
      <c r="B323">
        <f>IF(J322&gt;-0.4,B322+ROUNDUP(E322/50,0)*50,ROUNDUP(MAX(MIN(VLOOKUP(A323,Overview!$A$4:$K$202,11)/3*0.6,IF(A323&gt;2,B322+MIN(MAX(A322*50,1850),(B322-B321)*1.22,(B322-B321)+150),999)),B322+(B322-B321)),0))</f>
        <v>1141773</v>
      </c>
      <c r="C323">
        <f t="shared" si="38"/>
        <v>570887</v>
      </c>
      <c r="D323">
        <f t="shared" si="39"/>
        <v>3550</v>
      </c>
      <c r="E323">
        <f t="shared" si="40"/>
        <v>3546</v>
      </c>
      <c r="F323">
        <f>VLOOKUP(A323-1,Overview!$A$4:$K$202,11)/3*0.6</f>
        <v>753991.2</v>
      </c>
      <c r="G323" s="272">
        <f t="shared" si="41"/>
        <v>0.51430547200020382</v>
      </c>
      <c r="H323">
        <f>SUM(B$2:B323)*3</f>
        <v>483669582</v>
      </c>
      <c r="I323">
        <f>VLOOKUP(A323,Overview!A$4:L$202,12)</f>
        <v>259640016</v>
      </c>
      <c r="J323" s="158">
        <f t="shared" si="42"/>
        <v>0.86284683482687807</v>
      </c>
      <c r="K323" t="str">
        <f t="shared" si="43"/>
        <v>More expensive than it should be</v>
      </c>
    </row>
    <row r="324" spans="1:11">
      <c r="A324">
        <v>323</v>
      </c>
      <c r="B324">
        <f>IF(J323&gt;-0.4,B323+ROUNDUP(E323/50,0)*50,ROUNDUP(MAX(MIN(VLOOKUP(A324,Overview!$A$4:$K$202,11)/3*0.6,IF(A324&gt;2,B323+MIN(MAX(A323*50,1850),(B323-B322)*1.22,(B323-B322)+150),999)),B323+(B323-B322)),0))</f>
        <v>1145323</v>
      </c>
      <c r="C324">
        <f t="shared" si="38"/>
        <v>572662</v>
      </c>
      <c r="D324">
        <f t="shared" si="39"/>
        <v>3550</v>
      </c>
      <c r="E324">
        <f t="shared" si="40"/>
        <v>3546</v>
      </c>
      <c r="F324">
        <f>VLOOKUP(A324-1,Overview!$A$4:$K$202,11)/3*0.6</f>
        <v>753991.2</v>
      </c>
      <c r="G324" s="272">
        <f t="shared" si="41"/>
        <v>0.51901374976259684</v>
      </c>
      <c r="H324">
        <f>SUM(B$2:B324)*3</f>
        <v>487105551</v>
      </c>
      <c r="I324">
        <f>VLOOKUP(A324,Overview!A$4:L$202,12)</f>
        <v>259640016</v>
      </c>
      <c r="J324" s="158">
        <f t="shared" si="42"/>
        <v>0.87608042282665699</v>
      </c>
      <c r="K324" t="str">
        <f t="shared" si="43"/>
        <v>More expensive than it should be</v>
      </c>
    </row>
    <row r="325" spans="1:11">
      <c r="A325">
        <v>324</v>
      </c>
      <c r="B325">
        <f>IF(J324&gt;-0.4,B324+ROUNDUP(E324/50,0)*50,ROUNDUP(MAX(MIN(VLOOKUP(A325,Overview!$A$4:$K$202,11)/3*0.6,IF(A325&gt;2,B324+MIN(MAX(A324*50,1850),(B324-B323)*1.22,(B324-B323)+150),999)),B324+(B324-B323)),0))</f>
        <v>1148873</v>
      </c>
      <c r="C325">
        <f t="shared" si="38"/>
        <v>574437</v>
      </c>
      <c r="D325">
        <f t="shared" si="39"/>
        <v>3550</v>
      </c>
      <c r="E325">
        <f t="shared" si="40"/>
        <v>3546</v>
      </c>
      <c r="F325">
        <f>VLOOKUP(A325-1,Overview!$A$4:$K$202,11)/3*0.6</f>
        <v>753991.2</v>
      </c>
      <c r="G325" s="272">
        <f t="shared" si="41"/>
        <v>0.52372202752498986</v>
      </c>
      <c r="H325">
        <f>SUM(B$2:B325)*3</f>
        <v>490552170</v>
      </c>
      <c r="I325">
        <f>VLOOKUP(A325,Overview!A$4:L$202,12)</f>
        <v>259640016</v>
      </c>
      <c r="J325" s="158">
        <f t="shared" si="42"/>
        <v>0.88935502915698472</v>
      </c>
      <c r="K325" t="str">
        <f t="shared" si="43"/>
        <v>More expensive than it should be</v>
      </c>
    </row>
    <row r="326" spans="1:11">
      <c r="A326">
        <v>325</v>
      </c>
      <c r="B326">
        <f>IF(J325&gt;-0.4,B325+ROUNDUP(E325/50,0)*50,ROUNDUP(MAX(MIN(VLOOKUP(A326,Overview!$A$4:$K$202,11)/3*0.6,IF(A326&gt;2,B325+MIN(MAX(A325*50,1850),(B325-B324)*1.22,(B325-B324)+150),999)),B325+(B325-B324)),0))</f>
        <v>1152423</v>
      </c>
      <c r="C326">
        <f t="shared" si="38"/>
        <v>576212</v>
      </c>
      <c r="D326">
        <f t="shared" si="39"/>
        <v>3550</v>
      </c>
      <c r="E326">
        <f t="shared" si="40"/>
        <v>3546</v>
      </c>
      <c r="F326">
        <f>VLOOKUP(A326-1,Overview!$A$4:$K$202,11)/3*0.6</f>
        <v>753991.2</v>
      </c>
      <c r="G326" s="272">
        <f t="shared" si="41"/>
        <v>0.52843030528738266</v>
      </c>
      <c r="H326">
        <f>SUM(B$2:B326)*3</f>
        <v>494009439</v>
      </c>
      <c r="I326">
        <f>VLOOKUP(A326,Overview!A$4:L$202,12)</f>
        <v>259640016</v>
      </c>
      <c r="J326" s="158">
        <f t="shared" si="42"/>
        <v>0.90267065381786149</v>
      </c>
      <c r="K326" t="str">
        <f t="shared" si="43"/>
        <v>More expensive than it should be</v>
      </c>
    </row>
    <row r="327" spans="1:11">
      <c r="A327">
        <v>326</v>
      </c>
      <c r="B327">
        <f>IF(J326&gt;-0.4,B326+ROUNDUP(E326/50,0)*50,ROUNDUP(MAX(MIN(VLOOKUP(A327,Overview!$A$4:$K$202,11)/3*0.6,IF(A327&gt;2,B326+MIN(MAX(A326*50,1850),(B326-B325)*1.22,(B326-B325)+150),999)),B326+(B326-B325)),0))</f>
        <v>1155973</v>
      </c>
      <c r="C327">
        <f t="shared" si="38"/>
        <v>577987</v>
      </c>
      <c r="D327">
        <f t="shared" si="39"/>
        <v>3550</v>
      </c>
      <c r="E327">
        <f t="shared" si="40"/>
        <v>3546</v>
      </c>
      <c r="F327">
        <f>VLOOKUP(A327-1,Overview!$A$4:$K$202,11)/3*0.6</f>
        <v>753991.2</v>
      </c>
      <c r="G327" s="272">
        <f t="shared" si="41"/>
        <v>0.53313858304977568</v>
      </c>
      <c r="H327">
        <f>SUM(B$2:B327)*3</f>
        <v>497477358</v>
      </c>
      <c r="I327">
        <f>VLOOKUP(A327,Overview!A$4:L$202,12)</f>
        <v>259640016</v>
      </c>
      <c r="J327" s="158">
        <f t="shared" si="42"/>
        <v>0.91602729680928685</v>
      </c>
      <c r="K327" t="str">
        <f t="shared" si="43"/>
        <v>More expensive than it should be</v>
      </c>
    </row>
    <row r="328" spans="1:11">
      <c r="A328">
        <v>327</v>
      </c>
      <c r="B328">
        <f>IF(J327&gt;-0.4,B327+ROUNDUP(E327/50,0)*50,ROUNDUP(MAX(MIN(VLOOKUP(A328,Overview!$A$4:$K$202,11)/3*0.6,IF(A328&gt;2,B327+MIN(MAX(A327*50,1850),(B327-B326)*1.22,(B327-B326)+150),999)),B327+(B327-B326)),0))</f>
        <v>1159523</v>
      </c>
      <c r="C328">
        <f t="shared" si="38"/>
        <v>579762</v>
      </c>
      <c r="D328">
        <f t="shared" si="39"/>
        <v>3550</v>
      </c>
      <c r="E328">
        <f t="shared" si="40"/>
        <v>3546</v>
      </c>
      <c r="F328">
        <f>VLOOKUP(A328-1,Overview!$A$4:$K$202,11)/3*0.6</f>
        <v>753991.2</v>
      </c>
      <c r="G328" s="272">
        <f t="shared" si="41"/>
        <v>0.5378468608121687</v>
      </c>
      <c r="H328">
        <f>SUM(B$2:B328)*3</f>
        <v>500955927</v>
      </c>
      <c r="I328">
        <f>VLOOKUP(A328,Overview!A$4:L$202,12)</f>
        <v>259640016</v>
      </c>
      <c r="J328" s="158">
        <f t="shared" si="42"/>
        <v>0.92942495813126125</v>
      </c>
      <c r="K328" t="str">
        <f t="shared" si="43"/>
        <v>More expensive than it should be</v>
      </c>
    </row>
    <row r="329" spans="1:11">
      <c r="A329">
        <v>328</v>
      </c>
      <c r="B329">
        <f>IF(J328&gt;-0.4,B328+ROUNDUP(E328/50,0)*50,ROUNDUP(MAX(MIN(VLOOKUP(A329,Overview!$A$4:$K$202,11)/3*0.6,IF(A329&gt;2,B328+MIN(MAX(A328*50,1850),(B328-B327)*1.22,(B328-B327)+150),999)),B328+(B328-B327)),0))</f>
        <v>1163073</v>
      </c>
      <c r="C329">
        <f t="shared" ref="C329:C392" si="44">ROUND(B329/2,0)</f>
        <v>581537</v>
      </c>
      <c r="D329">
        <f t="shared" ref="D329:D392" si="45">B329-B328</f>
        <v>3550</v>
      </c>
      <c r="E329">
        <f t="shared" ref="E329:E392" si="46">ROUND(B329/A329,0)</f>
        <v>3546</v>
      </c>
      <c r="F329">
        <f>VLOOKUP(A329-1,Overview!$A$4:$K$202,11)/3*0.6</f>
        <v>753991.2</v>
      </c>
      <c r="G329" s="272">
        <f t="shared" ref="G329:G392" si="47">B329/F329-1</f>
        <v>0.54255513857456172</v>
      </c>
      <c r="H329">
        <f>SUM(B$2:B329)*3</f>
        <v>504445146</v>
      </c>
      <c r="I329">
        <f>VLOOKUP(A329,Overview!A$4:L$202,12)</f>
        <v>259640016</v>
      </c>
      <c r="J329" s="158">
        <f t="shared" ref="J329:J392" si="48">H329/I329-1</f>
        <v>0.94286363778378446</v>
      </c>
      <c r="K329" t="str">
        <f t="shared" ref="K329:K392" si="49">IF(J329&lt;-0.5,"Cheaper than it should be",IF(J329&gt;-0.3,"More expensive than it should be","about perfect"))</f>
        <v>More expensive than it should be</v>
      </c>
    </row>
    <row r="330" spans="1:11">
      <c r="A330">
        <v>329</v>
      </c>
      <c r="B330">
        <f>IF(J329&gt;-0.4,B329+ROUNDUP(E329/50,0)*50,ROUNDUP(MAX(MIN(VLOOKUP(A330,Overview!$A$4:$K$202,11)/3*0.6,IF(A330&gt;2,B329+MIN(MAX(A329*50,1850),(B329-B328)*1.22,(B329-B328)+150),999)),B329+(B329-B328)),0))</f>
        <v>1166623</v>
      </c>
      <c r="C330">
        <f t="shared" si="44"/>
        <v>583312</v>
      </c>
      <c r="D330">
        <f t="shared" si="45"/>
        <v>3550</v>
      </c>
      <c r="E330">
        <f t="shared" si="46"/>
        <v>3546</v>
      </c>
      <c r="F330">
        <f>VLOOKUP(A330-1,Overview!$A$4:$K$202,11)/3*0.6</f>
        <v>753991.2</v>
      </c>
      <c r="G330" s="272">
        <f t="shared" si="47"/>
        <v>0.54726341633695474</v>
      </c>
      <c r="H330">
        <f>SUM(B$2:B330)*3</f>
        <v>507945015</v>
      </c>
      <c r="I330">
        <f>VLOOKUP(A330,Overview!A$4:L$202,12)</f>
        <v>259640016</v>
      </c>
      <c r="J330" s="158">
        <f t="shared" si="48"/>
        <v>0.95634333576685648</v>
      </c>
      <c r="K330" t="str">
        <f t="shared" si="49"/>
        <v>More expensive than it should be</v>
      </c>
    </row>
    <row r="331" spans="1:11">
      <c r="A331">
        <v>330</v>
      </c>
      <c r="B331">
        <f>IF(J330&gt;-0.4,B330+ROUNDUP(E330/50,0)*50,ROUNDUP(MAX(MIN(VLOOKUP(A331,Overview!$A$4:$K$202,11)/3*0.6,IF(A331&gt;2,B330+MIN(MAX(A330*50,1850),(B330-B329)*1.22,(B330-B329)+150),999)),B330+(B330-B329)),0))</f>
        <v>1170173</v>
      </c>
      <c r="C331">
        <f t="shared" si="44"/>
        <v>585087</v>
      </c>
      <c r="D331">
        <f t="shared" si="45"/>
        <v>3550</v>
      </c>
      <c r="E331">
        <f t="shared" si="46"/>
        <v>3546</v>
      </c>
      <c r="F331">
        <f>VLOOKUP(A331-1,Overview!$A$4:$K$202,11)/3*0.6</f>
        <v>753991.2</v>
      </c>
      <c r="G331" s="272">
        <f t="shared" si="47"/>
        <v>0.55197169409934776</v>
      </c>
      <c r="H331">
        <f>SUM(B$2:B331)*3</f>
        <v>511455534</v>
      </c>
      <c r="I331">
        <f>VLOOKUP(A331,Overview!A$4:L$202,12)</f>
        <v>259640016</v>
      </c>
      <c r="J331" s="158">
        <f t="shared" si="48"/>
        <v>0.96986405208047755</v>
      </c>
      <c r="K331" t="str">
        <f t="shared" si="49"/>
        <v>More expensive than it should be</v>
      </c>
    </row>
    <row r="332" spans="1:11">
      <c r="A332">
        <v>331</v>
      </c>
      <c r="B332">
        <f>IF(J331&gt;-0.4,B331+ROUNDUP(E331/50,0)*50,ROUNDUP(MAX(MIN(VLOOKUP(A332,Overview!$A$4:$K$202,11)/3*0.6,IF(A332&gt;2,B331+MIN(MAX(A331*50,1850),(B331-B330)*1.22,(B331-B330)+150),999)),B331+(B331-B330)),0))</f>
        <v>1173723</v>
      </c>
      <c r="C332">
        <f t="shared" si="44"/>
        <v>586862</v>
      </c>
      <c r="D332">
        <f t="shared" si="45"/>
        <v>3550</v>
      </c>
      <c r="E332">
        <f t="shared" si="46"/>
        <v>3546</v>
      </c>
      <c r="F332">
        <f>VLOOKUP(A332-1,Overview!$A$4:$K$202,11)/3*0.6</f>
        <v>753991.2</v>
      </c>
      <c r="G332" s="272">
        <f t="shared" si="47"/>
        <v>0.55667997186174056</v>
      </c>
      <c r="H332">
        <f>SUM(B$2:B332)*3</f>
        <v>514976703</v>
      </c>
      <c r="I332">
        <f>VLOOKUP(A332,Overview!A$4:L$202,12)</f>
        <v>259640016</v>
      </c>
      <c r="J332" s="158">
        <f t="shared" si="48"/>
        <v>0.9834257867246472</v>
      </c>
      <c r="K332" t="str">
        <f t="shared" si="49"/>
        <v>More expensive than it should be</v>
      </c>
    </row>
    <row r="333" spans="1:11">
      <c r="A333">
        <v>332</v>
      </c>
      <c r="B333">
        <f>IF(J332&gt;-0.4,B332+ROUNDUP(E332/50,0)*50,ROUNDUP(MAX(MIN(VLOOKUP(A333,Overview!$A$4:$K$202,11)/3*0.6,IF(A333&gt;2,B332+MIN(MAX(A332*50,1850),(B332-B331)*1.22,(B332-B331)+150),999)),B332+(B332-B331)),0))</f>
        <v>1177273</v>
      </c>
      <c r="C333">
        <f t="shared" si="44"/>
        <v>588637</v>
      </c>
      <c r="D333">
        <f t="shared" si="45"/>
        <v>3550</v>
      </c>
      <c r="E333">
        <f t="shared" si="46"/>
        <v>3546</v>
      </c>
      <c r="F333">
        <f>VLOOKUP(A333-1,Overview!$A$4:$K$202,11)/3*0.6</f>
        <v>753991.2</v>
      </c>
      <c r="G333" s="272">
        <f t="shared" si="47"/>
        <v>0.56138824962413358</v>
      </c>
      <c r="H333">
        <f>SUM(B$2:B333)*3</f>
        <v>518508522</v>
      </c>
      <c r="I333">
        <f>VLOOKUP(A333,Overview!A$4:L$202,12)</f>
        <v>259640016</v>
      </c>
      <c r="J333" s="158">
        <f t="shared" si="48"/>
        <v>0.99702853969936589</v>
      </c>
      <c r="K333" t="str">
        <f t="shared" si="49"/>
        <v>More expensive than it should be</v>
      </c>
    </row>
    <row r="334" spans="1:11">
      <c r="A334">
        <v>333</v>
      </c>
      <c r="B334">
        <f>IF(J333&gt;-0.4,B333+ROUNDUP(E333/50,0)*50,ROUNDUP(MAX(MIN(VLOOKUP(A334,Overview!$A$4:$K$202,11)/3*0.6,IF(A334&gt;2,B333+MIN(MAX(A333*50,1850),(B333-B332)*1.22,(B333-B332)+150),999)),B333+(B333-B332)),0))</f>
        <v>1180823</v>
      </c>
      <c r="C334">
        <f t="shared" si="44"/>
        <v>590412</v>
      </c>
      <c r="D334">
        <f t="shared" si="45"/>
        <v>3550</v>
      </c>
      <c r="E334">
        <f t="shared" si="46"/>
        <v>3546</v>
      </c>
      <c r="F334">
        <f>VLOOKUP(A334-1,Overview!$A$4:$K$202,11)/3*0.6</f>
        <v>753991.2</v>
      </c>
      <c r="G334" s="272">
        <f t="shared" si="47"/>
        <v>0.5660965273865266</v>
      </c>
      <c r="H334">
        <f>SUM(B$2:B334)*3</f>
        <v>522050991</v>
      </c>
      <c r="I334">
        <f>VLOOKUP(A334,Overview!A$4:L$202,12)</f>
        <v>259640016</v>
      </c>
      <c r="J334" s="158">
        <f t="shared" si="48"/>
        <v>1.0106723110046336</v>
      </c>
      <c r="K334" t="str">
        <f t="shared" si="49"/>
        <v>More expensive than it should be</v>
      </c>
    </row>
    <row r="335" spans="1:11">
      <c r="A335">
        <v>334</v>
      </c>
      <c r="B335">
        <f>IF(J334&gt;-0.4,B334+ROUNDUP(E334/50,0)*50,ROUNDUP(MAX(MIN(VLOOKUP(A335,Overview!$A$4:$K$202,11)/3*0.6,IF(A335&gt;2,B334+MIN(MAX(A334*50,1850),(B334-B333)*1.22,(B334-B333)+150),999)),B334+(B334-B333)),0))</f>
        <v>1184373</v>
      </c>
      <c r="C335">
        <f t="shared" si="44"/>
        <v>592187</v>
      </c>
      <c r="D335">
        <f t="shared" si="45"/>
        <v>3550</v>
      </c>
      <c r="E335">
        <f t="shared" si="46"/>
        <v>3546</v>
      </c>
      <c r="F335">
        <f>VLOOKUP(A335-1,Overview!$A$4:$K$202,11)/3*0.6</f>
        <v>753991.2</v>
      </c>
      <c r="G335" s="272">
        <f t="shared" si="47"/>
        <v>0.57080480514891963</v>
      </c>
      <c r="H335">
        <f>SUM(B$2:B335)*3</f>
        <v>525604110</v>
      </c>
      <c r="I335">
        <f>VLOOKUP(A335,Overview!A$4:L$202,12)</f>
        <v>259640016</v>
      </c>
      <c r="J335" s="158">
        <f t="shared" si="48"/>
        <v>1.0243571006404499</v>
      </c>
      <c r="K335" t="str">
        <f t="shared" si="49"/>
        <v>More expensive than it should be</v>
      </c>
    </row>
    <row r="336" spans="1:11">
      <c r="A336">
        <v>335</v>
      </c>
      <c r="B336">
        <f>IF(J335&gt;-0.4,B335+ROUNDUP(E335/50,0)*50,ROUNDUP(MAX(MIN(VLOOKUP(A336,Overview!$A$4:$K$202,11)/3*0.6,IF(A336&gt;2,B335+MIN(MAX(A335*50,1850),(B335-B334)*1.22,(B335-B334)+150),999)),B335+(B335-B334)),0))</f>
        <v>1187923</v>
      </c>
      <c r="C336">
        <f t="shared" si="44"/>
        <v>593962</v>
      </c>
      <c r="D336">
        <f t="shared" si="45"/>
        <v>3550</v>
      </c>
      <c r="E336">
        <f t="shared" si="46"/>
        <v>3546</v>
      </c>
      <c r="F336">
        <f>VLOOKUP(A336-1,Overview!$A$4:$K$202,11)/3*0.6</f>
        <v>753991.2</v>
      </c>
      <c r="G336" s="272">
        <f t="shared" si="47"/>
        <v>0.57551308291131265</v>
      </c>
      <c r="H336">
        <f>SUM(B$2:B336)*3</f>
        <v>529167879</v>
      </c>
      <c r="I336">
        <f>VLOOKUP(A336,Overview!A$4:L$202,12)</f>
        <v>259640016</v>
      </c>
      <c r="J336" s="158">
        <f t="shared" si="48"/>
        <v>1.0380829086068148</v>
      </c>
      <c r="K336" t="str">
        <f t="shared" si="49"/>
        <v>More expensive than it should be</v>
      </c>
    </row>
    <row r="337" spans="1:11">
      <c r="A337">
        <v>336</v>
      </c>
      <c r="B337">
        <f>IF(J336&gt;-0.4,B336+ROUNDUP(E336/50,0)*50,ROUNDUP(MAX(MIN(VLOOKUP(A337,Overview!$A$4:$K$202,11)/3*0.6,IF(A337&gt;2,B336+MIN(MAX(A336*50,1850),(B336-B335)*1.22,(B336-B335)+150),999)),B336+(B336-B335)),0))</f>
        <v>1191473</v>
      </c>
      <c r="C337">
        <f t="shared" si="44"/>
        <v>595737</v>
      </c>
      <c r="D337">
        <f t="shared" si="45"/>
        <v>3550</v>
      </c>
      <c r="E337">
        <f t="shared" si="46"/>
        <v>3546</v>
      </c>
      <c r="F337">
        <f>VLOOKUP(A337-1,Overview!$A$4:$K$202,11)/3*0.6</f>
        <v>753991.2</v>
      </c>
      <c r="G337" s="272">
        <f t="shared" si="47"/>
        <v>0.58022136067370567</v>
      </c>
      <c r="H337">
        <f>SUM(B$2:B337)*3</f>
        <v>532742298</v>
      </c>
      <c r="I337">
        <f>VLOOKUP(A337,Overview!A$4:L$202,12)</f>
        <v>259640016</v>
      </c>
      <c r="J337" s="158">
        <f t="shared" si="48"/>
        <v>1.0518497349037292</v>
      </c>
      <c r="K337" t="str">
        <f t="shared" si="49"/>
        <v>More expensive than it should be</v>
      </c>
    </row>
    <row r="338" spans="1:11">
      <c r="A338">
        <v>337</v>
      </c>
      <c r="B338">
        <f>IF(J337&gt;-0.4,B337+ROUNDUP(E337/50,0)*50,ROUNDUP(MAX(MIN(VLOOKUP(A338,Overview!$A$4:$K$202,11)/3*0.6,IF(A338&gt;2,B337+MIN(MAX(A337*50,1850),(B337-B336)*1.22,(B337-B336)+150),999)),B337+(B337-B336)),0))</f>
        <v>1195023</v>
      </c>
      <c r="C338">
        <f t="shared" si="44"/>
        <v>597512</v>
      </c>
      <c r="D338">
        <f t="shared" si="45"/>
        <v>3550</v>
      </c>
      <c r="E338">
        <f t="shared" si="46"/>
        <v>3546</v>
      </c>
      <c r="F338">
        <f>VLOOKUP(A338-1,Overview!$A$4:$K$202,11)/3*0.6</f>
        <v>753991.2</v>
      </c>
      <c r="G338" s="272">
        <f t="shared" si="47"/>
        <v>0.58492963843609846</v>
      </c>
      <c r="H338">
        <f>SUM(B$2:B338)*3</f>
        <v>536327367</v>
      </c>
      <c r="I338">
        <f>VLOOKUP(A338,Overview!A$4:L$202,12)</f>
        <v>259640016</v>
      </c>
      <c r="J338" s="158">
        <f t="shared" si="48"/>
        <v>1.0656575795311922</v>
      </c>
      <c r="K338" t="str">
        <f t="shared" si="49"/>
        <v>More expensive than it should be</v>
      </c>
    </row>
    <row r="339" spans="1:11">
      <c r="A339">
        <v>338</v>
      </c>
      <c r="B339">
        <f>IF(J338&gt;-0.4,B338+ROUNDUP(E338/50,0)*50,ROUNDUP(MAX(MIN(VLOOKUP(A339,Overview!$A$4:$K$202,11)/3*0.6,IF(A339&gt;2,B338+MIN(MAX(A338*50,1850),(B338-B337)*1.22,(B338-B337)+150),999)),B338+(B338-B337)),0))</f>
        <v>1198573</v>
      </c>
      <c r="C339">
        <f t="shared" si="44"/>
        <v>599287</v>
      </c>
      <c r="D339">
        <f t="shared" si="45"/>
        <v>3550</v>
      </c>
      <c r="E339">
        <f t="shared" si="46"/>
        <v>3546</v>
      </c>
      <c r="F339">
        <f>VLOOKUP(A339-1,Overview!$A$4:$K$202,11)/3*0.6</f>
        <v>753991.2</v>
      </c>
      <c r="G339" s="272">
        <f t="shared" si="47"/>
        <v>0.58963791619849149</v>
      </c>
      <c r="H339">
        <f>SUM(B$2:B339)*3</f>
        <v>539923086</v>
      </c>
      <c r="I339">
        <f>VLOOKUP(A339,Overview!A$4:L$202,12)</f>
        <v>259640016</v>
      </c>
      <c r="J339" s="158">
        <f t="shared" si="48"/>
        <v>1.0795064424892038</v>
      </c>
      <c r="K339" t="str">
        <f t="shared" si="49"/>
        <v>More expensive than it should be</v>
      </c>
    </row>
    <row r="340" spans="1:11">
      <c r="A340">
        <v>339</v>
      </c>
      <c r="B340">
        <f>IF(J339&gt;-0.4,B339+ROUNDUP(E339/50,0)*50,ROUNDUP(MAX(MIN(VLOOKUP(A340,Overview!$A$4:$K$202,11)/3*0.6,IF(A340&gt;2,B339+MIN(MAX(A339*50,1850),(B339-B338)*1.22,(B339-B338)+150),999)),B339+(B339-B338)),0))</f>
        <v>1202123</v>
      </c>
      <c r="C340">
        <f t="shared" si="44"/>
        <v>601062</v>
      </c>
      <c r="D340">
        <f t="shared" si="45"/>
        <v>3550</v>
      </c>
      <c r="E340">
        <f t="shared" si="46"/>
        <v>3546</v>
      </c>
      <c r="F340">
        <f>VLOOKUP(A340-1,Overview!$A$4:$K$202,11)/3*0.6</f>
        <v>753991.2</v>
      </c>
      <c r="G340" s="272">
        <f t="shared" si="47"/>
        <v>0.59434619396088451</v>
      </c>
      <c r="H340">
        <f>SUM(B$2:B340)*3</f>
        <v>543529455</v>
      </c>
      <c r="I340">
        <f>VLOOKUP(A340,Overview!A$4:L$202,12)</f>
        <v>259640016</v>
      </c>
      <c r="J340" s="158">
        <f t="shared" si="48"/>
        <v>1.0933963237777649</v>
      </c>
      <c r="K340" t="str">
        <f t="shared" si="49"/>
        <v>More expensive than it should be</v>
      </c>
    </row>
    <row r="341" spans="1:11">
      <c r="A341">
        <v>340</v>
      </c>
      <c r="B341">
        <f>IF(J340&gt;-0.4,B340+ROUNDUP(E340/50,0)*50,ROUNDUP(MAX(MIN(VLOOKUP(A341,Overview!$A$4:$K$202,11)/3*0.6,IF(A341&gt;2,B340+MIN(MAX(A340*50,1850),(B340-B339)*1.22,(B340-B339)+150),999)),B340+(B340-B339)),0))</f>
        <v>1205673</v>
      </c>
      <c r="C341">
        <f t="shared" si="44"/>
        <v>602837</v>
      </c>
      <c r="D341">
        <f t="shared" si="45"/>
        <v>3550</v>
      </c>
      <c r="E341">
        <f t="shared" si="46"/>
        <v>3546</v>
      </c>
      <c r="F341">
        <f>VLOOKUP(A341-1,Overview!$A$4:$K$202,11)/3*0.6</f>
        <v>753991.2</v>
      </c>
      <c r="G341" s="272">
        <f t="shared" si="47"/>
        <v>0.59905447172327753</v>
      </c>
      <c r="H341">
        <f>SUM(B$2:B341)*3</f>
        <v>547146474</v>
      </c>
      <c r="I341">
        <f>VLOOKUP(A341,Overview!A$4:L$202,12)</f>
        <v>259640016</v>
      </c>
      <c r="J341" s="158">
        <f t="shared" si="48"/>
        <v>1.1073272233968741</v>
      </c>
      <c r="K341" t="str">
        <f t="shared" si="49"/>
        <v>More expensive than it should be</v>
      </c>
    </row>
    <row r="342" spans="1:11">
      <c r="A342">
        <v>341</v>
      </c>
      <c r="B342">
        <f>IF(J341&gt;-0.4,B341+ROUNDUP(E341/50,0)*50,ROUNDUP(MAX(MIN(VLOOKUP(A342,Overview!$A$4:$K$202,11)/3*0.6,IF(A342&gt;2,B341+MIN(MAX(A341*50,1850),(B341-B340)*1.22,(B341-B340)+150),999)),B341+(B341-B340)),0))</f>
        <v>1209223</v>
      </c>
      <c r="C342">
        <f t="shared" si="44"/>
        <v>604612</v>
      </c>
      <c r="D342">
        <f t="shared" si="45"/>
        <v>3550</v>
      </c>
      <c r="E342">
        <f t="shared" si="46"/>
        <v>3546</v>
      </c>
      <c r="F342">
        <f>VLOOKUP(A342-1,Overview!$A$4:$K$202,11)/3*0.6</f>
        <v>753991.2</v>
      </c>
      <c r="G342" s="272">
        <f t="shared" si="47"/>
        <v>0.60376274948567055</v>
      </c>
      <c r="H342">
        <f>SUM(B$2:B342)*3</f>
        <v>550774143</v>
      </c>
      <c r="I342">
        <f>VLOOKUP(A342,Overview!A$4:L$202,12)</f>
        <v>259640016</v>
      </c>
      <c r="J342" s="158">
        <f t="shared" si="48"/>
        <v>1.1212991413465327</v>
      </c>
      <c r="K342" t="str">
        <f t="shared" si="49"/>
        <v>More expensive than it should be</v>
      </c>
    </row>
    <row r="343" spans="1:11">
      <c r="A343">
        <v>342</v>
      </c>
      <c r="B343">
        <f>IF(J342&gt;-0.4,B342+ROUNDUP(E342/50,0)*50,ROUNDUP(MAX(MIN(VLOOKUP(A343,Overview!$A$4:$K$202,11)/3*0.6,IF(A343&gt;2,B342+MIN(MAX(A342*50,1850),(B342-B341)*1.22,(B342-B341)+150),999)),B342+(B342-B341)),0))</f>
        <v>1212773</v>
      </c>
      <c r="C343">
        <f t="shared" si="44"/>
        <v>606387</v>
      </c>
      <c r="D343">
        <f t="shared" si="45"/>
        <v>3550</v>
      </c>
      <c r="E343">
        <f t="shared" si="46"/>
        <v>3546</v>
      </c>
      <c r="F343">
        <f>VLOOKUP(A343-1,Overview!$A$4:$K$202,11)/3*0.6</f>
        <v>753991.2</v>
      </c>
      <c r="G343" s="272">
        <f t="shared" si="47"/>
        <v>0.60847102724806357</v>
      </c>
      <c r="H343">
        <f>SUM(B$2:B343)*3</f>
        <v>554412462</v>
      </c>
      <c r="I343">
        <f>VLOOKUP(A343,Overview!A$4:L$202,12)</f>
        <v>259640016</v>
      </c>
      <c r="J343" s="158">
        <f t="shared" si="48"/>
        <v>1.13531207762674</v>
      </c>
      <c r="K343" t="str">
        <f t="shared" si="49"/>
        <v>More expensive than it should be</v>
      </c>
    </row>
    <row r="344" spans="1:11">
      <c r="A344">
        <v>343</v>
      </c>
      <c r="B344">
        <f>IF(J343&gt;-0.4,B343+ROUNDUP(E343/50,0)*50,ROUNDUP(MAX(MIN(VLOOKUP(A344,Overview!$A$4:$K$202,11)/3*0.6,IF(A344&gt;2,B343+MIN(MAX(A343*50,1850),(B343-B342)*1.22,(B343-B342)+150),999)),B343+(B343-B342)),0))</f>
        <v>1216323</v>
      </c>
      <c r="C344">
        <f t="shared" si="44"/>
        <v>608162</v>
      </c>
      <c r="D344">
        <f t="shared" si="45"/>
        <v>3550</v>
      </c>
      <c r="E344">
        <f t="shared" si="46"/>
        <v>3546</v>
      </c>
      <c r="F344">
        <f>VLOOKUP(A344-1,Overview!$A$4:$K$202,11)/3*0.6</f>
        <v>753991.2</v>
      </c>
      <c r="G344" s="272">
        <f t="shared" si="47"/>
        <v>0.61317930501045637</v>
      </c>
      <c r="H344">
        <f>SUM(B$2:B344)*3</f>
        <v>558061431</v>
      </c>
      <c r="I344">
        <f>VLOOKUP(A344,Overview!A$4:L$202,12)</f>
        <v>259640016</v>
      </c>
      <c r="J344" s="158">
        <f t="shared" si="48"/>
        <v>1.1493660322374959</v>
      </c>
      <c r="K344" t="str">
        <f t="shared" si="49"/>
        <v>More expensive than it should be</v>
      </c>
    </row>
    <row r="345" spans="1:11">
      <c r="A345">
        <v>344</v>
      </c>
      <c r="B345">
        <f>IF(J344&gt;-0.4,B344+ROUNDUP(E344/50,0)*50,ROUNDUP(MAX(MIN(VLOOKUP(A345,Overview!$A$4:$K$202,11)/3*0.6,IF(A345&gt;2,B344+MIN(MAX(A344*50,1850),(B344-B343)*1.22,(B344-B343)+150),999)),B344+(B344-B343)),0))</f>
        <v>1219873</v>
      </c>
      <c r="C345">
        <f t="shared" si="44"/>
        <v>609937</v>
      </c>
      <c r="D345">
        <f t="shared" si="45"/>
        <v>3550</v>
      </c>
      <c r="E345">
        <f t="shared" si="46"/>
        <v>3546</v>
      </c>
      <c r="F345">
        <f>VLOOKUP(A345-1,Overview!$A$4:$K$202,11)/3*0.6</f>
        <v>753991.2</v>
      </c>
      <c r="G345" s="272">
        <f t="shared" si="47"/>
        <v>0.61788758277284939</v>
      </c>
      <c r="H345">
        <f>SUM(B$2:B345)*3</f>
        <v>561721050</v>
      </c>
      <c r="I345">
        <f>VLOOKUP(A345,Overview!A$4:L$202,12)</f>
        <v>259640016</v>
      </c>
      <c r="J345" s="158">
        <f t="shared" si="48"/>
        <v>1.1634610051788012</v>
      </c>
      <c r="K345" t="str">
        <f t="shared" si="49"/>
        <v>More expensive than it should be</v>
      </c>
    </row>
    <row r="346" spans="1:11">
      <c r="A346">
        <v>345</v>
      </c>
      <c r="B346">
        <f>IF(J345&gt;-0.4,B345+ROUNDUP(E345/50,0)*50,ROUNDUP(MAX(MIN(VLOOKUP(A346,Overview!$A$4:$K$202,11)/3*0.6,IF(A346&gt;2,B345+MIN(MAX(A345*50,1850),(B345-B344)*1.22,(B345-B344)+150),999)),B345+(B345-B344)),0))</f>
        <v>1223423</v>
      </c>
      <c r="C346">
        <f t="shared" si="44"/>
        <v>611712</v>
      </c>
      <c r="D346">
        <f t="shared" si="45"/>
        <v>3550</v>
      </c>
      <c r="E346">
        <f t="shared" si="46"/>
        <v>3546</v>
      </c>
      <c r="F346">
        <f>VLOOKUP(A346-1,Overview!$A$4:$K$202,11)/3*0.6</f>
        <v>753991.2</v>
      </c>
      <c r="G346" s="272">
        <f t="shared" si="47"/>
        <v>0.62259586053524241</v>
      </c>
      <c r="H346">
        <f>SUM(B$2:B346)*3</f>
        <v>565391319</v>
      </c>
      <c r="I346">
        <f>VLOOKUP(A346,Overview!A$4:L$202,12)</f>
        <v>259640016</v>
      </c>
      <c r="J346" s="158">
        <f t="shared" si="48"/>
        <v>1.1775969964506552</v>
      </c>
      <c r="K346" t="str">
        <f t="shared" si="49"/>
        <v>More expensive than it should be</v>
      </c>
    </row>
    <row r="347" spans="1:11">
      <c r="A347">
        <v>346</v>
      </c>
      <c r="B347">
        <f>IF(J346&gt;-0.4,B346+ROUNDUP(E346/50,0)*50,ROUNDUP(MAX(MIN(VLOOKUP(A347,Overview!$A$4:$K$202,11)/3*0.6,IF(A347&gt;2,B346+MIN(MAX(A346*50,1850),(B346-B345)*1.22,(B346-B345)+150),999)),B346+(B346-B345)),0))</f>
        <v>1226973</v>
      </c>
      <c r="C347">
        <f t="shared" si="44"/>
        <v>613487</v>
      </c>
      <c r="D347">
        <f t="shared" si="45"/>
        <v>3550</v>
      </c>
      <c r="E347">
        <f t="shared" si="46"/>
        <v>3546</v>
      </c>
      <c r="F347">
        <f>VLOOKUP(A347-1,Overview!$A$4:$K$202,11)/3*0.6</f>
        <v>753991.2</v>
      </c>
      <c r="G347" s="272">
        <f t="shared" si="47"/>
        <v>0.62730413829763543</v>
      </c>
      <c r="H347">
        <f>SUM(B$2:B347)*3</f>
        <v>569072238</v>
      </c>
      <c r="I347">
        <f>VLOOKUP(A347,Overview!A$4:L$202,12)</f>
        <v>259640016</v>
      </c>
      <c r="J347" s="158">
        <f t="shared" si="48"/>
        <v>1.1917740060530577</v>
      </c>
      <c r="K347" t="str">
        <f t="shared" si="49"/>
        <v>More expensive than it should be</v>
      </c>
    </row>
    <row r="348" spans="1:11">
      <c r="A348">
        <v>347</v>
      </c>
      <c r="B348">
        <f>IF(J347&gt;-0.4,B347+ROUNDUP(E347/50,0)*50,ROUNDUP(MAX(MIN(VLOOKUP(A348,Overview!$A$4:$K$202,11)/3*0.6,IF(A348&gt;2,B347+MIN(MAX(A347*50,1850),(B347-B346)*1.22,(B347-B346)+150),999)),B347+(B347-B346)),0))</f>
        <v>1230523</v>
      </c>
      <c r="C348">
        <f t="shared" si="44"/>
        <v>615262</v>
      </c>
      <c r="D348">
        <f t="shared" si="45"/>
        <v>3550</v>
      </c>
      <c r="E348">
        <f t="shared" si="46"/>
        <v>3546</v>
      </c>
      <c r="F348">
        <f>VLOOKUP(A348-1,Overview!$A$4:$K$202,11)/3*0.6</f>
        <v>753991.2</v>
      </c>
      <c r="G348" s="272">
        <f t="shared" si="47"/>
        <v>0.63201241606002845</v>
      </c>
      <c r="H348">
        <f>SUM(B$2:B348)*3</f>
        <v>572763807</v>
      </c>
      <c r="I348">
        <f>VLOOKUP(A348,Overview!A$4:L$202,12)</f>
        <v>259640016</v>
      </c>
      <c r="J348" s="158">
        <f t="shared" si="48"/>
        <v>1.2059920339860093</v>
      </c>
      <c r="K348" t="str">
        <f t="shared" si="49"/>
        <v>More expensive than it should be</v>
      </c>
    </row>
    <row r="349" spans="1:11">
      <c r="A349">
        <v>348</v>
      </c>
      <c r="B349">
        <f>IF(J348&gt;-0.4,B348+ROUNDUP(E348/50,0)*50,ROUNDUP(MAX(MIN(VLOOKUP(A349,Overview!$A$4:$K$202,11)/3*0.6,IF(A349&gt;2,B348+MIN(MAX(A348*50,1850),(B348-B347)*1.22,(B348-B347)+150),999)),B348+(B348-B347)),0))</f>
        <v>1234073</v>
      </c>
      <c r="C349">
        <f t="shared" si="44"/>
        <v>617037</v>
      </c>
      <c r="D349">
        <f t="shared" si="45"/>
        <v>3550</v>
      </c>
      <c r="E349">
        <f t="shared" si="46"/>
        <v>3546</v>
      </c>
      <c r="F349">
        <f>VLOOKUP(A349-1,Overview!$A$4:$K$202,11)/3*0.6</f>
        <v>753991.2</v>
      </c>
      <c r="G349" s="272">
        <f t="shared" si="47"/>
        <v>0.63672069382242147</v>
      </c>
      <c r="H349">
        <f>SUM(B$2:B349)*3</f>
        <v>576466026</v>
      </c>
      <c r="I349">
        <f>VLOOKUP(A349,Overview!A$4:L$202,12)</f>
        <v>259640016</v>
      </c>
      <c r="J349" s="158">
        <f t="shared" si="48"/>
        <v>1.2202510802495099</v>
      </c>
      <c r="K349" t="str">
        <f t="shared" si="49"/>
        <v>More expensive than it should be</v>
      </c>
    </row>
    <row r="350" spans="1:11">
      <c r="A350">
        <v>349</v>
      </c>
      <c r="B350">
        <f>IF(J349&gt;-0.4,B349+ROUNDUP(E349/50,0)*50,ROUNDUP(MAX(MIN(VLOOKUP(A350,Overview!$A$4:$K$202,11)/3*0.6,IF(A350&gt;2,B349+MIN(MAX(A349*50,1850),(B349-B348)*1.22,(B349-B348)+150),999)),B349+(B349-B348)),0))</f>
        <v>1237623</v>
      </c>
      <c r="C350">
        <f t="shared" si="44"/>
        <v>618812</v>
      </c>
      <c r="D350">
        <f t="shared" si="45"/>
        <v>3550</v>
      </c>
      <c r="E350">
        <f t="shared" si="46"/>
        <v>3546</v>
      </c>
      <c r="F350">
        <f>VLOOKUP(A350-1,Overview!$A$4:$K$202,11)/3*0.6</f>
        <v>753991.2</v>
      </c>
      <c r="G350" s="272">
        <f t="shared" si="47"/>
        <v>0.64142897158481427</v>
      </c>
      <c r="H350">
        <f>SUM(B$2:B350)*3</f>
        <v>580178895</v>
      </c>
      <c r="I350">
        <f>VLOOKUP(A350,Overview!A$4:L$202,12)</f>
        <v>259640016</v>
      </c>
      <c r="J350" s="158">
        <f t="shared" si="48"/>
        <v>1.2345511448435591</v>
      </c>
      <c r="K350" t="str">
        <f t="shared" si="49"/>
        <v>More expensive than it should be</v>
      </c>
    </row>
    <row r="351" spans="1:11">
      <c r="A351">
        <v>350</v>
      </c>
      <c r="B351">
        <f>IF(J350&gt;-0.4,B350+ROUNDUP(E350/50,0)*50,ROUNDUP(MAX(MIN(VLOOKUP(A351,Overview!$A$4:$K$202,11)/3*0.6,IF(A351&gt;2,B350+MIN(MAX(A350*50,1850),(B350-B349)*1.22,(B350-B349)+150),999)),B350+(B350-B349)),0))</f>
        <v>1241173</v>
      </c>
      <c r="C351">
        <f t="shared" si="44"/>
        <v>620587</v>
      </c>
      <c r="D351">
        <f t="shared" si="45"/>
        <v>3550</v>
      </c>
      <c r="E351">
        <f t="shared" si="46"/>
        <v>3546</v>
      </c>
      <c r="F351">
        <f>VLOOKUP(A351-1,Overview!$A$4:$K$202,11)/3*0.6</f>
        <v>753991.2</v>
      </c>
      <c r="G351" s="272">
        <f t="shared" si="47"/>
        <v>0.64613724934720729</v>
      </c>
      <c r="H351">
        <f>SUM(B$2:B351)*3</f>
        <v>583902414</v>
      </c>
      <c r="I351">
        <f>VLOOKUP(A351,Overview!A$4:L$202,12)</f>
        <v>259640016</v>
      </c>
      <c r="J351" s="158">
        <f t="shared" si="48"/>
        <v>1.2488922277681573</v>
      </c>
      <c r="K351" t="str">
        <f t="shared" si="49"/>
        <v>More expensive than it should be</v>
      </c>
    </row>
    <row r="352" spans="1:11">
      <c r="A352">
        <v>351</v>
      </c>
      <c r="B352">
        <f>IF(J351&gt;-0.4,B351+ROUNDUP(E351/50,0)*50,ROUNDUP(MAX(MIN(VLOOKUP(A352,Overview!$A$4:$K$202,11)/3*0.6,IF(A352&gt;2,B351+MIN(MAX(A351*50,1850),(B351-B350)*1.22,(B351-B350)+150),999)),B351+(B351-B350)),0))</f>
        <v>1244723</v>
      </c>
      <c r="C352">
        <f t="shared" si="44"/>
        <v>622362</v>
      </c>
      <c r="D352">
        <f t="shared" si="45"/>
        <v>3550</v>
      </c>
      <c r="E352">
        <f t="shared" si="46"/>
        <v>3546</v>
      </c>
      <c r="F352">
        <f>VLOOKUP(A352-1,Overview!$A$4:$K$202,11)/3*0.6</f>
        <v>753991.2</v>
      </c>
      <c r="G352" s="272">
        <f t="shared" si="47"/>
        <v>0.65084552710960031</v>
      </c>
      <c r="H352">
        <f>SUM(B$2:B352)*3</f>
        <v>587636583</v>
      </c>
      <c r="I352">
        <f>VLOOKUP(A352,Overview!A$4:L$202,12)</f>
        <v>259640016</v>
      </c>
      <c r="J352" s="158">
        <f t="shared" si="48"/>
        <v>1.2632743290233042</v>
      </c>
      <c r="K352" t="str">
        <f t="shared" si="49"/>
        <v>More expensive than it should be</v>
      </c>
    </row>
    <row r="353" spans="1:11">
      <c r="A353">
        <v>352</v>
      </c>
      <c r="B353">
        <f>IF(J352&gt;-0.4,B352+ROUNDUP(E352/50,0)*50,ROUNDUP(MAX(MIN(VLOOKUP(A353,Overview!$A$4:$K$202,11)/3*0.6,IF(A353&gt;2,B352+MIN(MAX(A352*50,1850),(B352-B351)*1.22,(B352-B351)+150),999)),B352+(B352-B351)),0))</f>
        <v>1248273</v>
      </c>
      <c r="C353">
        <f t="shared" si="44"/>
        <v>624137</v>
      </c>
      <c r="D353">
        <f t="shared" si="45"/>
        <v>3550</v>
      </c>
      <c r="E353">
        <f t="shared" si="46"/>
        <v>3546</v>
      </c>
      <c r="F353">
        <f>VLOOKUP(A353-1,Overview!$A$4:$K$202,11)/3*0.6</f>
        <v>753991.2</v>
      </c>
      <c r="G353" s="272">
        <f t="shared" si="47"/>
        <v>0.65555380487199333</v>
      </c>
      <c r="H353">
        <f>SUM(B$2:B353)*3</f>
        <v>591381402</v>
      </c>
      <c r="I353">
        <f>VLOOKUP(A353,Overview!A$4:L$202,12)</f>
        <v>259640016</v>
      </c>
      <c r="J353" s="158">
        <f t="shared" si="48"/>
        <v>1.277697448609</v>
      </c>
      <c r="K353" t="str">
        <f t="shared" si="49"/>
        <v>More expensive than it should be</v>
      </c>
    </row>
    <row r="354" spans="1:11">
      <c r="A354">
        <v>353</v>
      </c>
      <c r="B354">
        <f>IF(J353&gt;-0.4,B353+ROUNDUP(E353/50,0)*50,ROUNDUP(MAX(MIN(VLOOKUP(A354,Overview!$A$4:$K$202,11)/3*0.6,IF(A354&gt;2,B353+MIN(MAX(A353*50,1850),(B353-B352)*1.22,(B353-B352)+150),999)),B353+(B353-B352)),0))</f>
        <v>1251823</v>
      </c>
      <c r="C354">
        <f t="shared" si="44"/>
        <v>625912</v>
      </c>
      <c r="D354">
        <f t="shared" si="45"/>
        <v>3550</v>
      </c>
      <c r="E354">
        <f t="shared" si="46"/>
        <v>3546</v>
      </c>
      <c r="F354">
        <f>VLOOKUP(A354-1,Overview!$A$4:$K$202,11)/3*0.6</f>
        <v>753991.2</v>
      </c>
      <c r="G354" s="272">
        <f t="shared" si="47"/>
        <v>0.66026208263438635</v>
      </c>
      <c r="H354">
        <f>SUM(B$2:B354)*3</f>
        <v>595136871</v>
      </c>
      <c r="I354">
        <f>VLOOKUP(A354,Overview!A$4:L$202,12)</f>
        <v>259640016</v>
      </c>
      <c r="J354" s="158">
        <f t="shared" si="48"/>
        <v>1.2921615865252449</v>
      </c>
      <c r="K354" t="str">
        <f t="shared" si="49"/>
        <v>More expensive than it should be</v>
      </c>
    </row>
    <row r="355" spans="1:11">
      <c r="A355">
        <v>354</v>
      </c>
      <c r="B355">
        <f>IF(J354&gt;-0.4,B354+ROUNDUP(E354/50,0)*50,ROUNDUP(MAX(MIN(VLOOKUP(A355,Overview!$A$4:$K$202,11)/3*0.6,IF(A355&gt;2,B354+MIN(MAX(A354*50,1850),(B354-B353)*1.22,(B354-B353)+150),999)),B354+(B354-B353)),0))</f>
        <v>1255373</v>
      </c>
      <c r="C355">
        <f t="shared" si="44"/>
        <v>627687</v>
      </c>
      <c r="D355">
        <f t="shared" si="45"/>
        <v>3550</v>
      </c>
      <c r="E355">
        <f t="shared" si="46"/>
        <v>3546</v>
      </c>
      <c r="F355">
        <f>VLOOKUP(A355-1,Overview!$A$4:$K$202,11)/3*0.6</f>
        <v>753991.2</v>
      </c>
      <c r="G355" s="272">
        <f t="shared" si="47"/>
        <v>0.66497036039677937</v>
      </c>
      <c r="H355">
        <f>SUM(B$2:B355)*3</f>
        <v>598902990</v>
      </c>
      <c r="I355">
        <f>VLOOKUP(A355,Overview!A$4:L$202,12)</f>
        <v>259640016</v>
      </c>
      <c r="J355" s="158">
        <f t="shared" si="48"/>
        <v>1.3066667427720389</v>
      </c>
      <c r="K355" t="str">
        <f t="shared" si="49"/>
        <v>More expensive than it should be</v>
      </c>
    </row>
    <row r="356" spans="1:11">
      <c r="A356">
        <v>355</v>
      </c>
      <c r="B356">
        <f>IF(J355&gt;-0.4,B355+ROUNDUP(E355/50,0)*50,ROUNDUP(MAX(MIN(VLOOKUP(A356,Overview!$A$4:$K$202,11)/3*0.6,IF(A356&gt;2,B355+MIN(MAX(A355*50,1850),(B355-B354)*1.22,(B355-B354)+150),999)),B355+(B355-B354)),0))</f>
        <v>1258923</v>
      </c>
      <c r="C356">
        <f t="shared" si="44"/>
        <v>629462</v>
      </c>
      <c r="D356">
        <f t="shared" si="45"/>
        <v>3550</v>
      </c>
      <c r="E356">
        <f t="shared" si="46"/>
        <v>3546</v>
      </c>
      <c r="F356">
        <f>VLOOKUP(A356-1,Overview!$A$4:$K$202,11)/3*0.6</f>
        <v>753991.2</v>
      </c>
      <c r="G356" s="272">
        <f t="shared" si="47"/>
        <v>0.66967863815917217</v>
      </c>
      <c r="H356">
        <f>SUM(B$2:B356)*3</f>
        <v>602679759</v>
      </c>
      <c r="I356">
        <f>VLOOKUP(A356,Overview!A$4:L$202,12)</f>
        <v>259640016</v>
      </c>
      <c r="J356" s="158">
        <f t="shared" si="48"/>
        <v>1.321212917349381</v>
      </c>
      <c r="K356" t="str">
        <f t="shared" si="49"/>
        <v>More expensive than it should be</v>
      </c>
    </row>
    <row r="357" spans="1:11">
      <c r="A357">
        <v>356</v>
      </c>
      <c r="B357">
        <f>IF(J356&gt;-0.4,B356+ROUNDUP(E356/50,0)*50,ROUNDUP(MAX(MIN(VLOOKUP(A357,Overview!$A$4:$K$202,11)/3*0.6,IF(A357&gt;2,B356+MIN(MAX(A356*50,1850),(B356-B355)*1.22,(B356-B355)+150),999)),B356+(B356-B355)),0))</f>
        <v>1262473</v>
      </c>
      <c r="C357">
        <f t="shared" si="44"/>
        <v>631237</v>
      </c>
      <c r="D357">
        <f t="shared" si="45"/>
        <v>3550</v>
      </c>
      <c r="E357">
        <f t="shared" si="46"/>
        <v>3546</v>
      </c>
      <c r="F357">
        <f>VLOOKUP(A357-1,Overview!$A$4:$K$202,11)/3*0.6</f>
        <v>753991.2</v>
      </c>
      <c r="G357" s="272">
        <f t="shared" si="47"/>
        <v>0.67438691592156519</v>
      </c>
      <c r="H357">
        <f>SUM(B$2:B357)*3</f>
        <v>606467178</v>
      </c>
      <c r="I357">
        <f>VLOOKUP(A357,Overview!A$4:L$202,12)</f>
        <v>259640016</v>
      </c>
      <c r="J357" s="158">
        <f t="shared" si="48"/>
        <v>1.3358001102572725</v>
      </c>
      <c r="K357" t="str">
        <f t="shared" si="49"/>
        <v>More expensive than it should be</v>
      </c>
    </row>
    <row r="358" spans="1:11">
      <c r="A358">
        <v>357</v>
      </c>
      <c r="B358">
        <f>IF(J357&gt;-0.4,B357+ROUNDUP(E357/50,0)*50,ROUNDUP(MAX(MIN(VLOOKUP(A358,Overview!$A$4:$K$202,11)/3*0.6,IF(A358&gt;2,B357+MIN(MAX(A357*50,1850),(B357-B356)*1.22,(B357-B356)+150),999)),B357+(B357-B356)),0))</f>
        <v>1266023</v>
      </c>
      <c r="C358">
        <f t="shared" si="44"/>
        <v>633012</v>
      </c>
      <c r="D358">
        <f t="shared" si="45"/>
        <v>3550</v>
      </c>
      <c r="E358">
        <f t="shared" si="46"/>
        <v>3546</v>
      </c>
      <c r="F358">
        <f>VLOOKUP(A358-1,Overview!$A$4:$K$202,11)/3*0.6</f>
        <v>753991.2</v>
      </c>
      <c r="G358" s="272">
        <f t="shared" si="47"/>
        <v>0.67909519368395821</v>
      </c>
      <c r="H358">
        <f>SUM(B$2:B358)*3</f>
        <v>610265247</v>
      </c>
      <c r="I358">
        <f>VLOOKUP(A358,Overview!A$4:L$202,12)</f>
        <v>259640016</v>
      </c>
      <c r="J358" s="158">
        <f t="shared" si="48"/>
        <v>1.3504283214957127</v>
      </c>
      <c r="K358" t="str">
        <f t="shared" si="49"/>
        <v>More expensive than it should be</v>
      </c>
    </row>
    <row r="359" spans="1:11">
      <c r="A359">
        <v>358</v>
      </c>
      <c r="B359">
        <f>IF(J358&gt;-0.4,B358+ROUNDUP(E358/50,0)*50,ROUNDUP(MAX(MIN(VLOOKUP(A359,Overview!$A$4:$K$202,11)/3*0.6,IF(A359&gt;2,B358+MIN(MAX(A358*50,1850),(B358-B357)*1.22,(B358-B357)+150),999)),B358+(B358-B357)),0))</f>
        <v>1269573</v>
      </c>
      <c r="C359">
        <f t="shared" si="44"/>
        <v>634787</v>
      </c>
      <c r="D359">
        <f t="shared" si="45"/>
        <v>3550</v>
      </c>
      <c r="E359">
        <f t="shared" si="46"/>
        <v>3546</v>
      </c>
      <c r="F359">
        <f>VLOOKUP(A359-1,Overview!$A$4:$K$202,11)/3*0.6</f>
        <v>753991.2</v>
      </c>
      <c r="G359" s="272">
        <f t="shared" si="47"/>
        <v>0.68380347144635123</v>
      </c>
      <c r="H359">
        <f>SUM(B$2:B359)*3</f>
        <v>614073966</v>
      </c>
      <c r="I359">
        <f>VLOOKUP(A359,Overview!A$4:L$202,12)</f>
        <v>259640016</v>
      </c>
      <c r="J359" s="158">
        <f t="shared" si="48"/>
        <v>1.3650975510647019</v>
      </c>
      <c r="K359" t="str">
        <f t="shared" si="49"/>
        <v>More expensive than it should be</v>
      </c>
    </row>
    <row r="360" spans="1:11">
      <c r="A360">
        <v>359</v>
      </c>
      <c r="B360">
        <f>IF(J359&gt;-0.4,B359+ROUNDUP(E359/50,0)*50,ROUNDUP(MAX(MIN(VLOOKUP(A360,Overview!$A$4:$K$202,11)/3*0.6,IF(A360&gt;2,B359+MIN(MAX(A359*50,1850),(B359-B358)*1.22,(B359-B358)+150),999)),B359+(B359-B358)),0))</f>
        <v>1273123</v>
      </c>
      <c r="C360">
        <f t="shared" si="44"/>
        <v>636562</v>
      </c>
      <c r="D360">
        <f t="shared" si="45"/>
        <v>3550</v>
      </c>
      <c r="E360">
        <f t="shared" si="46"/>
        <v>3546</v>
      </c>
      <c r="F360">
        <f>VLOOKUP(A360-1,Overview!$A$4:$K$202,11)/3*0.6</f>
        <v>753991.2</v>
      </c>
      <c r="G360" s="272">
        <f t="shared" si="47"/>
        <v>0.68851174920874425</v>
      </c>
      <c r="H360">
        <f>SUM(B$2:B360)*3</f>
        <v>617893335</v>
      </c>
      <c r="I360">
        <f>VLOOKUP(A360,Overview!A$4:L$202,12)</f>
        <v>259640016</v>
      </c>
      <c r="J360" s="158">
        <f t="shared" si="48"/>
        <v>1.3798077989642397</v>
      </c>
      <c r="K360" t="str">
        <f t="shared" si="49"/>
        <v>More expensive than it should be</v>
      </c>
    </row>
    <row r="361" spans="1:11">
      <c r="A361">
        <v>360</v>
      </c>
      <c r="B361">
        <f>IF(J360&gt;-0.4,B360+ROUNDUP(E360/50,0)*50,ROUNDUP(MAX(MIN(VLOOKUP(A361,Overview!$A$4:$K$202,11)/3*0.6,IF(A361&gt;2,B360+MIN(MAX(A360*50,1850),(B360-B359)*1.22,(B360-B359)+150),999)),B360+(B360-B359)),0))</f>
        <v>1276673</v>
      </c>
      <c r="C361">
        <f t="shared" si="44"/>
        <v>638337</v>
      </c>
      <c r="D361">
        <f t="shared" si="45"/>
        <v>3550</v>
      </c>
      <c r="E361">
        <f t="shared" si="46"/>
        <v>3546</v>
      </c>
      <c r="F361">
        <f>VLOOKUP(A361-1,Overview!$A$4:$K$202,11)/3*0.6</f>
        <v>753991.2</v>
      </c>
      <c r="G361" s="272">
        <f t="shared" si="47"/>
        <v>0.69322002697113727</v>
      </c>
      <c r="H361">
        <f>SUM(B$2:B361)*3</f>
        <v>621723354</v>
      </c>
      <c r="I361">
        <f>VLOOKUP(A361,Overview!A$4:L$202,12)</f>
        <v>259640016</v>
      </c>
      <c r="J361" s="158">
        <f t="shared" si="48"/>
        <v>1.3945590651943265</v>
      </c>
      <c r="K361" t="str">
        <f t="shared" si="49"/>
        <v>More expensive than it should be</v>
      </c>
    </row>
    <row r="362" spans="1:11">
      <c r="A362">
        <v>361</v>
      </c>
      <c r="B362">
        <f>IF(J361&gt;-0.4,B361+ROUNDUP(E361/50,0)*50,ROUNDUP(MAX(MIN(VLOOKUP(A362,Overview!$A$4:$K$202,11)/3*0.6,IF(A362&gt;2,B361+MIN(MAX(A361*50,1850),(B361-B360)*1.22,(B361-B360)+150),999)),B361+(B361-B360)),0))</f>
        <v>1280223</v>
      </c>
      <c r="C362">
        <f t="shared" si="44"/>
        <v>640112</v>
      </c>
      <c r="D362">
        <f t="shared" si="45"/>
        <v>3550</v>
      </c>
      <c r="E362">
        <f t="shared" si="46"/>
        <v>3546</v>
      </c>
      <c r="F362">
        <f>VLOOKUP(A362-1,Overview!$A$4:$K$202,11)/3*0.6</f>
        <v>753991.2</v>
      </c>
      <c r="G362" s="272">
        <f t="shared" si="47"/>
        <v>0.69792830473353007</v>
      </c>
      <c r="H362">
        <f>SUM(B$2:B362)*3</f>
        <v>625564023</v>
      </c>
      <c r="I362">
        <f>VLOOKUP(A362,Overview!A$4:L$202,12)</f>
        <v>259640016</v>
      </c>
      <c r="J362" s="158">
        <f t="shared" si="48"/>
        <v>1.4093513497549623</v>
      </c>
      <c r="K362" t="str">
        <f t="shared" si="49"/>
        <v>More expensive than it should be</v>
      </c>
    </row>
    <row r="363" spans="1:11">
      <c r="A363">
        <v>362</v>
      </c>
      <c r="B363">
        <f>IF(J362&gt;-0.4,B362+ROUNDUP(E362/50,0)*50,ROUNDUP(MAX(MIN(VLOOKUP(A363,Overview!$A$4:$K$202,11)/3*0.6,IF(A363&gt;2,B362+MIN(MAX(A362*50,1850),(B362-B361)*1.22,(B362-B361)+150),999)),B362+(B362-B361)),0))</f>
        <v>1283773</v>
      </c>
      <c r="C363">
        <f t="shared" si="44"/>
        <v>641887</v>
      </c>
      <c r="D363">
        <f t="shared" si="45"/>
        <v>3550</v>
      </c>
      <c r="E363">
        <f t="shared" si="46"/>
        <v>3546</v>
      </c>
      <c r="F363">
        <f>VLOOKUP(A363-1,Overview!$A$4:$K$202,11)/3*0.6</f>
        <v>753991.2</v>
      </c>
      <c r="G363" s="272">
        <f t="shared" si="47"/>
        <v>0.70263658249592309</v>
      </c>
      <c r="H363">
        <f>SUM(B$2:B363)*3</f>
        <v>629415342</v>
      </c>
      <c r="I363">
        <f>VLOOKUP(A363,Overview!A$4:L$202,12)</f>
        <v>259640016</v>
      </c>
      <c r="J363" s="158">
        <f t="shared" si="48"/>
        <v>1.4241846526461468</v>
      </c>
      <c r="K363" t="str">
        <f t="shared" si="49"/>
        <v>More expensive than it should be</v>
      </c>
    </row>
    <row r="364" spans="1:11">
      <c r="A364">
        <v>363</v>
      </c>
      <c r="B364">
        <f>IF(J363&gt;-0.4,B363+ROUNDUP(E363/50,0)*50,ROUNDUP(MAX(MIN(VLOOKUP(A364,Overview!$A$4:$K$202,11)/3*0.6,IF(A364&gt;2,B363+MIN(MAX(A363*50,1850),(B363-B362)*1.22,(B363-B362)+150),999)),B363+(B363-B362)),0))</f>
        <v>1287323</v>
      </c>
      <c r="C364">
        <f t="shared" si="44"/>
        <v>643662</v>
      </c>
      <c r="D364">
        <f t="shared" si="45"/>
        <v>3550</v>
      </c>
      <c r="E364">
        <f t="shared" si="46"/>
        <v>3546</v>
      </c>
      <c r="F364">
        <f>VLOOKUP(A364-1,Overview!$A$4:$K$202,11)/3*0.6</f>
        <v>753991.2</v>
      </c>
      <c r="G364" s="272">
        <f t="shared" si="47"/>
        <v>0.70734486025831611</v>
      </c>
      <c r="H364">
        <f>SUM(B$2:B364)*3</f>
        <v>633277311</v>
      </c>
      <c r="I364">
        <f>VLOOKUP(A364,Overview!A$4:L$202,12)</f>
        <v>259640016</v>
      </c>
      <c r="J364" s="158">
        <f t="shared" si="48"/>
        <v>1.4390589738678803</v>
      </c>
      <c r="K364" t="str">
        <f t="shared" si="49"/>
        <v>More expensive than it should be</v>
      </c>
    </row>
    <row r="365" spans="1:11">
      <c r="A365">
        <v>364</v>
      </c>
      <c r="B365">
        <f>IF(J364&gt;-0.4,B364+ROUNDUP(E364/50,0)*50,ROUNDUP(MAX(MIN(VLOOKUP(A365,Overview!$A$4:$K$202,11)/3*0.6,IF(A365&gt;2,B364+MIN(MAX(A364*50,1850),(B364-B363)*1.22,(B364-B363)+150),999)),B364+(B364-B363)),0))</f>
        <v>1290873</v>
      </c>
      <c r="C365">
        <f t="shared" si="44"/>
        <v>645437</v>
      </c>
      <c r="D365">
        <f t="shared" si="45"/>
        <v>3550</v>
      </c>
      <c r="E365">
        <f t="shared" si="46"/>
        <v>3546</v>
      </c>
      <c r="F365">
        <f>VLOOKUP(A365-1,Overview!$A$4:$K$202,11)/3*0.6</f>
        <v>753991.2</v>
      </c>
      <c r="G365" s="272">
        <f t="shared" si="47"/>
        <v>0.71205313802070913</v>
      </c>
      <c r="H365">
        <f>SUM(B$2:B365)*3</f>
        <v>637149930</v>
      </c>
      <c r="I365">
        <f>VLOOKUP(A365,Overview!A$4:L$202,12)</f>
        <v>259640016</v>
      </c>
      <c r="J365" s="158">
        <f t="shared" si="48"/>
        <v>1.4539743134201624</v>
      </c>
      <c r="K365" t="str">
        <f t="shared" si="49"/>
        <v>More expensive than it should be</v>
      </c>
    </row>
    <row r="366" spans="1:11">
      <c r="A366">
        <v>365</v>
      </c>
      <c r="B366">
        <f>IF(J365&gt;-0.4,B365+ROUNDUP(E365/50,0)*50,ROUNDUP(MAX(MIN(VLOOKUP(A366,Overview!$A$4:$K$202,11)/3*0.6,IF(A366&gt;2,B365+MIN(MAX(A365*50,1850),(B365-B364)*1.22,(B365-B364)+150),999)),B365+(B365-B364)),0))</f>
        <v>1294423</v>
      </c>
      <c r="C366">
        <f t="shared" si="44"/>
        <v>647212</v>
      </c>
      <c r="D366">
        <f t="shared" si="45"/>
        <v>3550</v>
      </c>
      <c r="E366">
        <f t="shared" si="46"/>
        <v>3546</v>
      </c>
      <c r="F366">
        <f>VLOOKUP(A366-1,Overview!$A$4:$K$202,11)/3*0.6</f>
        <v>753991.2</v>
      </c>
      <c r="G366" s="272">
        <f t="shared" si="47"/>
        <v>0.71676141578310215</v>
      </c>
      <c r="H366">
        <f>SUM(B$2:B366)*3</f>
        <v>641033199</v>
      </c>
      <c r="I366">
        <f>VLOOKUP(A366,Overview!A$4:L$202,12)</f>
        <v>259640016</v>
      </c>
      <c r="J366" s="158">
        <f t="shared" si="48"/>
        <v>1.4689306713029935</v>
      </c>
      <c r="K366" t="str">
        <f t="shared" si="49"/>
        <v>More expensive than it should be</v>
      </c>
    </row>
    <row r="367" spans="1:11">
      <c r="A367">
        <v>366</v>
      </c>
      <c r="B367">
        <f>IF(J366&gt;-0.4,B366+ROUNDUP(E366/50,0)*50,ROUNDUP(MAX(MIN(VLOOKUP(A367,Overview!$A$4:$K$202,11)/3*0.6,IF(A367&gt;2,B366+MIN(MAX(A366*50,1850),(B366-B365)*1.22,(B366-B365)+150),999)),B366+(B366-B365)),0))</f>
        <v>1297973</v>
      </c>
      <c r="C367">
        <f t="shared" si="44"/>
        <v>648987</v>
      </c>
      <c r="D367">
        <f t="shared" si="45"/>
        <v>3550</v>
      </c>
      <c r="E367">
        <f t="shared" si="46"/>
        <v>3546</v>
      </c>
      <c r="F367">
        <f>VLOOKUP(A367-1,Overview!$A$4:$K$202,11)/3*0.6</f>
        <v>753991.2</v>
      </c>
      <c r="G367" s="272">
        <f t="shared" si="47"/>
        <v>0.72146969354549517</v>
      </c>
      <c r="H367">
        <f>SUM(B$2:B367)*3</f>
        <v>644927118</v>
      </c>
      <c r="I367">
        <f>VLOOKUP(A367,Overview!A$4:L$202,12)</f>
        <v>259640016</v>
      </c>
      <c r="J367" s="158">
        <f t="shared" si="48"/>
        <v>1.4839280475163736</v>
      </c>
      <c r="K367" t="str">
        <f t="shared" si="49"/>
        <v>More expensive than it should be</v>
      </c>
    </row>
    <row r="368" spans="1:11">
      <c r="A368">
        <v>367</v>
      </c>
      <c r="B368">
        <f>IF(J367&gt;-0.4,B367+ROUNDUP(E367/50,0)*50,ROUNDUP(MAX(MIN(VLOOKUP(A368,Overview!$A$4:$K$202,11)/3*0.6,IF(A368&gt;2,B367+MIN(MAX(A367*50,1850),(B367-B366)*1.22,(B367-B366)+150),999)),B367+(B367-B366)),0))</f>
        <v>1301523</v>
      </c>
      <c r="C368">
        <f t="shared" si="44"/>
        <v>650762</v>
      </c>
      <c r="D368">
        <f t="shared" si="45"/>
        <v>3550</v>
      </c>
      <c r="E368">
        <f t="shared" si="46"/>
        <v>3546</v>
      </c>
      <c r="F368">
        <f>VLOOKUP(A368-1,Overview!$A$4:$K$202,11)/3*0.6</f>
        <v>753991.2</v>
      </c>
      <c r="G368" s="272">
        <f t="shared" si="47"/>
        <v>0.72617797130788797</v>
      </c>
      <c r="H368">
        <f>SUM(B$2:B368)*3</f>
        <v>648831687</v>
      </c>
      <c r="I368">
        <f>VLOOKUP(A368,Overview!A$4:L$202,12)</f>
        <v>259640016</v>
      </c>
      <c r="J368" s="158">
        <f t="shared" si="48"/>
        <v>1.4989664420603024</v>
      </c>
      <c r="K368" t="str">
        <f t="shared" si="49"/>
        <v>More expensive than it should be</v>
      </c>
    </row>
    <row r="369" spans="1:11">
      <c r="A369">
        <v>368</v>
      </c>
      <c r="B369">
        <f>IF(J368&gt;-0.4,B368+ROUNDUP(E368/50,0)*50,ROUNDUP(MAX(MIN(VLOOKUP(A369,Overview!$A$4:$K$202,11)/3*0.6,IF(A369&gt;2,B368+MIN(MAX(A368*50,1850),(B368-B367)*1.22,(B368-B367)+150),999)),B368+(B368-B367)),0))</f>
        <v>1305073</v>
      </c>
      <c r="C369">
        <f t="shared" si="44"/>
        <v>652537</v>
      </c>
      <c r="D369">
        <f t="shared" si="45"/>
        <v>3550</v>
      </c>
      <c r="E369">
        <f t="shared" si="46"/>
        <v>3546</v>
      </c>
      <c r="F369">
        <f>VLOOKUP(A369-1,Overview!$A$4:$K$202,11)/3*0.6</f>
        <v>753991.2</v>
      </c>
      <c r="G369" s="272">
        <f t="shared" si="47"/>
        <v>0.73088624907028099</v>
      </c>
      <c r="H369">
        <f>SUM(B$2:B369)*3</f>
        <v>652746906</v>
      </c>
      <c r="I369">
        <f>VLOOKUP(A369,Overview!A$4:L$202,12)</f>
        <v>259640016</v>
      </c>
      <c r="J369" s="158">
        <f t="shared" si="48"/>
        <v>1.5140458549347802</v>
      </c>
      <c r="K369" t="str">
        <f t="shared" si="49"/>
        <v>More expensive than it should be</v>
      </c>
    </row>
    <row r="370" spans="1:11">
      <c r="A370">
        <v>369</v>
      </c>
      <c r="B370">
        <f>IF(J369&gt;-0.4,B369+ROUNDUP(E369/50,0)*50,ROUNDUP(MAX(MIN(VLOOKUP(A370,Overview!$A$4:$K$202,11)/3*0.6,IF(A370&gt;2,B369+MIN(MAX(A369*50,1850),(B369-B368)*1.22,(B369-B368)+150),999)),B369+(B369-B368)),0))</f>
        <v>1308623</v>
      </c>
      <c r="C370">
        <f t="shared" si="44"/>
        <v>654312</v>
      </c>
      <c r="D370">
        <f t="shared" si="45"/>
        <v>3550</v>
      </c>
      <c r="E370">
        <f t="shared" si="46"/>
        <v>3546</v>
      </c>
      <c r="F370">
        <f>VLOOKUP(A370-1,Overview!$A$4:$K$202,11)/3*0.6</f>
        <v>753991.2</v>
      </c>
      <c r="G370" s="272">
        <f t="shared" si="47"/>
        <v>0.73559452683267401</v>
      </c>
      <c r="H370">
        <f>SUM(B$2:B370)*3</f>
        <v>656672775</v>
      </c>
      <c r="I370">
        <f>VLOOKUP(A370,Overview!A$4:L$202,12)</f>
        <v>259640016</v>
      </c>
      <c r="J370" s="158">
        <f t="shared" si="48"/>
        <v>1.5291662861398065</v>
      </c>
      <c r="K370" t="str">
        <f t="shared" si="49"/>
        <v>More expensive than it should be</v>
      </c>
    </row>
    <row r="371" spans="1:11">
      <c r="A371">
        <v>370</v>
      </c>
      <c r="B371">
        <f>IF(J370&gt;-0.4,B370+ROUNDUP(E370/50,0)*50,ROUNDUP(MAX(MIN(VLOOKUP(A371,Overview!$A$4:$K$202,11)/3*0.6,IF(A371&gt;2,B370+MIN(MAX(A370*50,1850),(B370-B369)*1.22,(B370-B369)+150),999)),B370+(B370-B369)),0))</f>
        <v>1312173</v>
      </c>
      <c r="C371">
        <f t="shared" si="44"/>
        <v>656087</v>
      </c>
      <c r="D371">
        <f t="shared" si="45"/>
        <v>3550</v>
      </c>
      <c r="E371">
        <f t="shared" si="46"/>
        <v>3546</v>
      </c>
      <c r="F371">
        <f>VLOOKUP(A371-1,Overview!$A$4:$K$202,11)/3*0.6</f>
        <v>753991.2</v>
      </c>
      <c r="G371" s="272">
        <f t="shared" si="47"/>
        <v>0.74030280459506703</v>
      </c>
      <c r="H371">
        <f>SUM(B$2:B371)*3</f>
        <v>660609294</v>
      </c>
      <c r="I371">
        <f>VLOOKUP(A371,Overview!A$4:L$202,12)</f>
        <v>259640016</v>
      </c>
      <c r="J371" s="158">
        <f t="shared" si="48"/>
        <v>1.5443277356753824</v>
      </c>
      <c r="K371" t="str">
        <f t="shared" si="49"/>
        <v>More expensive than it should be</v>
      </c>
    </row>
    <row r="372" spans="1:11">
      <c r="A372">
        <v>371</v>
      </c>
      <c r="B372">
        <f>IF(J371&gt;-0.4,B371+ROUNDUP(E371/50,0)*50,ROUNDUP(MAX(MIN(VLOOKUP(A372,Overview!$A$4:$K$202,11)/3*0.6,IF(A372&gt;2,B371+MIN(MAX(A371*50,1850),(B371-B370)*1.22,(B371-B370)+150),999)),B371+(B371-B370)),0))</f>
        <v>1315723</v>
      </c>
      <c r="C372">
        <f t="shared" si="44"/>
        <v>657862</v>
      </c>
      <c r="D372">
        <f t="shared" si="45"/>
        <v>3550</v>
      </c>
      <c r="E372">
        <f t="shared" si="46"/>
        <v>3546</v>
      </c>
      <c r="F372">
        <f>VLOOKUP(A372-1,Overview!$A$4:$K$202,11)/3*0.6</f>
        <v>753991.2</v>
      </c>
      <c r="G372" s="272">
        <f t="shared" si="47"/>
        <v>0.74501108235746005</v>
      </c>
      <c r="H372">
        <f>SUM(B$2:B372)*3</f>
        <v>664556463</v>
      </c>
      <c r="I372">
        <f>VLOOKUP(A372,Overview!A$4:L$202,12)</f>
        <v>259640016</v>
      </c>
      <c r="J372" s="158">
        <f t="shared" si="48"/>
        <v>1.5595302035415064</v>
      </c>
      <c r="K372" t="str">
        <f t="shared" si="49"/>
        <v>More expensive than it should be</v>
      </c>
    </row>
    <row r="373" spans="1:11">
      <c r="A373">
        <v>372</v>
      </c>
      <c r="B373">
        <f>IF(J372&gt;-0.4,B372+ROUNDUP(E372/50,0)*50,ROUNDUP(MAX(MIN(VLOOKUP(A373,Overview!$A$4:$K$202,11)/3*0.6,IF(A373&gt;2,B372+MIN(MAX(A372*50,1850),(B372-B371)*1.22,(B372-B371)+150),999)),B372+(B372-B371)),0))</f>
        <v>1319273</v>
      </c>
      <c r="C373">
        <f t="shared" si="44"/>
        <v>659637</v>
      </c>
      <c r="D373">
        <f t="shared" si="45"/>
        <v>3550</v>
      </c>
      <c r="E373">
        <f t="shared" si="46"/>
        <v>3546</v>
      </c>
      <c r="F373">
        <f>VLOOKUP(A373-1,Overview!$A$4:$K$202,11)/3*0.6</f>
        <v>753991.2</v>
      </c>
      <c r="G373" s="272">
        <f t="shared" si="47"/>
        <v>0.74971936011985307</v>
      </c>
      <c r="H373">
        <f>SUM(B$2:B373)*3</f>
        <v>668514282</v>
      </c>
      <c r="I373">
        <f>VLOOKUP(A373,Overview!A$4:L$202,12)</f>
        <v>259640016</v>
      </c>
      <c r="J373" s="158">
        <f t="shared" si="48"/>
        <v>1.5747736897381794</v>
      </c>
      <c r="K373" t="str">
        <f t="shared" si="49"/>
        <v>More expensive than it should be</v>
      </c>
    </row>
    <row r="374" spans="1:11">
      <c r="A374">
        <v>373</v>
      </c>
      <c r="B374">
        <f>IF(J373&gt;-0.4,B373+ROUNDUP(E373/50,0)*50,ROUNDUP(MAX(MIN(VLOOKUP(A374,Overview!$A$4:$K$202,11)/3*0.6,IF(A374&gt;2,B373+MIN(MAX(A373*50,1850),(B373-B372)*1.22,(B373-B372)+150),999)),B373+(B373-B372)),0))</f>
        <v>1322823</v>
      </c>
      <c r="C374">
        <f t="shared" si="44"/>
        <v>661412</v>
      </c>
      <c r="D374">
        <f t="shared" si="45"/>
        <v>3550</v>
      </c>
      <c r="E374">
        <f t="shared" si="46"/>
        <v>3546</v>
      </c>
      <c r="F374">
        <f>VLOOKUP(A374-1,Overview!$A$4:$K$202,11)/3*0.6</f>
        <v>753991.2</v>
      </c>
      <c r="G374" s="272">
        <f t="shared" si="47"/>
        <v>0.75442763788224587</v>
      </c>
      <c r="H374">
        <f>SUM(B$2:B374)*3</f>
        <v>672482751</v>
      </c>
      <c r="I374">
        <f>VLOOKUP(A374,Overview!A$4:L$202,12)</f>
        <v>259640016</v>
      </c>
      <c r="J374" s="158">
        <f t="shared" si="48"/>
        <v>1.5900581942654015</v>
      </c>
      <c r="K374" t="str">
        <f t="shared" si="49"/>
        <v>More expensive than it should be</v>
      </c>
    </row>
    <row r="375" spans="1:11">
      <c r="A375">
        <v>374</v>
      </c>
      <c r="B375">
        <f>IF(J374&gt;-0.4,B374+ROUNDUP(E374/50,0)*50,ROUNDUP(MAX(MIN(VLOOKUP(A375,Overview!$A$4:$K$202,11)/3*0.6,IF(A375&gt;2,B374+MIN(MAX(A374*50,1850),(B374-B373)*1.22,(B374-B373)+150),999)),B374+(B374-B373)),0))</f>
        <v>1326373</v>
      </c>
      <c r="C375">
        <f t="shared" si="44"/>
        <v>663187</v>
      </c>
      <c r="D375">
        <f t="shared" si="45"/>
        <v>3550</v>
      </c>
      <c r="E375">
        <f t="shared" si="46"/>
        <v>3546</v>
      </c>
      <c r="F375">
        <f>VLOOKUP(A375-1,Overview!$A$4:$K$202,11)/3*0.6</f>
        <v>753991.2</v>
      </c>
      <c r="G375" s="272">
        <f t="shared" si="47"/>
        <v>0.75913591564463889</v>
      </c>
      <c r="H375">
        <f>SUM(B$2:B375)*3</f>
        <v>676461870</v>
      </c>
      <c r="I375">
        <f>VLOOKUP(A375,Overview!A$4:L$202,12)</f>
        <v>259640016</v>
      </c>
      <c r="J375" s="158">
        <f t="shared" si="48"/>
        <v>1.6053837171231726</v>
      </c>
      <c r="K375" t="str">
        <f t="shared" si="49"/>
        <v>More expensive than it should be</v>
      </c>
    </row>
    <row r="376" spans="1:11">
      <c r="A376">
        <v>375</v>
      </c>
      <c r="B376">
        <f>IF(J375&gt;-0.4,B375+ROUNDUP(E375/50,0)*50,ROUNDUP(MAX(MIN(VLOOKUP(A376,Overview!$A$4:$K$202,11)/3*0.6,IF(A376&gt;2,B375+MIN(MAX(A375*50,1850),(B375-B374)*1.22,(B375-B374)+150),999)),B375+(B375-B374)),0))</f>
        <v>1329923</v>
      </c>
      <c r="C376">
        <f t="shared" si="44"/>
        <v>664962</v>
      </c>
      <c r="D376">
        <f t="shared" si="45"/>
        <v>3550</v>
      </c>
      <c r="E376">
        <f t="shared" si="46"/>
        <v>3546</v>
      </c>
      <c r="F376">
        <f>VLOOKUP(A376-1,Overview!$A$4:$K$202,11)/3*0.6</f>
        <v>753991.2</v>
      </c>
      <c r="G376" s="272">
        <f t="shared" si="47"/>
        <v>0.76384419340703191</v>
      </c>
      <c r="H376">
        <f>SUM(B$2:B376)*3</f>
        <v>680451639</v>
      </c>
      <c r="I376">
        <f>VLOOKUP(A376,Overview!A$4:L$202,12)</f>
        <v>259640016</v>
      </c>
      <c r="J376" s="158">
        <f t="shared" si="48"/>
        <v>1.6207502583114923</v>
      </c>
      <c r="K376" t="str">
        <f t="shared" si="49"/>
        <v>More expensive than it should be</v>
      </c>
    </row>
    <row r="377" spans="1:11">
      <c r="A377">
        <v>376</v>
      </c>
      <c r="B377">
        <f>IF(J376&gt;-0.4,B376+ROUNDUP(E376/50,0)*50,ROUNDUP(MAX(MIN(VLOOKUP(A377,Overview!$A$4:$K$202,11)/3*0.6,IF(A377&gt;2,B376+MIN(MAX(A376*50,1850),(B376-B375)*1.22,(B376-B375)+150),999)),B376+(B376-B375)),0))</f>
        <v>1333473</v>
      </c>
      <c r="C377">
        <f t="shared" si="44"/>
        <v>666737</v>
      </c>
      <c r="D377">
        <f t="shared" si="45"/>
        <v>3550</v>
      </c>
      <c r="E377">
        <f t="shared" si="46"/>
        <v>3546</v>
      </c>
      <c r="F377">
        <f>VLOOKUP(A377-1,Overview!$A$4:$K$202,11)/3*0.6</f>
        <v>753991.2</v>
      </c>
      <c r="G377" s="272">
        <f t="shared" si="47"/>
        <v>0.76855247116942493</v>
      </c>
      <c r="H377">
        <f>SUM(B$2:B377)*3</f>
        <v>684452058</v>
      </c>
      <c r="I377">
        <f>VLOOKUP(A377,Overview!A$4:L$202,12)</f>
        <v>259640016</v>
      </c>
      <c r="J377" s="158">
        <f t="shared" si="48"/>
        <v>1.6361578178303611</v>
      </c>
      <c r="K377" t="str">
        <f t="shared" si="49"/>
        <v>More expensive than it should be</v>
      </c>
    </row>
    <row r="378" spans="1:11">
      <c r="A378">
        <v>377</v>
      </c>
      <c r="B378">
        <f>IF(J377&gt;-0.4,B377+ROUNDUP(E377/50,0)*50,ROUNDUP(MAX(MIN(VLOOKUP(A378,Overview!$A$4:$K$202,11)/3*0.6,IF(A378&gt;2,B377+MIN(MAX(A377*50,1850),(B377-B376)*1.22,(B377-B376)+150),999)),B377+(B377-B376)),0))</f>
        <v>1337023</v>
      </c>
      <c r="C378">
        <f t="shared" si="44"/>
        <v>668512</v>
      </c>
      <c r="D378">
        <f t="shared" si="45"/>
        <v>3550</v>
      </c>
      <c r="E378">
        <f t="shared" si="46"/>
        <v>3546</v>
      </c>
      <c r="F378">
        <f>VLOOKUP(A378-1,Overview!$A$4:$K$202,11)/3*0.6</f>
        <v>753991.2</v>
      </c>
      <c r="G378" s="272">
        <f t="shared" si="47"/>
        <v>0.77326074893181795</v>
      </c>
      <c r="H378">
        <f>SUM(B$2:B378)*3</f>
        <v>688463127</v>
      </c>
      <c r="I378">
        <f>VLOOKUP(A378,Overview!A$4:L$202,12)</f>
        <v>259640016</v>
      </c>
      <c r="J378" s="158">
        <f t="shared" si="48"/>
        <v>1.6516063956797784</v>
      </c>
      <c r="K378" t="str">
        <f t="shared" si="49"/>
        <v>More expensive than it should be</v>
      </c>
    </row>
    <row r="379" spans="1:11">
      <c r="A379">
        <v>378</v>
      </c>
      <c r="B379">
        <f>IF(J378&gt;-0.4,B378+ROUNDUP(E378/50,0)*50,ROUNDUP(MAX(MIN(VLOOKUP(A379,Overview!$A$4:$K$202,11)/3*0.6,IF(A379&gt;2,B378+MIN(MAX(A378*50,1850),(B378-B377)*1.22,(B378-B377)+150),999)),B378+(B378-B377)),0))</f>
        <v>1340573</v>
      </c>
      <c r="C379">
        <f t="shared" si="44"/>
        <v>670287</v>
      </c>
      <c r="D379">
        <f t="shared" si="45"/>
        <v>3550</v>
      </c>
      <c r="E379">
        <f t="shared" si="46"/>
        <v>3546</v>
      </c>
      <c r="F379">
        <f>VLOOKUP(A379-1,Overview!$A$4:$K$202,11)/3*0.6</f>
        <v>753991.2</v>
      </c>
      <c r="G379" s="272">
        <f t="shared" si="47"/>
        <v>0.77796902669421097</v>
      </c>
      <c r="H379">
        <f>SUM(B$2:B379)*3</f>
        <v>692484846</v>
      </c>
      <c r="I379">
        <f>VLOOKUP(A379,Overview!A$4:L$202,12)</f>
        <v>259640016</v>
      </c>
      <c r="J379" s="158">
        <f t="shared" si="48"/>
        <v>1.6670959918597448</v>
      </c>
      <c r="K379" t="str">
        <f t="shared" si="49"/>
        <v>More expensive than it should be</v>
      </c>
    </row>
    <row r="380" spans="1:11">
      <c r="A380">
        <v>379</v>
      </c>
      <c r="B380">
        <f>IF(J379&gt;-0.4,B379+ROUNDUP(E379/50,0)*50,ROUNDUP(MAX(MIN(VLOOKUP(A380,Overview!$A$4:$K$202,11)/3*0.6,IF(A380&gt;2,B379+MIN(MAX(A379*50,1850),(B379-B378)*1.22,(B379-B378)+150),999)),B379+(B379-B378)),0))</f>
        <v>1344123</v>
      </c>
      <c r="C380">
        <f t="shared" si="44"/>
        <v>672062</v>
      </c>
      <c r="D380">
        <f t="shared" si="45"/>
        <v>3550</v>
      </c>
      <c r="E380">
        <f t="shared" si="46"/>
        <v>3546</v>
      </c>
      <c r="F380">
        <f>VLOOKUP(A380-1,Overview!$A$4:$K$202,11)/3*0.6</f>
        <v>753991.2</v>
      </c>
      <c r="G380" s="272">
        <f t="shared" si="47"/>
        <v>0.78267730445660377</v>
      </c>
      <c r="H380">
        <f>SUM(B$2:B380)*3</f>
        <v>696517215</v>
      </c>
      <c r="I380">
        <f>VLOOKUP(A380,Overview!A$4:L$202,12)</f>
        <v>259640016</v>
      </c>
      <c r="J380" s="158">
        <f t="shared" si="48"/>
        <v>1.6826266063702602</v>
      </c>
      <c r="K380" t="str">
        <f t="shared" si="49"/>
        <v>More expensive than it should be</v>
      </c>
    </row>
    <row r="381" spans="1:11">
      <c r="A381">
        <v>380</v>
      </c>
      <c r="B381">
        <f>IF(J380&gt;-0.4,B380+ROUNDUP(E380/50,0)*50,ROUNDUP(MAX(MIN(VLOOKUP(A381,Overview!$A$4:$K$202,11)/3*0.6,IF(A381&gt;2,B380+MIN(MAX(A380*50,1850),(B380-B379)*1.22,(B380-B379)+150),999)),B380+(B380-B379)),0))</f>
        <v>1347673</v>
      </c>
      <c r="C381">
        <f t="shared" si="44"/>
        <v>673837</v>
      </c>
      <c r="D381">
        <f t="shared" si="45"/>
        <v>3550</v>
      </c>
      <c r="E381">
        <f t="shared" si="46"/>
        <v>3547</v>
      </c>
      <c r="F381">
        <f>VLOOKUP(A381-1,Overview!$A$4:$K$202,11)/3*0.6</f>
        <v>753991.2</v>
      </c>
      <c r="G381" s="272">
        <f t="shared" si="47"/>
        <v>0.78738558221899679</v>
      </c>
      <c r="H381">
        <f>SUM(B$2:B381)*3</f>
        <v>700560234</v>
      </c>
      <c r="I381">
        <f>VLOOKUP(A381,Overview!A$4:L$202,12)</f>
        <v>259640016</v>
      </c>
      <c r="J381" s="158">
        <f t="shared" si="48"/>
        <v>1.6981982392113242</v>
      </c>
      <c r="K381" t="str">
        <f t="shared" si="49"/>
        <v>More expensive than it should be</v>
      </c>
    </row>
    <row r="382" spans="1:11">
      <c r="A382">
        <v>381</v>
      </c>
      <c r="B382">
        <f>IF(J381&gt;-0.4,B381+ROUNDUP(E381/50,0)*50,ROUNDUP(MAX(MIN(VLOOKUP(A382,Overview!$A$4:$K$202,11)/3*0.6,IF(A382&gt;2,B381+MIN(MAX(A381*50,1850),(B381-B380)*1.22,(B381-B380)+150),999)),B381+(B381-B380)),0))</f>
        <v>1351223</v>
      </c>
      <c r="C382">
        <f t="shared" si="44"/>
        <v>675612</v>
      </c>
      <c r="D382">
        <f t="shared" si="45"/>
        <v>3550</v>
      </c>
      <c r="E382">
        <f t="shared" si="46"/>
        <v>3547</v>
      </c>
      <c r="F382">
        <f>VLOOKUP(A382-1,Overview!$A$4:$K$202,11)/3*0.6</f>
        <v>753991.2</v>
      </c>
      <c r="G382" s="272">
        <f t="shared" si="47"/>
        <v>0.79209385998138981</v>
      </c>
      <c r="H382">
        <f>SUM(B$2:B382)*3</f>
        <v>704613903</v>
      </c>
      <c r="I382">
        <f>VLOOKUP(A382,Overview!A$4:L$202,12)</f>
        <v>259640016</v>
      </c>
      <c r="J382" s="158">
        <f t="shared" si="48"/>
        <v>1.7138108903829368</v>
      </c>
      <c r="K382" t="str">
        <f t="shared" si="49"/>
        <v>More expensive than it should be</v>
      </c>
    </row>
    <row r="383" spans="1:11">
      <c r="A383">
        <v>382</v>
      </c>
      <c r="B383">
        <f>IF(J382&gt;-0.4,B382+ROUNDUP(E382/50,0)*50,ROUNDUP(MAX(MIN(VLOOKUP(A383,Overview!$A$4:$K$202,11)/3*0.6,IF(A383&gt;2,B382+MIN(MAX(A382*50,1850),(B382-B381)*1.22,(B382-B381)+150),999)),B382+(B382-B381)),0))</f>
        <v>1354773</v>
      </c>
      <c r="C383">
        <f t="shared" si="44"/>
        <v>677387</v>
      </c>
      <c r="D383">
        <f t="shared" si="45"/>
        <v>3550</v>
      </c>
      <c r="E383">
        <f t="shared" si="46"/>
        <v>3547</v>
      </c>
      <c r="F383">
        <f>VLOOKUP(A383-1,Overview!$A$4:$K$202,11)/3*0.6</f>
        <v>753991.2</v>
      </c>
      <c r="G383" s="272">
        <f t="shared" si="47"/>
        <v>0.79680213774378283</v>
      </c>
      <c r="H383">
        <f>SUM(B$2:B383)*3</f>
        <v>708678222</v>
      </c>
      <c r="I383">
        <f>VLOOKUP(A383,Overview!A$4:L$202,12)</f>
        <v>259640016</v>
      </c>
      <c r="J383" s="158">
        <f t="shared" si="48"/>
        <v>1.7294645598850988</v>
      </c>
      <c r="K383" t="str">
        <f t="shared" si="49"/>
        <v>More expensive than it should be</v>
      </c>
    </row>
    <row r="384" spans="1:11">
      <c r="A384">
        <v>383</v>
      </c>
      <c r="B384">
        <f>IF(J383&gt;-0.4,B383+ROUNDUP(E383/50,0)*50,ROUNDUP(MAX(MIN(VLOOKUP(A384,Overview!$A$4:$K$202,11)/3*0.6,IF(A384&gt;2,B383+MIN(MAX(A383*50,1850),(B383-B382)*1.22,(B383-B382)+150),999)),B383+(B383-B382)),0))</f>
        <v>1358323</v>
      </c>
      <c r="C384">
        <f t="shared" si="44"/>
        <v>679162</v>
      </c>
      <c r="D384">
        <f t="shared" si="45"/>
        <v>3550</v>
      </c>
      <c r="E384">
        <f t="shared" si="46"/>
        <v>3547</v>
      </c>
      <c r="F384">
        <f>VLOOKUP(A384-1,Overview!$A$4:$K$202,11)/3*0.6</f>
        <v>753991.2</v>
      </c>
      <c r="G384" s="272">
        <f t="shared" si="47"/>
        <v>0.80151041550617586</v>
      </c>
      <c r="H384">
        <f>SUM(B$2:B384)*3</f>
        <v>712753191</v>
      </c>
      <c r="I384">
        <f>VLOOKUP(A384,Overview!A$4:L$202,12)</f>
        <v>259640016</v>
      </c>
      <c r="J384" s="158">
        <f t="shared" si="48"/>
        <v>1.7451592477178095</v>
      </c>
      <c r="K384" t="str">
        <f t="shared" si="49"/>
        <v>More expensive than it should be</v>
      </c>
    </row>
    <row r="385" spans="1:11">
      <c r="A385">
        <v>384</v>
      </c>
      <c r="B385">
        <f>IF(J384&gt;-0.4,B384+ROUNDUP(E384/50,0)*50,ROUNDUP(MAX(MIN(VLOOKUP(A385,Overview!$A$4:$K$202,11)/3*0.6,IF(A385&gt;2,B384+MIN(MAX(A384*50,1850),(B384-B383)*1.22,(B384-B383)+150),999)),B384+(B384-B383)),0))</f>
        <v>1361873</v>
      </c>
      <c r="C385">
        <f t="shared" si="44"/>
        <v>680937</v>
      </c>
      <c r="D385">
        <f t="shared" si="45"/>
        <v>3550</v>
      </c>
      <c r="E385">
        <f t="shared" si="46"/>
        <v>3547</v>
      </c>
      <c r="F385">
        <f>VLOOKUP(A385-1,Overview!$A$4:$K$202,11)/3*0.6</f>
        <v>753991.2</v>
      </c>
      <c r="G385" s="272">
        <f t="shared" si="47"/>
        <v>0.80621869326856865</v>
      </c>
      <c r="H385">
        <f>SUM(B$2:B385)*3</f>
        <v>716838810</v>
      </c>
      <c r="I385">
        <f>VLOOKUP(A385,Overview!A$4:L$202,12)</f>
        <v>259640016</v>
      </c>
      <c r="J385" s="158">
        <f t="shared" si="48"/>
        <v>1.7608949538810688</v>
      </c>
      <c r="K385" t="str">
        <f t="shared" si="49"/>
        <v>More expensive than it should be</v>
      </c>
    </row>
    <row r="386" spans="1:11">
      <c r="A386">
        <v>385</v>
      </c>
      <c r="B386">
        <f>IF(J385&gt;-0.4,B385+ROUNDUP(E385/50,0)*50,ROUNDUP(MAX(MIN(VLOOKUP(A386,Overview!$A$4:$K$202,11)/3*0.6,IF(A386&gt;2,B385+MIN(MAX(A385*50,1850),(B385-B384)*1.22,(B385-B384)+150),999)),B385+(B385-B384)),0))</f>
        <v>1365423</v>
      </c>
      <c r="C386">
        <f t="shared" si="44"/>
        <v>682712</v>
      </c>
      <c r="D386">
        <f t="shared" si="45"/>
        <v>3550</v>
      </c>
      <c r="E386">
        <f t="shared" si="46"/>
        <v>3547</v>
      </c>
      <c r="F386">
        <f>VLOOKUP(A386-1,Overview!$A$4:$K$202,11)/3*0.6</f>
        <v>753991.2</v>
      </c>
      <c r="G386" s="272">
        <f t="shared" si="47"/>
        <v>0.81092697103096167</v>
      </c>
      <c r="H386">
        <f>SUM(B$2:B386)*3</f>
        <v>720935079</v>
      </c>
      <c r="I386">
        <f>VLOOKUP(A386,Overview!A$4:L$202,12)</f>
        <v>259640016</v>
      </c>
      <c r="J386" s="158">
        <f t="shared" si="48"/>
        <v>1.7766716783748775</v>
      </c>
      <c r="K386" t="str">
        <f t="shared" si="49"/>
        <v>More expensive than it should be</v>
      </c>
    </row>
    <row r="387" spans="1:11">
      <c r="A387">
        <v>386</v>
      </c>
      <c r="B387">
        <f>IF(J386&gt;-0.4,B386+ROUNDUP(E386/50,0)*50,ROUNDUP(MAX(MIN(VLOOKUP(A387,Overview!$A$4:$K$202,11)/3*0.6,IF(A387&gt;2,B386+MIN(MAX(A386*50,1850),(B386-B385)*1.22,(B386-B385)+150),999)),B386+(B386-B385)),0))</f>
        <v>1368973</v>
      </c>
      <c r="C387">
        <f t="shared" si="44"/>
        <v>684487</v>
      </c>
      <c r="D387">
        <f t="shared" si="45"/>
        <v>3550</v>
      </c>
      <c r="E387">
        <f t="shared" si="46"/>
        <v>3547</v>
      </c>
      <c r="F387">
        <f>VLOOKUP(A387-1,Overview!$A$4:$K$202,11)/3*0.6</f>
        <v>753991.2</v>
      </c>
      <c r="G387" s="272">
        <f t="shared" si="47"/>
        <v>0.81563524879335469</v>
      </c>
      <c r="H387">
        <f>SUM(B$2:B387)*3</f>
        <v>725041998</v>
      </c>
      <c r="I387">
        <f>VLOOKUP(A387,Overview!A$4:L$202,12)</f>
        <v>259640016</v>
      </c>
      <c r="J387" s="158">
        <f t="shared" si="48"/>
        <v>1.7924894211992344</v>
      </c>
      <c r="K387" t="str">
        <f t="shared" si="49"/>
        <v>More expensive than it should be</v>
      </c>
    </row>
    <row r="388" spans="1:11">
      <c r="A388">
        <v>387</v>
      </c>
      <c r="B388">
        <f>IF(J387&gt;-0.4,B387+ROUNDUP(E387/50,0)*50,ROUNDUP(MAX(MIN(VLOOKUP(A388,Overview!$A$4:$K$202,11)/3*0.6,IF(A388&gt;2,B387+MIN(MAX(A387*50,1850),(B387-B386)*1.22,(B387-B386)+150),999)),B387+(B387-B386)),0))</f>
        <v>1372523</v>
      </c>
      <c r="C388">
        <f t="shared" si="44"/>
        <v>686262</v>
      </c>
      <c r="D388">
        <f t="shared" si="45"/>
        <v>3550</v>
      </c>
      <c r="E388">
        <f t="shared" si="46"/>
        <v>3547</v>
      </c>
      <c r="F388">
        <f>VLOOKUP(A388-1,Overview!$A$4:$K$202,11)/3*0.6</f>
        <v>753991.2</v>
      </c>
      <c r="G388" s="272">
        <f t="shared" si="47"/>
        <v>0.82034352655574772</v>
      </c>
      <c r="H388">
        <f>SUM(B$2:B388)*3</f>
        <v>729159567</v>
      </c>
      <c r="I388">
        <f>VLOOKUP(A388,Overview!A$4:L$202,12)</f>
        <v>259640016</v>
      </c>
      <c r="J388" s="158">
        <f t="shared" si="48"/>
        <v>1.8083481823541407</v>
      </c>
      <c r="K388" t="str">
        <f t="shared" si="49"/>
        <v>More expensive than it should be</v>
      </c>
    </row>
    <row r="389" spans="1:11">
      <c r="A389">
        <v>388</v>
      </c>
      <c r="B389">
        <f>IF(J388&gt;-0.4,B388+ROUNDUP(E388/50,0)*50,ROUNDUP(MAX(MIN(VLOOKUP(A389,Overview!$A$4:$K$202,11)/3*0.6,IF(A389&gt;2,B388+MIN(MAX(A388*50,1850),(B388-B387)*1.22,(B388-B387)+150),999)),B388+(B388-B387)),0))</f>
        <v>1376073</v>
      </c>
      <c r="C389">
        <f t="shared" si="44"/>
        <v>688037</v>
      </c>
      <c r="D389">
        <f t="shared" si="45"/>
        <v>3550</v>
      </c>
      <c r="E389">
        <f t="shared" si="46"/>
        <v>3547</v>
      </c>
      <c r="F389">
        <f>VLOOKUP(A389-1,Overview!$A$4:$K$202,11)/3*0.6</f>
        <v>753991.2</v>
      </c>
      <c r="G389" s="272">
        <f t="shared" si="47"/>
        <v>0.82505180431814074</v>
      </c>
      <c r="H389">
        <f>SUM(B$2:B389)*3</f>
        <v>733287786</v>
      </c>
      <c r="I389">
        <f>VLOOKUP(A389,Overview!A$4:L$202,12)</f>
        <v>259640016</v>
      </c>
      <c r="J389" s="158">
        <f t="shared" si="48"/>
        <v>1.8242479618395957</v>
      </c>
      <c r="K389" t="str">
        <f t="shared" si="49"/>
        <v>More expensive than it should be</v>
      </c>
    </row>
    <row r="390" spans="1:11">
      <c r="A390">
        <v>389</v>
      </c>
      <c r="B390">
        <f>IF(J389&gt;-0.4,B389+ROUNDUP(E389/50,0)*50,ROUNDUP(MAX(MIN(VLOOKUP(A390,Overview!$A$4:$K$202,11)/3*0.6,IF(A390&gt;2,B389+MIN(MAX(A389*50,1850),(B389-B388)*1.22,(B389-B388)+150),999)),B389+(B389-B388)),0))</f>
        <v>1379623</v>
      </c>
      <c r="C390">
        <f t="shared" si="44"/>
        <v>689812</v>
      </c>
      <c r="D390">
        <f t="shared" si="45"/>
        <v>3550</v>
      </c>
      <c r="E390">
        <f t="shared" si="46"/>
        <v>3547</v>
      </c>
      <c r="F390">
        <f>VLOOKUP(A390-1,Overview!$A$4:$K$202,11)/3*0.6</f>
        <v>753991.2</v>
      </c>
      <c r="G390" s="272">
        <f t="shared" si="47"/>
        <v>0.82976008208053376</v>
      </c>
      <c r="H390">
        <f>SUM(B$2:B390)*3</f>
        <v>737426655</v>
      </c>
      <c r="I390">
        <f>VLOOKUP(A390,Overview!A$4:L$202,12)</f>
        <v>259640016</v>
      </c>
      <c r="J390" s="158">
        <f t="shared" si="48"/>
        <v>1.8401887596555992</v>
      </c>
      <c r="K390" t="str">
        <f t="shared" si="49"/>
        <v>More expensive than it should be</v>
      </c>
    </row>
    <row r="391" spans="1:11">
      <c r="A391">
        <v>390</v>
      </c>
      <c r="B391">
        <f>IF(J390&gt;-0.4,B390+ROUNDUP(E390/50,0)*50,ROUNDUP(MAX(MIN(VLOOKUP(A391,Overview!$A$4:$K$202,11)/3*0.6,IF(A391&gt;2,B390+MIN(MAX(A390*50,1850),(B390-B389)*1.22,(B390-B389)+150),999)),B390+(B390-B389)),0))</f>
        <v>1383173</v>
      </c>
      <c r="C391">
        <f t="shared" si="44"/>
        <v>691587</v>
      </c>
      <c r="D391">
        <f t="shared" si="45"/>
        <v>3550</v>
      </c>
      <c r="E391">
        <f t="shared" si="46"/>
        <v>3547</v>
      </c>
      <c r="F391">
        <f>VLOOKUP(A391-1,Overview!$A$4:$K$202,11)/3*0.6</f>
        <v>753991.2</v>
      </c>
      <c r="G391" s="272">
        <f t="shared" si="47"/>
        <v>0.83446835984292655</v>
      </c>
      <c r="H391">
        <f>SUM(B$2:B391)*3</f>
        <v>741576174</v>
      </c>
      <c r="I391">
        <f>VLOOKUP(A391,Overview!A$4:L$202,12)</f>
        <v>259640016</v>
      </c>
      <c r="J391" s="158">
        <f t="shared" si="48"/>
        <v>1.8561705758021523</v>
      </c>
      <c r="K391" t="str">
        <f t="shared" si="49"/>
        <v>More expensive than it should be</v>
      </c>
    </row>
    <row r="392" spans="1:11">
      <c r="A392">
        <v>391</v>
      </c>
      <c r="B392">
        <f>IF(J391&gt;-0.4,B391+ROUNDUP(E391/50,0)*50,ROUNDUP(MAX(MIN(VLOOKUP(A392,Overview!$A$4:$K$202,11)/3*0.6,IF(A392&gt;2,B391+MIN(MAX(A391*50,1850),(B391-B390)*1.22,(B391-B390)+150),999)),B391+(B391-B390)),0))</f>
        <v>1386723</v>
      </c>
      <c r="C392">
        <f t="shared" si="44"/>
        <v>693362</v>
      </c>
      <c r="D392">
        <f t="shared" si="45"/>
        <v>3550</v>
      </c>
      <c r="E392">
        <f t="shared" si="46"/>
        <v>3547</v>
      </c>
      <c r="F392">
        <f>VLOOKUP(A392-1,Overview!$A$4:$K$202,11)/3*0.6</f>
        <v>753991.2</v>
      </c>
      <c r="G392" s="272">
        <f t="shared" si="47"/>
        <v>0.83917663760531958</v>
      </c>
      <c r="H392">
        <f>SUM(B$2:B392)*3</f>
        <v>745736343</v>
      </c>
      <c r="I392">
        <f>VLOOKUP(A392,Overview!A$4:L$202,12)</f>
        <v>259640016</v>
      </c>
      <c r="J392" s="158">
        <f t="shared" si="48"/>
        <v>1.8721934102792539</v>
      </c>
      <c r="K392" t="str">
        <f t="shared" si="49"/>
        <v>More expensive than it should be</v>
      </c>
    </row>
    <row r="393" spans="1:11">
      <c r="A393">
        <v>392</v>
      </c>
      <c r="B393">
        <f>IF(J392&gt;-0.4,B392+ROUNDUP(E392/50,0)*50,ROUNDUP(MAX(MIN(VLOOKUP(A393,Overview!$A$4:$K$202,11)/3*0.6,IF(A393&gt;2,B392+MIN(MAX(A392*50,1850),(B392-B391)*1.22,(B392-B391)+150),999)),B392+(B392-B391)),0))</f>
        <v>1390273</v>
      </c>
      <c r="C393">
        <f t="shared" ref="C393:C456" si="50">ROUND(B393/2,0)</f>
        <v>695137</v>
      </c>
      <c r="D393">
        <f t="shared" ref="D393:D456" si="51">B393-B392</f>
        <v>3550</v>
      </c>
      <c r="E393">
        <f t="shared" ref="E393:E456" si="52">ROUND(B393/A393,0)</f>
        <v>3547</v>
      </c>
      <c r="F393">
        <f>VLOOKUP(A393-1,Overview!$A$4:$K$202,11)/3*0.6</f>
        <v>753991.2</v>
      </c>
      <c r="G393" s="272">
        <f t="shared" ref="G393:G456" si="53">B393/F393-1</f>
        <v>0.8438849153677126</v>
      </c>
      <c r="H393">
        <f>SUM(B$2:B393)*3</f>
        <v>749907162</v>
      </c>
      <c r="I393">
        <f>VLOOKUP(A393,Overview!A$4:L$202,12)</f>
        <v>259640016</v>
      </c>
      <c r="J393" s="158">
        <f t="shared" ref="J393:J456" si="54">H393/I393-1</f>
        <v>1.8882572630869041</v>
      </c>
      <c r="K393" t="str">
        <f t="shared" ref="K393:K456" si="55">IF(J393&lt;-0.5,"Cheaper than it should be",IF(J393&gt;-0.3,"More expensive than it should be","about perfect"))</f>
        <v>More expensive than it should be</v>
      </c>
    </row>
    <row r="394" spans="1:11">
      <c r="A394">
        <v>393</v>
      </c>
      <c r="B394">
        <f>IF(J393&gt;-0.4,B393+ROUNDUP(E393/50,0)*50,ROUNDUP(MAX(MIN(VLOOKUP(A394,Overview!$A$4:$K$202,11)/3*0.6,IF(A394&gt;2,B393+MIN(MAX(A393*50,1850),(B393-B392)*1.22,(B393-B392)+150),999)),B393+(B393-B392)),0))</f>
        <v>1393823</v>
      </c>
      <c r="C394">
        <f t="shared" si="50"/>
        <v>696912</v>
      </c>
      <c r="D394">
        <f t="shared" si="51"/>
        <v>3550</v>
      </c>
      <c r="E394">
        <f t="shared" si="52"/>
        <v>3547</v>
      </c>
      <c r="F394">
        <f>VLOOKUP(A394-1,Overview!$A$4:$K$202,11)/3*0.6</f>
        <v>753991.2</v>
      </c>
      <c r="G394" s="272">
        <f t="shared" si="53"/>
        <v>0.84859319313010562</v>
      </c>
      <c r="H394">
        <f>SUM(B$2:B394)*3</f>
        <v>754088631</v>
      </c>
      <c r="I394">
        <f>VLOOKUP(A394,Overview!A$4:L$202,12)</f>
        <v>259640016</v>
      </c>
      <c r="J394" s="158">
        <f t="shared" si="54"/>
        <v>1.9043621342251034</v>
      </c>
      <c r="K394" t="str">
        <f t="shared" si="55"/>
        <v>More expensive than it should be</v>
      </c>
    </row>
    <row r="395" spans="1:11">
      <c r="A395">
        <v>394</v>
      </c>
      <c r="B395">
        <f>IF(J394&gt;-0.4,B394+ROUNDUP(E394/50,0)*50,ROUNDUP(MAX(MIN(VLOOKUP(A395,Overview!$A$4:$K$202,11)/3*0.6,IF(A395&gt;2,B394+MIN(MAX(A394*50,1850),(B394-B393)*1.22,(B394-B393)+150),999)),B394+(B394-B393)),0))</f>
        <v>1397373</v>
      </c>
      <c r="C395">
        <f t="shared" si="50"/>
        <v>698687</v>
      </c>
      <c r="D395">
        <f t="shared" si="51"/>
        <v>3550</v>
      </c>
      <c r="E395">
        <f t="shared" si="52"/>
        <v>3547</v>
      </c>
      <c r="F395">
        <f>VLOOKUP(A395-1,Overview!$A$4:$K$202,11)/3*0.6</f>
        <v>753991.2</v>
      </c>
      <c r="G395" s="272">
        <f t="shared" si="53"/>
        <v>0.85330147089249864</v>
      </c>
      <c r="H395">
        <f>SUM(B$2:B395)*3</f>
        <v>758280750</v>
      </c>
      <c r="I395">
        <f>VLOOKUP(A395,Overview!A$4:L$202,12)</f>
        <v>259640016</v>
      </c>
      <c r="J395" s="158">
        <f t="shared" si="54"/>
        <v>1.9205080236938517</v>
      </c>
      <c r="K395" t="str">
        <f t="shared" si="55"/>
        <v>More expensive than it should be</v>
      </c>
    </row>
    <row r="396" spans="1:11">
      <c r="A396">
        <v>395</v>
      </c>
      <c r="B396">
        <f>IF(J395&gt;-0.4,B395+ROUNDUP(E395/50,0)*50,ROUNDUP(MAX(MIN(VLOOKUP(A396,Overview!$A$4:$K$202,11)/3*0.6,IF(A396&gt;2,B395+MIN(MAX(A395*50,1850),(B395-B394)*1.22,(B395-B394)+150),999)),B395+(B395-B394)),0))</f>
        <v>1400923</v>
      </c>
      <c r="C396">
        <f t="shared" si="50"/>
        <v>700462</v>
      </c>
      <c r="D396">
        <f t="shared" si="51"/>
        <v>3550</v>
      </c>
      <c r="E396">
        <f t="shared" si="52"/>
        <v>3547</v>
      </c>
      <c r="F396">
        <f>VLOOKUP(A396-1,Overview!$A$4:$K$202,11)/3*0.6</f>
        <v>753991.2</v>
      </c>
      <c r="G396" s="272">
        <f t="shared" si="53"/>
        <v>0.85800974865489166</v>
      </c>
      <c r="H396">
        <f>SUM(B$2:B396)*3</f>
        <v>762483519</v>
      </c>
      <c r="I396">
        <f>VLOOKUP(A396,Overview!A$4:L$202,12)</f>
        <v>259640016</v>
      </c>
      <c r="J396" s="158">
        <f t="shared" si="54"/>
        <v>1.9366949314931485</v>
      </c>
      <c r="K396" t="str">
        <f t="shared" si="55"/>
        <v>More expensive than it should be</v>
      </c>
    </row>
    <row r="397" spans="1:11">
      <c r="A397">
        <v>396</v>
      </c>
      <c r="B397">
        <f>IF(J396&gt;-0.4,B396+ROUNDUP(E396/50,0)*50,ROUNDUP(MAX(MIN(VLOOKUP(A397,Overview!$A$4:$K$202,11)/3*0.6,IF(A397&gt;2,B396+MIN(MAX(A396*50,1850),(B396-B395)*1.22,(B396-B395)+150),999)),B396+(B396-B395)),0))</f>
        <v>1404473</v>
      </c>
      <c r="C397">
        <f t="shared" si="50"/>
        <v>702237</v>
      </c>
      <c r="D397">
        <f t="shared" si="51"/>
        <v>3550</v>
      </c>
      <c r="E397">
        <f t="shared" si="52"/>
        <v>3547</v>
      </c>
      <c r="F397">
        <f>VLOOKUP(A397-1,Overview!$A$4:$K$202,11)/3*0.6</f>
        <v>753991.2</v>
      </c>
      <c r="G397" s="272">
        <f t="shared" si="53"/>
        <v>0.86271802641728446</v>
      </c>
      <c r="H397">
        <f>SUM(B$2:B397)*3</f>
        <v>766696938</v>
      </c>
      <c r="I397">
        <f>VLOOKUP(A397,Overview!A$4:L$202,12)</f>
        <v>259640016</v>
      </c>
      <c r="J397" s="158">
        <f t="shared" si="54"/>
        <v>1.9529228576229944</v>
      </c>
      <c r="K397" t="str">
        <f t="shared" si="55"/>
        <v>More expensive than it should be</v>
      </c>
    </row>
    <row r="398" spans="1:11">
      <c r="A398">
        <v>397</v>
      </c>
      <c r="B398">
        <f>IF(J397&gt;-0.4,B397+ROUNDUP(E397/50,0)*50,ROUNDUP(MAX(MIN(VLOOKUP(A398,Overview!$A$4:$K$202,11)/3*0.6,IF(A398&gt;2,B397+MIN(MAX(A397*50,1850),(B397-B396)*1.22,(B397-B396)+150),999)),B397+(B397-B396)),0))</f>
        <v>1408023</v>
      </c>
      <c r="C398">
        <f t="shared" si="50"/>
        <v>704012</v>
      </c>
      <c r="D398">
        <f t="shared" si="51"/>
        <v>3550</v>
      </c>
      <c r="E398">
        <f t="shared" si="52"/>
        <v>3547</v>
      </c>
      <c r="F398">
        <f>VLOOKUP(A398-1,Overview!$A$4:$K$202,11)/3*0.6</f>
        <v>753991.2</v>
      </c>
      <c r="G398" s="272">
        <f t="shared" si="53"/>
        <v>0.86742630417967748</v>
      </c>
      <c r="H398">
        <f>SUM(B$2:B398)*3</f>
        <v>770921007</v>
      </c>
      <c r="I398">
        <f>VLOOKUP(A398,Overview!A$4:L$202,12)</f>
        <v>259640016</v>
      </c>
      <c r="J398" s="158">
        <f t="shared" si="54"/>
        <v>1.9691918020833894</v>
      </c>
      <c r="K398" t="str">
        <f t="shared" si="55"/>
        <v>More expensive than it should be</v>
      </c>
    </row>
    <row r="399" spans="1:11">
      <c r="A399">
        <v>398</v>
      </c>
      <c r="B399">
        <f>IF(J398&gt;-0.4,B398+ROUNDUP(E398/50,0)*50,ROUNDUP(MAX(MIN(VLOOKUP(A399,Overview!$A$4:$K$202,11)/3*0.6,IF(A399&gt;2,B398+MIN(MAX(A398*50,1850),(B398-B397)*1.22,(B398-B397)+150),999)),B398+(B398-B397)),0))</f>
        <v>1411573</v>
      </c>
      <c r="C399">
        <f t="shared" si="50"/>
        <v>705787</v>
      </c>
      <c r="D399">
        <f t="shared" si="51"/>
        <v>3550</v>
      </c>
      <c r="E399">
        <f t="shared" si="52"/>
        <v>3547</v>
      </c>
      <c r="F399">
        <f>VLOOKUP(A399-1,Overview!$A$4:$K$202,11)/3*0.6</f>
        <v>753991.2</v>
      </c>
      <c r="G399" s="272">
        <f t="shared" si="53"/>
        <v>0.8721345819420705</v>
      </c>
      <c r="H399">
        <f>SUM(B$2:B399)*3</f>
        <v>775155726</v>
      </c>
      <c r="I399">
        <f>VLOOKUP(A399,Overview!A$4:L$202,12)</f>
        <v>259640016</v>
      </c>
      <c r="J399" s="158">
        <f t="shared" si="54"/>
        <v>1.9855017648743329</v>
      </c>
      <c r="K399" t="str">
        <f t="shared" si="55"/>
        <v>More expensive than it should be</v>
      </c>
    </row>
    <row r="400" spans="1:11">
      <c r="A400">
        <v>399</v>
      </c>
      <c r="B400">
        <f>IF(J399&gt;-0.4,B399+ROUNDUP(E399/50,0)*50,ROUNDUP(MAX(MIN(VLOOKUP(A400,Overview!$A$4:$K$202,11)/3*0.6,IF(A400&gt;2,B399+MIN(MAX(A399*50,1850),(B399-B398)*1.22,(B399-B398)+150),999)),B399+(B399-B398)),0))</f>
        <v>1415123</v>
      </c>
      <c r="C400">
        <f t="shared" si="50"/>
        <v>707562</v>
      </c>
      <c r="D400">
        <f t="shared" si="51"/>
        <v>3550</v>
      </c>
      <c r="E400">
        <f t="shared" si="52"/>
        <v>3547</v>
      </c>
      <c r="F400">
        <f>VLOOKUP(A400-1,Overview!$A$4:$K$202,11)/3*0.6</f>
        <v>753991.2</v>
      </c>
      <c r="G400" s="272">
        <f t="shared" si="53"/>
        <v>0.87684285970446352</v>
      </c>
      <c r="H400">
        <f>SUM(B$2:B400)*3</f>
        <v>779401095</v>
      </c>
      <c r="I400">
        <f>VLOOKUP(A400,Overview!A$4:L$202,12)</f>
        <v>259640016</v>
      </c>
      <c r="J400" s="158">
        <f t="shared" si="54"/>
        <v>2.0018527459958251</v>
      </c>
      <c r="K400" t="str">
        <f t="shared" si="55"/>
        <v>More expensive than it should be</v>
      </c>
    </row>
    <row r="401" spans="1:11">
      <c r="A401">
        <v>400</v>
      </c>
      <c r="B401">
        <f>IF(J400&gt;-0.4,B400+ROUNDUP(E400/50,0)*50,ROUNDUP(MAX(MIN(VLOOKUP(A401,Overview!$A$4:$K$202,11)/3*0.6,IF(A401&gt;2,B400+MIN(MAX(A400*50,1850),(B400-B399)*1.22,(B400-B399)+150),999)),B400+(B400-B399)),0))</f>
        <v>1418673</v>
      </c>
      <c r="C401">
        <f t="shared" si="50"/>
        <v>709337</v>
      </c>
      <c r="D401">
        <f t="shared" si="51"/>
        <v>3550</v>
      </c>
      <c r="E401">
        <f t="shared" si="52"/>
        <v>3547</v>
      </c>
      <c r="F401">
        <f>VLOOKUP(A401-1,Overview!$A$4:$K$202,11)/3*0.6</f>
        <v>753991.2</v>
      </c>
      <c r="G401" s="272">
        <f t="shared" si="53"/>
        <v>0.88155113746685654</v>
      </c>
      <c r="H401">
        <f>SUM(B$2:B401)*3</f>
        <v>783657114</v>
      </c>
      <c r="I401">
        <f>VLOOKUP(A401,Overview!A$4:L$202,12)</f>
        <v>259640016</v>
      </c>
      <c r="J401" s="158">
        <f t="shared" si="54"/>
        <v>2.0182447454478667</v>
      </c>
      <c r="K401" t="str">
        <f t="shared" si="55"/>
        <v>More expensive than it should be</v>
      </c>
    </row>
    <row r="402" spans="1:11">
      <c r="A402">
        <v>401</v>
      </c>
      <c r="B402">
        <f>IF(J401&gt;-0.4,B401+ROUNDUP(E401/50,0)*50,ROUNDUP(MAX(MIN(VLOOKUP(A402,Overview!$A$4:$K$202,11)/3*0.6,IF(A402&gt;2,B401+MIN(MAX(A401*50,1850),(B401-B400)*1.22,(B401-B400)+150),999)),B401+(B401-B400)),0))</f>
        <v>1422223</v>
      </c>
      <c r="C402">
        <f t="shared" si="50"/>
        <v>711112</v>
      </c>
      <c r="D402">
        <f t="shared" si="51"/>
        <v>3550</v>
      </c>
      <c r="E402">
        <f t="shared" si="52"/>
        <v>3547</v>
      </c>
      <c r="F402">
        <f>VLOOKUP(A402-1,Overview!$A$4:$K$202,11)/3*0.6</f>
        <v>753991.2</v>
      </c>
      <c r="G402" s="272">
        <f t="shared" si="53"/>
        <v>0.88625941522924956</v>
      </c>
      <c r="H402">
        <f>SUM(B$2:B402)*3</f>
        <v>787923783</v>
      </c>
      <c r="I402">
        <f>VLOOKUP(A402,Overview!A$4:L$202,12)</f>
        <v>259640016</v>
      </c>
      <c r="J402" s="158">
        <f t="shared" si="54"/>
        <v>2.0346777632304569</v>
      </c>
      <c r="K402" t="str">
        <f t="shared" si="55"/>
        <v>More expensive than it should be</v>
      </c>
    </row>
    <row r="403" spans="1:11">
      <c r="A403">
        <v>402</v>
      </c>
      <c r="B403">
        <f>IF(J402&gt;-0.4,B402+ROUNDUP(E402/50,0)*50,ROUNDUP(MAX(MIN(VLOOKUP(A403,Overview!$A$4:$K$202,11)/3*0.6,IF(A403&gt;2,B402+MIN(MAX(A402*50,1850),(B402-B401)*1.22,(B402-B401)+150),999)),B402+(B402-B401)),0))</f>
        <v>1425773</v>
      </c>
      <c r="C403">
        <f t="shared" si="50"/>
        <v>712887</v>
      </c>
      <c r="D403">
        <f t="shared" si="51"/>
        <v>3550</v>
      </c>
      <c r="E403">
        <f t="shared" si="52"/>
        <v>3547</v>
      </c>
      <c r="F403">
        <f>VLOOKUP(A403-1,Overview!$A$4:$K$202,11)/3*0.6</f>
        <v>753991.2</v>
      </c>
      <c r="G403" s="272">
        <f t="shared" si="53"/>
        <v>0.89096769299164236</v>
      </c>
      <c r="H403">
        <f>SUM(B$2:B403)*3</f>
        <v>792201102</v>
      </c>
      <c r="I403">
        <f>VLOOKUP(A403,Overview!A$4:L$202,12)</f>
        <v>259640016</v>
      </c>
      <c r="J403" s="158">
        <f t="shared" si="54"/>
        <v>2.0511517993435957</v>
      </c>
      <c r="K403" t="str">
        <f t="shared" si="55"/>
        <v>More expensive than it should be</v>
      </c>
    </row>
    <row r="404" spans="1:11">
      <c r="A404">
        <v>403</v>
      </c>
      <c r="B404">
        <f>IF(J403&gt;-0.4,B403+ROUNDUP(E403/50,0)*50,ROUNDUP(MAX(MIN(VLOOKUP(A404,Overview!$A$4:$K$202,11)/3*0.6,IF(A404&gt;2,B403+MIN(MAX(A403*50,1850),(B403-B402)*1.22,(B403-B402)+150),999)),B403+(B403-B402)),0))</f>
        <v>1429323</v>
      </c>
      <c r="C404">
        <f t="shared" si="50"/>
        <v>714662</v>
      </c>
      <c r="D404">
        <f t="shared" si="51"/>
        <v>3550</v>
      </c>
      <c r="E404">
        <f t="shared" si="52"/>
        <v>3547</v>
      </c>
      <c r="F404">
        <f>VLOOKUP(A404-1,Overview!$A$4:$K$202,11)/3*0.6</f>
        <v>753991.2</v>
      </c>
      <c r="G404" s="272">
        <f t="shared" si="53"/>
        <v>0.89567597075403538</v>
      </c>
      <c r="H404">
        <f>SUM(B$2:B404)*3</f>
        <v>796489071</v>
      </c>
      <c r="I404">
        <f>VLOOKUP(A404,Overview!A$4:L$202,12)</f>
        <v>259640016</v>
      </c>
      <c r="J404" s="158">
        <f t="shared" si="54"/>
        <v>2.0676668537872835</v>
      </c>
      <c r="K404" t="str">
        <f t="shared" si="55"/>
        <v>More expensive than it should be</v>
      </c>
    </row>
    <row r="405" spans="1:11">
      <c r="A405">
        <v>404</v>
      </c>
      <c r="B405">
        <f>IF(J404&gt;-0.4,B404+ROUNDUP(E404/50,0)*50,ROUNDUP(MAX(MIN(VLOOKUP(A405,Overview!$A$4:$K$202,11)/3*0.6,IF(A405&gt;2,B404+MIN(MAX(A404*50,1850),(B404-B403)*1.22,(B404-B403)+150),999)),B404+(B404-B403)),0))</f>
        <v>1432873</v>
      </c>
      <c r="C405">
        <f t="shared" si="50"/>
        <v>716437</v>
      </c>
      <c r="D405">
        <f t="shared" si="51"/>
        <v>3550</v>
      </c>
      <c r="E405">
        <f t="shared" si="52"/>
        <v>3547</v>
      </c>
      <c r="F405">
        <f>VLOOKUP(A405-1,Overview!$A$4:$K$202,11)/3*0.6</f>
        <v>753991.2</v>
      </c>
      <c r="G405" s="272">
        <f t="shared" si="53"/>
        <v>0.9003842485164284</v>
      </c>
      <c r="H405">
        <f>SUM(B$2:B405)*3</f>
        <v>800787690</v>
      </c>
      <c r="I405">
        <f>VLOOKUP(A405,Overview!A$4:L$202,12)</f>
        <v>259640016</v>
      </c>
      <c r="J405" s="158">
        <f t="shared" si="54"/>
        <v>2.0842229265615204</v>
      </c>
      <c r="K405" t="str">
        <f t="shared" si="55"/>
        <v>More expensive than it should be</v>
      </c>
    </row>
    <row r="406" spans="1:11">
      <c r="A406">
        <v>405</v>
      </c>
      <c r="B406">
        <f>IF(J405&gt;-0.4,B405+ROUNDUP(E405/50,0)*50,ROUNDUP(MAX(MIN(VLOOKUP(A406,Overview!$A$4:$K$202,11)/3*0.6,IF(A406&gt;2,B405+MIN(MAX(A405*50,1850),(B405-B404)*1.22,(B405-B404)+150),999)),B405+(B405-B404)),0))</f>
        <v>1436423</v>
      </c>
      <c r="C406">
        <f t="shared" si="50"/>
        <v>718212</v>
      </c>
      <c r="D406">
        <f t="shared" si="51"/>
        <v>3550</v>
      </c>
      <c r="E406">
        <f t="shared" si="52"/>
        <v>3547</v>
      </c>
      <c r="F406">
        <f>VLOOKUP(A406-1,Overview!$A$4:$K$202,11)/3*0.6</f>
        <v>753991.2</v>
      </c>
      <c r="G406" s="272">
        <f t="shared" si="53"/>
        <v>0.90509252627882142</v>
      </c>
      <c r="H406">
        <f>SUM(B$2:B406)*3</f>
        <v>805096959</v>
      </c>
      <c r="I406">
        <f>VLOOKUP(A406,Overview!A$4:L$202,12)</f>
        <v>259640016</v>
      </c>
      <c r="J406" s="158">
        <f t="shared" si="54"/>
        <v>2.1008200176663063</v>
      </c>
      <c r="K406" t="str">
        <f t="shared" si="55"/>
        <v>More expensive than it should be</v>
      </c>
    </row>
    <row r="407" spans="1:11">
      <c r="A407">
        <v>406</v>
      </c>
      <c r="B407">
        <f>IF(J406&gt;-0.4,B406+ROUNDUP(E406/50,0)*50,ROUNDUP(MAX(MIN(VLOOKUP(A407,Overview!$A$4:$K$202,11)/3*0.6,IF(A407&gt;2,B406+MIN(MAX(A406*50,1850),(B406-B405)*1.22,(B406-B405)+150),999)),B406+(B406-B405)),0))</f>
        <v>1439973</v>
      </c>
      <c r="C407">
        <f t="shared" si="50"/>
        <v>719987</v>
      </c>
      <c r="D407">
        <f t="shared" si="51"/>
        <v>3550</v>
      </c>
      <c r="E407">
        <f t="shared" si="52"/>
        <v>3547</v>
      </c>
      <c r="F407">
        <f>VLOOKUP(A407-1,Overview!$A$4:$K$202,11)/3*0.6</f>
        <v>753991.2</v>
      </c>
      <c r="G407" s="272">
        <f t="shared" si="53"/>
        <v>0.90980080404121444</v>
      </c>
      <c r="H407">
        <f>SUM(B$2:B407)*3</f>
        <v>809416878</v>
      </c>
      <c r="I407">
        <f>VLOOKUP(A407,Overview!A$4:L$202,12)</f>
        <v>259640016</v>
      </c>
      <c r="J407" s="158">
        <f t="shared" si="54"/>
        <v>2.1174581271016404</v>
      </c>
      <c r="K407" t="str">
        <f t="shared" si="55"/>
        <v>More expensive than it should be</v>
      </c>
    </row>
    <row r="408" spans="1:11">
      <c r="A408">
        <v>407</v>
      </c>
      <c r="B408">
        <f>IF(J407&gt;-0.4,B407+ROUNDUP(E407/50,0)*50,ROUNDUP(MAX(MIN(VLOOKUP(A408,Overview!$A$4:$K$202,11)/3*0.6,IF(A408&gt;2,B407+MIN(MAX(A407*50,1850),(B407-B406)*1.22,(B407-B406)+150),999)),B407+(B407-B406)),0))</f>
        <v>1443523</v>
      </c>
      <c r="C408">
        <f t="shared" si="50"/>
        <v>721762</v>
      </c>
      <c r="D408">
        <f t="shared" si="51"/>
        <v>3550</v>
      </c>
      <c r="E408">
        <f t="shared" si="52"/>
        <v>3547</v>
      </c>
      <c r="F408">
        <f>VLOOKUP(A408-1,Overview!$A$4:$K$202,11)/3*0.6</f>
        <v>753991.2</v>
      </c>
      <c r="G408" s="272">
        <f t="shared" si="53"/>
        <v>0.91450908180360746</v>
      </c>
      <c r="H408">
        <f>SUM(B$2:B408)*3</f>
        <v>813747447</v>
      </c>
      <c r="I408">
        <f>VLOOKUP(A408,Overview!A$4:L$202,12)</f>
        <v>259640016</v>
      </c>
      <c r="J408" s="158">
        <f t="shared" si="54"/>
        <v>2.1341372548675239</v>
      </c>
      <c r="K408" t="str">
        <f t="shared" si="55"/>
        <v>More expensive than it should be</v>
      </c>
    </row>
    <row r="409" spans="1:11">
      <c r="A409">
        <v>408</v>
      </c>
      <c r="B409">
        <f>IF(J408&gt;-0.4,B408+ROUNDUP(E408/50,0)*50,ROUNDUP(MAX(MIN(VLOOKUP(A409,Overview!$A$4:$K$202,11)/3*0.6,IF(A409&gt;2,B408+MIN(MAX(A408*50,1850),(B408-B407)*1.22,(B408-B407)+150),999)),B408+(B408-B407)),0))</f>
        <v>1447073</v>
      </c>
      <c r="C409">
        <f t="shared" si="50"/>
        <v>723537</v>
      </c>
      <c r="D409">
        <f t="shared" si="51"/>
        <v>3550</v>
      </c>
      <c r="E409">
        <f t="shared" si="52"/>
        <v>3547</v>
      </c>
      <c r="F409">
        <f>VLOOKUP(A409-1,Overview!$A$4:$K$202,11)/3*0.6</f>
        <v>753991.2</v>
      </c>
      <c r="G409" s="272">
        <f t="shared" si="53"/>
        <v>0.91921735956600026</v>
      </c>
      <c r="H409">
        <f>SUM(B$2:B409)*3</f>
        <v>818088666</v>
      </c>
      <c r="I409">
        <f>VLOOKUP(A409,Overview!A$4:L$202,12)</f>
        <v>259640016</v>
      </c>
      <c r="J409" s="158">
        <f t="shared" si="54"/>
        <v>2.1508574009639561</v>
      </c>
      <c r="K409" t="str">
        <f t="shared" si="55"/>
        <v>More expensive than it should be</v>
      </c>
    </row>
    <row r="410" spans="1:11">
      <c r="A410">
        <v>409</v>
      </c>
      <c r="B410">
        <f>IF(J409&gt;-0.4,B409+ROUNDUP(E409/50,0)*50,ROUNDUP(MAX(MIN(VLOOKUP(A410,Overview!$A$4:$K$202,11)/3*0.6,IF(A410&gt;2,B409+MIN(MAX(A409*50,1850),(B409-B408)*1.22,(B409-B408)+150),999)),B409+(B409-B408)),0))</f>
        <v>1450623</v>
      </c>
      <c r="C410">
        <f t="shared" si="50"/>
        <v>725312</v>
      </c>
      <c r="D410">
        <f t="shared" si="51"/>
        <v>3550</v>
      </c>
      <c r="E410">
        <f t="shared" si="52"/>
        <v>3547</v>
      </c>
      <c r="F410">
        <f>VLOOKUP(A410-1,Overview!$A$4:$K$202,11)/3*0.6</f>
        <v>753991.2</v>
      </c>
      <c r="G410" s="272">
        <f t="shared" si="53"/>
        <v>0.92392563732839328</v>
      </c>
      <c r="H410">
        <f>SUM(B$2:B410)*3</f>
        <v>822440535</v>
      </c>
      <c r="I410">
        <f>VLOOKUP(A410,Overview!A$4:L$202,12)</f>
        <v>259640016</v>
      </c>
      <c r="J410" s="158">
        <f t="shared" si="54"/>
        <v>2.1676185653909372</v>
      </c>
      <c r="K410" t="str">
        <f t="shared" si="55"/>
        <v>More expensive than it should be</v>
      </c>
    </row>
    <row r="411" spans="1:11">
      <c r="A411">
        <v>410</v>
      </c>
      <c r="B411">
        <f>IF(J410&gt;-0.4,B410+ROUNDUP(E410/50,0)*50,ROUNDUP(MAX(MIN(VLOOKUP(A411,Overview!$A$4:$K$202,11)/3*0.6,IF(A411&gt;2,B410+MIN(MAX(A410*50,1850),(B410-B409)*1.22,(B410-B409)+150),999)),B410+(B410-B409)),0))</f>
        <v>1454173</v>
      </c>
      <c r="C411">
        <f t="shared" si="50"/>
        <v>727087</v>
      </c>
      <c r="D411">
        <f t="shared" si="51"/>
        <v>3550</v>
      </c>
      <c r="E411">
        <f t="shared" si="52"/>
        <v>3547</v>
      </c>
      <c r="F411">
        <f>VLOOKUP(A411-1,Overview!$A$4:$K$202,11)/3*0.6</f>
        <v>753991.2</v>
      </c>
      <c r="G411" s="272">
        <f t="shared" si="53"/>
        <v>0.9286339150907863</v>
      </c>
      <c r="H411">
        <f>SUM(B$2:B411)*3</f>
        <v>826803054</v>
      </c>
      <c r="I411">
        <f>VLOOKUP(A411,Overview!A$4:L$202,12)</f>
        <v>259640016</v>
      </c>
      <c r="J411" s="158">
        <f t="shared" si="54"/>
        <v>2.1844207481484674</v>
      </c>
      <c r="K411" t="str">
        <f t="shared" si="55"/>
        <v>More expensive than it should be</v>
      </c>
    </row>
    <row r="412" spans="1:11">
      <c r="A412">
        <v>411</v>
      </c>
      <c r="B412">
        <f>IF(J411&gt;-0.4,B411+ROUNDUP(E411/50,0)*50,ROUNDUP(MAX(MIN(VLOOKUP(A412,Overview!$A$4:$K$202,11)/3*0.6,IF(A412&gt;2,B411+MIN(MAX(A411*50,1850),(B411-B410)*1.22,(B411-B410)+150),999)),B411+(B411-B410)),0))</f>
        <v>1457723</v>
      </c>
      <c r="C412">
        <f t="shared" si="50"/>
        <v>728862</v>
      </c>
      <c r="D412">
        <f t="shared" si="51"/>
        <v>3550</v>
      </c>
      <c r="E412">
        <f t="shared" si="52"/>
        <v>3547</v>
      </c>
      <c r="F412">
        <f>VLOOKUP(A412-1,Overview!$A$4:$K$202,11)/3*0.6</f>
        <v>753991.2</v>
      </c>
      <c r="G412" s="272">
        <f t="shared" si="53"/>
        <v>0.93334219285317932</v>
      </c>
      <c r="H412">
        <f>SUM(B$2:B412)*3</f>
        <v>831176223</v>
      </c>
      <c r="I412">
        <f>VLOOKUP(A412,Overview!A$4:L$202,12)</f>
        <v>259640016</v>
      </c>
      <c r="J412" s="158">
        <f t="shared" si="54"/>
        <v>2.2012639492365462</v>
      </c>
      <c r="K412" t="str">
        <f t="shared" si="55"/>
        <v>More expensive than it should be</v>
      </c>
    </row>
    <row r="413" spans="1:11">
      <c r="A413">
        <v>412</v>
      </c>
      <c r="B413">
        <f>IF(J412&gt;-0.4,B412+ROUNDUP(E412/50,0)*50,ROUNDUP(MAX(MIN(VLOOKUP(A413,Overview!$A$4:$K$202,11)/3*0.6,IF(A413&gt;2,B412+MIN(MAX(A412*50,1850),(B412-B411)*1.22,(B412-B411)+150),999)),B412+(B412-B411)),0))</f>
        <v>1461273</v>
      </c>
      <c r="C413">
        <f t="shared" si="50"/>
        <v>730637</v>
      </c>
      <c r="D413">
        <f t="shared" si="51"/>
        <v>3550</v>
      </c>
      <c r="E413">
        <f t="shared" si="52"/>
        <v>3547</v>
      </c>
      <c r="F413">
        <f>VLOOKUP(A413-1,Overview!$A$4:$K$202,11)/3*0.6</f>
        <v>753991.2</v>
      </c>
      <c r="G413" s="272">
        <f t="shared" si="53"/>
        <v>0.93805047061557234</v>
      </c>
      <c r="H413">
        <f>SUM(B$2:B413)*3</f>
        <v>835560042</v>
      </c>
      <c r="I413">
        <f>VLOOKUP(A413,Overview!A$4:L$202,12)</f>
        <v>259640016</v>
      </c>
      <c r="J413" s="158">
        <f t="shared" si="54"/>
        <v>2.2181481686551736</v>
      </c>
      <c r="K413" t="str">
        <f t="shared" si="55"/>
        <v>More expensive than it should be</v>
      </c>
    </row>
    <row r="414" spans="1:11">
      <c r="A414">
        <v>413</v>
      </c>
      <c r="B414">
        <f>IF(J413&gt;-0.4,B413+ROUNDUP(E413/50,0)*50,ROUNDUP(MAX(MIN(VLOOKUP(A414,Overview!$A$4:$K$202,11)/3*0.6,IF(A414&gt;2,B413+MIN(MAX(A413*50,1850),(B413-B412)*1.22,(B413-B412)+150),999)),B413+(B413-B412)),0))</f>
        <v>1464823</v>
      </c>
      <c r="C414">
        <f t="shared" si="50"/>
        <v>732412</v>
      </c>
      <c r="D414">
        <f t="shared" si="51"/>
        <v>3550</v>
      </c>
      <c r="E414">
        <f t="shared" si="52"/>
        <v>3547</v>
      </c>
      <c r="F414">
        <f>VLOOKUP(A414-1,Overview!$A$4:$K$202,11)/3*0.6</f>
        <v>753991.2</v>
      </c>
      <c r="G414" s="272">
        <f t="shared" si="53"/>
        <v>0.94275874837796536</v>
      </c>
      <c r="H414">
        <f>SUM(B$2:B414)*3</f>
        <v>839954511</v>
      </c>
      <c r="I414">
        <f>VLOOKUP(A414,Overview!A$4:L$202,12)</f>
        <v>259640016</v>
      </c>
      <c r="J414" s="158">
        <f t="shared" si="54"/>
        <v>2.23507340640435</v>
      </c>
      <c r="K414" t="str">
        <f t="shared" si="55"/>
        <v>More expensive than it should be</v>
      </c>
    </row>
    <row r="415" spans="1:11">
      <c r="A415">
        <v>414</v>
      </c>
      <c r="B415">
        <f>IF(J414&gt;-0.4,B414+ROUNDUP(E414/50,0)*50,ROUNDUP(MAX(MIN(VLOOKUP(A415,Overview!$A$4:$K$202,11)/3*0.6,IF(A415&gt;2,B414+MIN(MAX(A414*50,1850),(B414-B413)*1.22,(B414-B413)+150),999)),B414+(B414-B413)),0))</f>
        <v>1468373</v>
      </c>
      <c r="C415">
        <f t="shared" si="50"/>
        <v>734187</v>
      </c>
      <c r="D415">
        <f t="shared" si="51"/>
        <v>3550</v>
      </c>
      <c r="E415">
        <f t="shared" si="52"/>
        <v>3547</v>
      </c>
      <c r="F415">
        <f>VLOOKUP(A415-1,Overview!$A$4:$K$202,11)/3*0.6</f>
        <v>753991.2</v>
      </c>
      <c r="G415" s="272">
        <f t="shared" si="53"/>
        <v>0.94746702614035816</v>
      </c>
      <c r="H415">
        <f>SUM(B$2:B415)*3</f>
        <v>844359630</v>
      </c>
      <c r="I415">
        <f>VLOOKUP(A415,Overview!A$4:L$202,12)</f>
        <v>259640016</v>
      </c>
      <c r="J415" s="158">
        <f t="shared" si="54"/>
        <v>2.2520396624840755</v>
      </c>
      <c r="K415" t="str">
        <f t="shared" si="55"/>
        <v>More expensive than it should be</v>
      </c>
    </row>
    <row r="416" spans="1:11">
      <c r="A416">
        <v>415</v>
      </c>
      <c r="B416">
        <f>IF(J415&gt;-0.4,B415+ROUNDUP(E415/50,0)*50,ROUNDUP(MAX(MIN(VLOOKUP(A416,Overview!$A$4:$K$202,11)/3*0.6,IF(A416&gt;2,B415+MIN(MAX(A415*50,1850),(B415-B414)*1.22,(B415-B414)+150),999)),B415+(B415-B414)),0))</f>
        <v>1471923</v>
      </c>
      <c r="C416">
        <f t="shared" si="50"/>
        <v>735962</v>
      </c>
      <c r="D416">
        <f t="shared" si="51"/>
        <v>3550</v>
      </c>
      <c r="E416">
        <f t="shared" si="52"/>
        <v>3547</v>
      </c>
      <c r="F416">
        <f>VLOOKUP(A416-1,Overview!$A$4:$K$202,11)/3*0.6</f>
        <v>753991.2</v>
      </c>
      <c r="G416" s="272">
        <f t="shared" si="53"/>
        <v>0.95217530390275118</v>
      </c>
      <c r="H416">
        <f>SUM(B$2:B416)*3</f>
        <v>848775399</v>
      </c>
      <c r="I416">
        <f>VLOOKUP(A416,Overview!A$4:L$202,12)</f>
        <v>259640016</v>
      </c>
      <c r="J416" s="158">
        <f t="shared" si="54"/>
        <v>2.26904693689435</v>
      </c>
      <c r="K416" t="str">
        <f t="shared" si="55"/>
        <v>More expensive than it should be</v>
      </c>
    </row>
    <row r="417" spans="1:11">
      <c r="A417">
        <v>416</v>
      </c>
      <c r="B417">
        <f>IF(J416&gt;-0.4,B416+ROUNDUP(E416/50,0)*50,ROUNDUP(MAX(MIN(VLOOKUP(A417,Overview!$A$4:$K$202,11)/3*0.6,IF(A417&gt;2,B416+MIN(MAX(A416*50,1850),(B416-B415)*1.22,(B416-B415)+150),999)),B416+(B416-B415)),0))</f>
        <v>1475473</v>
      </c>
      <c r="C417">
        <f t="shared" si="50"/>
        <v>737737</v>
      </c>
      <c r="D417">
        <f t="shared" si="51"/>
        <v>3550</v>
      </c>
      <c r="E417">
        <f t="shared" si="52"/>
        <v>3547</v>
      </c>
      <c r="F417">
        <f>VLOOKUP(A417-1,Overview!$A$4:$K$202,11)/3*0.6</f>
        <v>753991.2</v>
      </c>
      <c r="G417" s="272">
        <f t="shared" si="53"/>
        <v>0.9568835816651442</v>
      </c>
      <c r="H417">
        <f>SUM(B$2:B417)*3</f>
        <v>853201818</v>
      </c>
      <c r="I417">
        <f>VLOOKUP(A417,Overview!A$4:L$202,12)</f>
        <v>259640016</v>
      </c>
      <c r="J417" s="158">
        <f t="shared" si="54"/>
        <v>2.2860952296351731</v>
      </c>
      <c r="K417" t="str">
        <f t="shared" si="55"/>
        <v>More expensive than it should be</v>
      </c>
    </row>
    <row r="418" spans="1:11">
      <c r="A418">
        <v>417</v>
      </c>
      <c r="B418">
        <f>IF(J417&gt;-0.4,B417+ROUNDUP(E417/50,0)*50,ROUNDUP(MAX(MIN(VLOOKUP(A418,Overview!$A$4:$K$202,11)/3*0.6,IF(A418&gt;2,B417+MIN(MAX(A417*50,1850),(B417-B416)*1.22,(B417-B416)+150),999)),B417+(B417-B416)),0))</f>
        <v>1479023</v>
      </c>
      <c r="C418">
        <f t="shared" si="50"/>
        <v>739512</v>
      </c>
      <c r="D418">
        <f t="shared" si="51"/>
        <v>3550</v>
      </c>
      <c r="E418">
        <f t="shared" si="52"/>
        <v>3547</v>
      </c>
      <c r="F418">
        <f>VLOOKUP(A418-1,Overview!$A$4:$K$202,11)/3*0.6</f>
        <v>753991.2</v>
      </c>
      <c r="G418" s="272">
        <f t="shared" si="53"/>
        <v>0.96159185942753722</v>
      </c>
      <c r="H418">
        <f>SUM(B$2:B418)*3</f>
        <v>857638887</v>
      </c>
      <c r="I418">
        <f>VLOOKUP(A418,Overview!A$4:L$202,12)</f>
        <v>259640016</v>
      </c>
      <c r="J418" s="158">
        <f t="shared" si="54"/>
        <v>2.3031845407065452</v>
      </c>
      <c r="K418" t="str">
        <f t="shared" si="55"/>
        <v>More expensive than it should be</v>
      </c>
    </row>
    <row r="419" spans="1:11">
      <c r="A419">
        <v>418</v>
      </c>
      <c r="B419">
        <f>IF(J418&gt;-0.4,B418+ROUNDUP(E418/50,0)*50,ROUNDUP(MAX(MIN(VLOOKUP(A419,Overview!$A$4:$K$202,11)/3*0.6,IF(A419&gt;2,B418+MIN(MAX(A418*50,1850),(B418-B417)*1.22,(B418-B417)+150),999)),B418+(B418-B417)),0))</f>
        <v>1482573</v>
      </c>
      <c r="C419">
        <f t="shared" si="50"/>
        <v>741287</v>
      </c>
      <c r="D419">
        <f t="shared" si="51"/>
        <v>3550</v>
      </c>
      <c r="E419">
        <f t="shared" si="52"/>
        <v>3547</v>
      </c>
      <c r="F419">
        <f>VLOOKUP(A419-1,Overview!$A$4:$K$202,11)/3*0.6</f>
        <v>753991.2</v>
      </c>
      <c r="G419" s="272">
        <f t="shared" si="53"/>
        <v>0.96630013718993024</v>
      </c>
      <c r="H419">
        <f>SUM(B$2:B419)*3</f>
        <v>862086606</v>
      </c>
      <c r="I419">
        <f>VLOOKUP(A419,Overview!A$4:L$202,12)</f>
        <v>259640016</v>
      </c>
      <c r="J419" s="158">
        <f t="shared" si="54"/>
        <v>2.3203148701084659</v>
      </c>
      <c r="K419" t="str">
        <f t="shared" si="55"/>
        <v>More expensive than it should be</v>
      </c>
    </row>
    <row r="420" spans="1:11">
      <c r="A420">
        <v>419</v>
      </c>
      <c r="B420">
        <f>IF(J419&gt;-0.4,B419+ROUNDUP(E419/50,0)*50,ROUNDUP(MAX(MIN(VLOOKUP(A420,Overview!$A$4:$K$202,11)/3*0.6,IF(A420&gt;2,B419+MIN(MAX(A419*50,1850),(B419-B418)*1.22,(B419-B418)+150),999)),B419+(B419-B418)),0))</f>
        <v>1486123</v>
      </c>
      <c r="C420">
        <f t="shared" si="50"/>
        <v>743062</v>
      </c>
      <c r="D420">
        <f t="shared" si="51"/>
        <v>3550</v>
      </c>
      <c r="E420">
        <f t="shared" si="52"/>
        <v>3547</v>
      </c>
      <c r="F420">
        <f>VLOOKUP(A420-1,Overview!$A$4:$K$202,11)/3*0.6</f>
        <v>753991.2</v>
      </c>
      <c r="G420" s="272">
        <f t="shared" si="53"/>
        <v>0.97100841495232326</v>
      </c>
      <c r="H420">
        <f>SUM(B$2:B420)*3</f>
        <v>866544975</v>
      </c>
      <c r="I420">
        <f>VLOOKUP(A420,Overview!A$4:L$202,12)</f>
        <v>259640016</v>
      </c>
      <c r="J420" s="158">
        <f t="shared" si="54"/>
        <v>2.3374862178409357</v>
      </c>
      <c r="K420" t="str">
        <f t="shared" si="55"/>
        <v>More expensive than it should be</v>
      </c>
    </row>
    <row r="421" spans="1:11">
      <c r="A421">
        <v>420</v>
      </c>
      <c r="B421">
        <f>IF(J420&gt;-0.4,B420+ROUNDUP(E420/50,0)*50,ROUNDUP(MAX(MIN(VLOOKUP(A421,Overview!$A$4:$K$202,11)/3*0.6,IF(A421&gt;2,B420+MIN(MAX(A420*50,1850),(B420-B419)*1.22,(B420-B419)+150),999)),B420+(B420-B419)),0))</f>
        <v>1489673</v>
      </c>
      <c r="C421">
        <f t="shared" si="50"/>
        <v>744837</v>
      </c>
      <c r="D421">
        <f t="shared" si="51"/>
        <v>3550</v>
      </c>
      <c r="E421">
        <f t="shared" si="52"/>
        <v>3547</v>
      </c>
      <c r="F421">
        <f>VLOOKUP(A421-1,Overview!$A$4:$K$202,11)/3*0.6</f>
        <v>753991.2</v>
      </c>
      <c r="G421" s="272">
        <f t="shared" si="53"/>
        <v>0.97571669271471606</v>
      </c>
      <c r="H421">
        <f>SUM(B$2:B421)*3</f>
        <v>871013994</v>
      </c>
      <c r="I421">
        <f>VLOOKUP(A421,Overview!A$4:L$202,12)</f>
        <v>259640016</v>
      </c>
      <c r="J421" s="158">
        <f t="shared" si="54"/>
        <v>2.354698583903954</v>
      </c>
      <c r="K421" t="str">
        <f t="shared" si="55"/>
        <v>More expensive than it should be</v>
      </c>
    </row>
    <row r="422" spans="1:11">
      <c r="A422">
        <v>421</v>
      </c>
      <c r="B422">
        <f>IF(J421&gt;-0.4,B421+ROUNDUP(E421/50,0)*50,ROUNDUP(MAX(MIN(VLOOKUP(A422,Overview!$A$4:$K$202,11)/3*0.6,IF(A422&gt;2,B421+MIN(MAX(A421*50,1850),(B421-B420)*1.22,(B421-B420)+150),999)),B421+(B421-B420)),0))</f>
        <v>1493223</v>
      </c>
      <c r="C422">
        <f t="shared" si="50"/>
        <v>746612</v>
      </c>
      <c r="D422">
        <f t="shared" si="51"/>
        <v>3550</v>
      </c>
      <c r="E422">
        <f t="shared" si="52"/>
        <v>3547</v>
      </c>
      <c r="F422">
        <f>VLOOKUP(A422-1,Overview!$A$4:$K$202,11)/3*0.6</f>
        <v>753991.2</v>
      </c>
      <c r="G422" s="272">
        <f t="shared" si="53"/>
        <v>0.98042497047710908</v>
      </c>
      <c r="H422">
        <f>SUM(B$2:B422)*3</f>
        <v>875493663</v>
      </c>
      <c r="I422">
        <f>VLOOKUP(A422,Overview!A$4:L$202,12)</f>
        <v>259640016</v>
      </c>
      <c r="J422" s="158">
        <f t="shared" si="54"/>
        <v>2.3719519682975214</v>
      </c>
      <c r="K422" t="str">
        <f t="shared" si="55"/>
        <v>More expensive than it should be</v>
      </c>
    </row>
    <row r="423" spans="1:11">
      <c r="A423">
        <v>422</v>
      </c>
      <c r="B423">
        <f>IF(J422&gt;-0.4,B422+ROUNDUP(E422/50,0)*50,ROUNDUP(MAX(MIN(VLOOKUP(A423,Overview!$A$4:$K$202,11)/3*0.6,IF(A423&gt;2,B422+MIN(MAX(A422*50,1850),(B422-B421)*1.22,(B422-B421)+150),999)),B422+(B422-B421)),0))</f>
        <v>1496773</v>
      </c>
      <c r="C423">
        <f t="shared" si="50"/>
        <v>748387</v>
      </c>
      <c r="D423">
        <f t="shared" si="51"/>
        <v>3550</v>
      </c>
      <c r="E423">
        <f t="shared" si="52"/>
        <v>3547</v>
      </c>
      <c r="F423">
        <f>VLOOKUP(A423-1,Overview!$A$4:$K$202,11)/3*0.6</f>
        <v>753991.2</v>
      </c>
      <c r="G423" s="272">
        <f t="shared" si="53"/>
        <v>0.9851332482395021</v>
      </c>
      <c r="H423">
        <f>SUM(B$2:B423)*3</f>
        <v>879983982</v>
      </c>
      <c r="I423">
        <f>VLOOKUP(A423,Overview!A$4:L$202,12)</f>
        <v>259640016</v>
      </c>
      <c r="J423" s="158">
        <f t="shared" si="54"/>
        <v>2.3892463710216378</v>
      </c>
      <c r="K423" t="str">
        <f t="shared" si="55"/>
        <v>More expensive than it should be</v>
      </c>
    </row>
    <row r="424" spans="1:11">
      <c r="A424">
        <v>423</v>
      </c>
      <c r="B424">
        <f>IF(J423&gt;-0.4,B423+ROUNDUP(E423/50,0)*50,ROUNDUP(MAX(MIN(VLOOKUP(A424,Overview!$A$4:$K$202,11)/3*0.6,IF(A424&gt;2,B423+MIN(MAX(A423*50,1850),(B423-B422)*1.22,(B423-B422)+150),999)),B423+(B423-B422)),0))</f>
        <v>1500323</v>
      </c>
      <c r="C424">
        <f t="shared" si="50"/>
        <v>750162</v>
      </c>
      <c r="D424">
        <f t="shared" si="51"/>
        <v>3550</v>
      </c>
      <c r="E424">
        <f t="shared" si="52"/>
        <v>3547</v>
      </c>
      <c r="F424">
        <f>VLOOKUP(A424-1,Overview!$A$4:$K$202,11)/3*0.6</f>
        <v>753991.2</v>
      </c>
      <c r="G424" s="272">
        <f t="shared" si="53"/>
        <v>0.98984152600189512</v>
      </c>
      <c r="H424">
        <f>SUM(B$2:B424)*3</f>
        <v>884484951</v>
      </c>
      <c r="I424">
        <f>VLOOKUP(A424,Overview!A$4:L$202,12)</f>
        <v>259640016</v>
      </c>
      <c r="J424" s="158">
        <f t="shared" si="54"/>
        <v>2.4065817920763029</v>
      </c>
      <c r="K424" t="str">
        <f t="shared" si="55"/>
        <v>More expensive than it should be</v>
      </c>
    </row>
    <row r="425" spans="1:11">
      <c r="A425">
        <v>424</v>
      </c>
      <c r="B425">
        <f>IF(J424&gt;-0.4,B424+ROUNDUP(E424/50,0)*50,ROUNDUP(MAX(MIN(VLOOKUP(A425,Overview!$A$4:$K$202,11)/3*0.6,IF(A425&gt;2,B424+MIN(MAX(A424*50,1850),(B424-B423)*1.22,(B424-B423)+150),999)),B424+(B424-B423)),0))</f>
        <v>1503873</v>
      </c>
      <c r="C425">
        <f t="shared" si="50"/>
        <v>751937</v>
      </c>
      <c r="D425">
        <f t="shared" si="51"/>
        <v>3550</v>
      </c>
      <c r="E425">
        <f t="shared" si="52"/>
        <v>3547</v>
      </c>
      <c r="F425">
        <f>VLOOKUP(A425-1,Overview!$A$4:$K$202,11)/3*0.6</f>
        <v>753991.2</v>
      </c>
      <c r="G425" s="272">
        <f t="shared" si="53"/>
        <v>0.99454980376428814</v>
      </c>
      <c r="H425">
        <f>SUM(B$2:B425)*3</f>
        <v>888996570</v>
      </c>
      <c r="I425">
        <f>VLOOKUP(A425,Overview!A$4:L$202,12)</f>
        <v>259640016</v>
      </c>
      <c r="J425" s="158">
        <f t="shared" si="54"/>
        <v>2.4239582314615169</v>
      </c>
      <c r="K425" t="str">
        <f t="shared" si="55"/>
        <v>More expensive than it should be</v>
      </c>
    </row>
    <row r="426" spans="1:11">
      <c r="A426">
        <v>425</v>
      </c>
      <c r="B426">
        <f>IF(J425&gt;-0.4,B425+ROUNDUP(E425/50,0)*50,ROUNDUP(MAX(MIN(VLOOKUP(A426,Overview!$A$4:$K$202,11)/3*0.6,IF(A426&gt;2,B425+MIN(MAX(A425*50,1850),(B425-B424)*1.22,(B425-B424)+150),999)),B425+(B425-B424)),0))</f>
        <v>1507423</v>
      </c>
      <c r="C426">
        <f t="shared" si="50"/>
        <v>753712</v>
      </c>
      <c r="D426">
        <f t="shared" si="51"/>
        <v>3550</v>
      </c>
      <c r="E426">
        <f t="shared" si="52"/>
        <v>3547</v>
      </c>
      <c r="F426">
        <f>VLOOKUP(A426-1,Overview!$A$4:$K$202,11)/3*0.6</f>
        <v>753991.2</v>
      </c>
      <c r="G426" s="272">
        <f t="shared" si="53"/>
        <v>0.99925808152668116</v>
      </c>
      <c r="H426">
        <f>SUM(B$2:B426)*3</f>
        <v>893518839</v>
      </c>
      <c r="I426">
        <f>VLOOKUP(A426,Overview!A$4:L$202,12)</f>
        <v>259640016</v>
      </c>
      <c r="J426" s="158">
        <f t="shared" si="54"/>
        <v>2.44137568917728</v>
      </c>
      <c r="K426" t="str">
        <f t="shared" si="55"/>
        <v>More expensive than it should be</v>
      </c>
    </row>
    <row r="427" spans="1:11">
      <c r="A427">
        <v>426</v>
      </c>
      <c r="B427">
        <f>IF(J426&gt;-0.4,B426+ROUNDUP(E426/50,0)*50,ROUNDUP(MAX(MIN(VLOOKUP(A427,Overview!$A$4:$K$202,11)/3*0.6,IF(A427&gt;2,B426+MIN(MAX(A426*50,1850),(B426-B425)*1.22,(B426-B425)+150),999)),B426+(B426-B425)),0))</f>
        <v>1510973</v>
      </c>
      <c r="C427">
        <f t="shared" si="50"/>
        <v>755487</v>
      </c>
      <c r="D427">
        <f t="shared" si="51"/>
        <v>3550</v>
      </c>
      <c r="E427">
        <f t="shared" si="52"/>
        <v>3547</v>
      </c>
      <c r="F427">
        <f>VLOOKUP(A427-1,Overview!$A$4:$K$202,11)/3*0.6</f>
        <v>753991.2</v>
      </c>
      <c r="G427" s="272">
        <f t="shared" si="53"/>
        <v>1.0039663592890742</v>
      </c>
      <c r="H427">
        <f>SUM(B$2:B427)*3</f>
        <v>898051758</v>
      </c>
      <c r="I427">
        <f>VLOOKUP(A427,Overview!A$4:L$202,12)</f>
        <v>259640016</v>
      </c>
      <c r="J427" s="158">
        <f t="shared" si="54"/>
        <v>2.4588341652235917</v>
      </c>
      <c r="K427" t="str">
        <f t="shared" si="55"/>
        <v>More expensive than it should be</v>
      </c>
    </row>
    <row r="428" spans="1:11">
      <c r="A428">
        <v>427</v>
      </c>
      <c r="B428">
        <f>IF(J427&gt;-0.4,B427+ROUNDUP(E427/50,0)*50,ROUNDUP(MAX(MIN(VLOOKUP(A428,Overview!$A$4:$K$202,11)/3*0.6,IF(A428&gt;2,B427+MIN(MAX(A427*50,1850),(B427-B426)*1.22,(B427-B426)+150),999)),B427+(B427-B426)),0))</f>
        <v>1514523</v>
      </c>
      <c r="C428">
        <f t="shared" si="50"/>
        <v>757262</v>
      </c>
      <c r="D428">
        <f t="shared" si="51"/>
        <v>3550</v>
      </c>
      <c r="E428">
        <f t="shared" si="52"/>
        <v>3547</v>
      </c>
      <c r="F428">
        <f>VLOOKUP(A428-1,Overview!$A$4:$K$202,11)/3*0.6</f>
        <v>753991.2</v>
      </c>
      <c r="G428" s="272">
        <f t="shared" si="53"/>
        <v>1.0086746370514672</v>
      </c>
      <c r="H428">
        <f>SUM(B$2:B428)*3</f>
        <v>902595327</v>
      </c>
      <c r="I428">
        <f>VLOOKUP(A428,Overview!A$4:L$202,12)</f>
        <v>259640016</v>
      </c>
      <c r="J428" s="158">
        <f t="shared" si="54"/>
        <v>2.4763336596004524</v>
      </c>
      <c r="K428" t="str">
        <f t="shared" si="55"/>
        <v>More expensive than it should be</v>
      </c>
    </row>
    <row r="429" spans="1:11">
      <c r="A429">
        <v>428</v>
      </c>
      <c r="B429">
        <f>IF(J428&gt;-0.4,B428+ROUNDUP(E428/50,0)*50,ROUNDUP(MAX(MIN(VLOOKUP(A429,Overview!$A$4:$K$202,11)/3*0.6,IF(A429&gt;2,B428+MIN(MAX(A428*50,1850),(B428-B427)*1.22,(B428-B427)+150),999)),B428+(B428-B427)),0))</f>
        <v>1518073</v>
      </c>
      <c r="C429">
        <f t="shared" si="50"/>
        <v>759037</v>
      </c>
      <c r="D429">
        <f t="shared" si="51"/>
        <v>3550</v>
      </c>
      <c r="E429">
        <f t="shared" si="52"/>
        <v>3547</v>
      </c>
      <c r="F429">
        <f>VLOOKUP(A429-1,Overview!$A$4:$K$202,11)/3*0.6</f>
        <v>753991.2</v>
      </c>
      <c r="G429" s="272">
        <f t="shared" si="53"/>
        <v>1.0133829148138602</v>
      </c>
      <c r="H429">
        <f>SUM(B$2:B429)*3</f>
        <v>907149546</v>
      </c>
      <c r="I429">
        <f>VLOOKUP(A429,Overview!A$4:L$202,12)</f>
        <v>259640016</v>
      </c>
      <c r="J429" s="158">
        <f t="shared" si="54"/>
        <v>2.4938741723078617</v>
      </c>
      <c r="K429" t="str">
        <f t="shared" si="55"/>
        <v>More expensive than it should be</v>
      </c>
    </row>
    <row r="430" spans="1:11">
      <c r="A430">
        <v>429</v>
      </c>
      <c r="B430">
        <f>IF(J429&gt;-0.4,B429+ROUNDUP(E429/50,0)*50,ROUNDUP(MAX(MIN(VLOOKUP(A430,Overview!$A$4:$K$202,11)/3*0.6,IF(A430&gt;2,B429+MIN(MAX(A429*50,1850),(B429-B428)*1.22,(B429-B428)+150),999)),B429+(B429-B428)),0))</f>
        <v>1521623</v>
      </c>
      <c r="C430">
        <f t="shared" si="50"/>
        <v>760812</v>
      </c>
      <c r="D430">
        <f t="shared" si="51"/>
        <v>3550</v>
      </c>
      <c r="E430">
        <f t="shared" si="52"/>
        <v>3547</v>
      </c>
      <c r="F430">
        <f>VLOOKUP(A430-1,Overview!$A$4:$K$202,11)/3*0.6</f>
        <v>753991.2</v>
      </c>
      <c r="G430" s="272">
        <f t="shared" si="53"/>
        <v>1.0180911925762528</v>
      </c>
      <c r="H430">
        <f>SUM(B$2:B430)*3</f>
        <v>911714415</v>
      </c>
      <c r="I430">
        <f>VLOOKUP(A430,Overview!A$4:L$202,12)</f>
        <v>259640016</v>
      </c>
      <c r="J430" s="158">
        <f t="shared" si="54"/>
        <v>2.51145570334582</v>
      </c>
      <c r="K430" t="str">
        <f t="shared" si="55"/>
        <v>More expensive than it should be</v>
      </c>
    </row>
    <row r="431" spans="1:11">
      <c r="A431">
        <v>430</v>
      </c>
      <c r="B431">
        <f>IF(J430&gt;-0.4,B430+ROUNDUP(E430/50,0)*50,ROUNDUP(MAX(MIN(VLOOKUP(A431,Overview!$A$4:$K$202,11)/3*0.6,IF(A431&gt;2,B430+MIN(MAX(A430*50,1850),(B430-B429)*1.22,(B430-B429)+150),999)),B430+(B430-B429)),0))</f>
        <v>1525173</v>
      </c>
      <c r="C431">
        <f t="shared" si="50"/>
        <v>762587</v>
      </c>
      <c r="D431">
        <f t="shared" si="51"/>
        <v>3550</v>
      </c>
      <c r="E431">
        <f t="shared" si="52"/>
        <v>3547</v>
      </c>
      <c r="F431">
        <f>VLOOKUP(A431-1,Overview!$A$4:$K$202,11)/3*0.6</f>
        <v>753991.2</v>
      </c>
      <c r="G431" s="272">
        <f t="shared" si="53"/>
        <v>1.0227994703386458</v>
      </c>
      <c r="H431">
        <f>SUM(B$2:B431)*3</f>
        <v>916289934</v>
      </c>
      <c r="I431">
        <f>VLOOKUP(A431,Overview!A$4:L$202,12)</f>
        <v>259640016</v>
      </c>
      <c r="J431" s="158">
        <f t="shared" si="54"/>
        <v>2.5290782527143274</v>
      </c>
      <c r="K431" t="str">
        <f t="shared" si="55"/>
        <v>More expensive than it should be</v>
      </c>
    </row>
    <row r="432" spans="1:11">
      <c r="A432">
        <v>431</v>
      </c>
      <c r="B432">
        <f>IF(J431&gt;-0.4,B431+ROUNDUP(E431/50,0)*50,ROUNDUP(MAX(MIN(VLOOKUP(A432,Overview!$A$4:$K$202,11)/3*0.6,IF(A432&gt;2,B431+MIN(MAX(A431*50,1850),(B431-B430)*1.22,(B431-B430)+150),999)),B431+(B431-B430)),0))</f>
        <v>1528723</v>
      </c>
      <c r="C432">
        <f t="shared" si="50"/>
        <v>764362</v>
      </c>
      <c r="D432">
        <f t="shared" si="51"/>
        <v>3550</v>
      </c>
      <c r="E432">
        <f t="shared" si="52"/>
        <v>3547</v>
      </c>
      <c r="F432">
        <f>VLOOKUP(A432-1,Overview!$A$4:$K$202,11)/3*0.6</f>
        <v>753991.2</v>
      </c>
      <c r="G432" s="272">
        <f t="shared" si="53"/>
        <v>1.0275077481010388</v>
      </c>
      <c r="H432">
        <f>SUM(B$2:B432)*3</f>
        <v>920876103</v>
      </c>
      <c r="I432">
        <f>VLOOKUP(A432,Overview!A$4:L$202,12)</f>
        <v>259640016</v>
      </c>
      <c r="J432" s="158">
        <f t="shared" si="54"/>
        <v>2.5467418204133834</v>
      </c>
      <c r="K432" t="str">
        <f t="shared" si="55"/>
        <v>More expensive than it should be</v>
      </c>
    </row>
    <row r="433" spans="1:11">
      <c r="A433">
        <v>432</v>
      </c>
      <c r="B433">
        <f>IF(J432&gt;-0.4,B432+ROUNDUP(E432/50,0)*50,ROUNDUP(MAX(MIN(VLOOKUP(A433,Overview!$A$4:$K$202,11)/3*0.6,IF(A433&gt;2,B432+MIN(MAX(A432*50,1850),(B432-B431)*1.22,(B432-B431)+150),999)),B432+(B432-B431)),0))</f>
        <v>1532273</v>
      </c>
      <c r="C433">
        <f t="shared" si="50"/>
        <v>766137</v>
      </c>
      <c r="D433">
        <f t="shared" si="51"/>
        <v>3550</v>
      </c>
      <c r="E433">
        <f t="shared" si="52"/>
        <v>3547</v>
      </c>
      <c r="F433">
        <f>VLOOKUP(A433-1,Overview!$A$4:$K$202,11)/3*0.6</f>
        <v>753991.2</v>
      </c>
      <c r="G433" s="272">
        <f t="shared" si="53"/>
        <v>1.0322160258634319</v>
      </c>
      <c r="H433">
        <f>SUM(B$2:B433)*3</f>
        <v>925472922</v>
      </c>
      <c r="I433">
        <f>VLOOKUP(A433,Overview!A$4:L$202,12)</f>
        <v>259640016</v>
      </c>
      <c r="J433" s="158">
        <f t="shared" si="54"/>
        <v>2.5644464064429884</v>
      </c>
      <c r="K433" t="str">
        <f t="shared" si="55"/>
        <v>More expensive than it should be</v>
      </c>
    </row>
    <row r="434" spans="1:11">
      <c r="A434">
        <v>433</v>
      </c>
      <c r="B434">
        <f>IF(J433&gt;-0.4,B433+ROUNDUP(E433/50,0)*50,ROUNDUP(MAX(MIN(VLOOKUP(A434,Overview!$A$4:$K$202,11)/3*0.6,IF(A434&gt;2,B433+MIN(MAX(A433*50,1850),(B433-B432)*1.22,(B433-B432)+150),999)),B433+(B433-B432)),0))</f>
        <v>1535823</v>
      </c>
      <c r="C434">
        <f t="shared" si="50"/>
        <v>767912</v>
      </c>
      <c r="D434">
        <f t="shared" si="51"/>
        <v>3550</v>
      </c>
      <c r="E434">
        <f t="shared" si="52"/>
        <v>3547</v>
      </c>
      <c r="F434">
        <f>VLOOKUP(A434-1,Overview!$A$4:$K$202,11)/3*0.6</f>
        <v>753991.2</v>
      </c>
      <c r="G434" s="272">
        <f t="shared" si="53"/>
        <v>1.0369243036258249</v>
      </c>
      <c r="H434">
        <f>SUM(B$2:B434)*3</f>
        <v>930080391</v>
      </c>
      <c r="I434">
        <f>VLOOKUP(A434,Overview!A$4:L$202,12)</f>
        <v>259640016</v>
      </c>
      <c r="J434" s="158">
        <f t="shared" si="54"/>
        <v>2.582192010803142</v>
      </c>
      <c r="K434" t="str">
        <f t="shared" si="55"/>
        <v>More expensive than it should be</v>
      </c>
    </row>
    <row r="435" spans="1:11">
      <c r="A435">
        <v>434</v>
      </c>
      <c r="B435">
        <f>IF(J434&gt;-0.4,B434+ROUNDUP(E434/50,0)*50,ROUNDUP(MAX(MIN(VLOOKUP(A435,Overview!$A$4:$K$202,11)/3*0.6,IF(A435&gt;2,B434+MIN(MAX(A434*50,1850),(B434-B433)*1.22,(B434-B433)+150),999)),B434+(B434-B433)),0))</f>
        <v>1539373</v>
      </c>
      <c r="C435">
        <f t="shared" si="50"/>
        <v>769687</v>
      </c>
      <c r="D435">
        <f t="shared" si="51"/>
        <v>3550</v>
      </c>
      <c r="E435">
        <f t="shared" si="52"/>
        <v>3547</v>
      </c>
      <c r="F435">
        <f>VLOOKUP(A435-1,Overview!$A$4:$K$202,11)/3*0.6</f>
        <v>753991.2</v>
      </c>
      <c r="G435" s="272">
        <f t="shared" si="53"/>
        <v>1.0416325813882179</v>
      </c>
      <c r="H435">
        <f>SUM(B$2:B435)*3</f>
        <v>934698510</v>
      </c>
      <c r="I435">
        <f>VLOOKUP(A435,Overview!A$4:L$202,12)</f>
        <v>259640016</v>
      </c>
      <c r="J435" s="158">
        <f t="shared" si="54"/>
        <v>2.5999786334938446</v>
      </c>
      <c r="K435" t="str">
        <f t="shared" si="55"/>
        <v>More expensive than it should be</v>
      </c>
    </row>
    <row r="436" spans="1:11">
      <c r="A436">
        <v>435</v>
      </c>
      <c r="B436">
        <f>IF(J435&gt;-0.4,B435+ROUNDUP(E435/50,0)*50,ROUNDUP(MAX(MIN(VLOOKUP(A436,Overview!$A$4:$K$202,11)/3*0.6,IF(A436&gt;2,B435+MIN(MAX(A435*50,1850),(B435-B434)*1.22,(B435-B434)+150),999)),B435+(B435-B434)),0))</f>
        <v>1542923</v>
      </c>
      <c r="C436">
        <f t="shared" si="50"/>
        <v>771462</v>
      </c>
      <c r="D436">
        <f t="shared" si="51"/>
        <v>3550</v>
      </c>
      <c r="E436">
        <f t="shared" si="52"/>
        <v>3547</v>
      </c>
      <c r="F436">
        <f>VLOOKUP(A436-1,Overview!$A$4:$K$202,11)/3*0.6</f>
        <v>753991.2</v>
      </c>
      <c r="G436" s="272">
        <f t="shared" si="53"/>
        <v>1.0463408591506109</v>
      </c>
      <c r="H436">
        <f>SUM(B$2:B436)*3</f>
        <v>939327279</v>
      </c>
      <c r="I436">
        <f>VLOOKUP(A436,Overview!A$4:L$202,12)</f>
        <v>259640016</v>
      </c>
      <c r="J436" s="158">
        <f t="shared" si="54"/>
        <v>2.6178062745150963</v>
      </c>
      <c r="K436" t="str">
        <f t="shared" si="55"/>
        <v>More expensive than it should be</v>
      </c>
    </row>
    <row r="437" spans="1:11">
      <c r="A437">
        <v>436</v>
      </c>
      <c r="B437">
        <f>IF(J436&gt;-0.4,B436+ROUNDUP(E436/50,0)*50,ROUNDUP(MAX(MIN(VLOOKUP(A437,Overview!$A$4:$K$202,11)/3*0.6,IF(A437&gt;2,B436+MIN(MAX(A436*50,1850),(B436-B435)*1.22,(B436-B435)+150),999)),B436+(B436-B435)),0))</f>
        <v>1546473</v>
      </c>
      <c r="C437">
        <f t="shared" si="50"/>
        <v>773237</v>
      </c>
      <c r="D437">
        <f t="shared" si="51"/>
        <v>3550</v>
      </c>
      <c r="E437">
        <f t="shared" si="52"/>
        <v>3547</v>
      </c>
      <c r="F437">
        <f>VLOOKUP(A437-1,Overview!$A$4:$K$202,11)/3*0.6</f>
        <v>753991.2</v>
      </c>
      <c r="G437" s="272">
        <f t="shared" si="53"/>
        <v>1.0510491369130039</v>
      </c>
      <c r="H437">
        <f>SUM(B$2:B437)*3</f>
        <v>943966698</v>
      </c>
      <c r="I437">
        <f>VLOOKUP(A437,Overview!A$4:L$202,12)</f>
        <v>259640016</v>
      </c>
      <c r="J437" s="158">
        <f t="shared" si="54"/>
        <v>2.6356749338668966</v>
      </c>
      <c r="K437" t="str">
        <f t="shared" si="55"/>
        <v>More expensive than it should be</v>
      </c>
    </row>
    <row r="438" spans="1:11">
      <c r="A438">
        <v>437</v>
      </c>
      <c r="B438">
        <f>IF(J437&gt;-0.4,B437+ROUNDUP(E437/50,0)*50,ROUNDUP(MAX(MIN(VLOOKUP(A438,Overview!$A$4:$K$202,11)/3*0.6,IF(A438&gt;2,B437+MIN(MAX(A437*50,1850),(B437-B436)*1.22,(B437-B436)+150),999)),B437+(B437-B436)),0))</f>
        <v>1550023</v>
      </c>
      <c r="C438">
        <f t="shared" si="50"/>
        <v>775012</v>
      </c>
      <c r="D438">
        <f t="shared" si="51"/>
        <v>3550</v>
      </c>
      <c r="E438">
        <f t="shared" si="52"/>
        <v>3547</v>
      </c>
      <c r="F438">
        <f>VLOOKUP(A438-1,Overview!$A$4:$K$202,11)/3*0.6</f>
        <v>753991.2</v>
      </c>
      <c r="G438" s="272">
        <f t="shared" si="53"/>
        <v>1.055757414675397</v>
      </c>
      <c r="H438">
        <f>SUM(B$2:B438)*3</f>
        <v>948616767</v>
      </c>
      <c r="I438">
        <f>VLOOKUP(A438,Overview!A$4:L$202,12)</f>
        <v>259640016</v>
      </c>
      <c r="J438" s="158">
        <f t="shared" si="54"/>
        <v>2.6535846115492459</v>
      </c>
      <c r="K438" t="str">
        <f t="shared" si="55"/>
        <v>More expensive than it should be</v>
      </c>
    </row>
    <row r="439" spans="1:11">
      <c r="A439">
        <v>438</v>
      </c>
      <c r="B439">
        <f>IF(J438&gt;-0.4,B438+ROUNDUP(E438/50,0)*50,ROUNDUP(MAX(MIN(VLOOKUP(A439,Overview!$A$4:$K$202,11)/3*0.6,IF(A439&gt;2,B438+MIN(MAX(A438*50,1850),(B438-B437)*1.22,(B438-B437)+150),999)),B438+(B438-B437)),0))</f>
        <v>1553573</v>
      </c>
      <c r="C439">
        <f t="shared" si="50"/>
        <v>776787</v>
      </c>
      <c r="D439">
        <f t="shared" si="51"/>
        <v>3550</v>
      </c>
      <c r="E439">
        <f t="shared" si="52"/>
        <v>3547</v>
      </c>
      <c r="F439">
        <f>VLOOKUP(A439-1,Overview!$A$4:$K$202,11)/3*0.6</f>
        <v>753991.2</v>
      </c>
      <c r="G439" s="272">
        <f t="shared" si="53"/>
        <v>1.06046569243779</v>
      </c>
      <c r="H439">
        <f>SUM(B$2:B439)*3</f>
        <v>953277486</v>
      </c>
      <c r="I439">
        <f>VLOOKUP(A439,Overview!A$4:L$202,12)</f>
        <v>259640016</v>
      </c>
      <c r="J439" s="158">
        <f t="shared" si="54"/>
        <v>2.6715353075621442</v>
      </c>
      <c r="K439" t="str">
        <f t="shared" si="55"/>
        <v>More expensive than it should be</v>
      </c>
    </row>
    <row r="440" spans="1:11">
      <c r="A440">
        <v>439</v>
      </c>
      <c r="B440">
        <f>IF(J439&gt;-0.4,B439+ROUNDUP(E439/50,0)*50,ROUNDUP(MAX(MIN(VLOOKUP(A440,Overview!$A$4:$K$202,11)/3*0.6,IF(A440&gt;2,B439+MIN(MAX(A439*50,1850),(B439-B438)*1.22,(B439-B438)+150),999)),B439+(B439-B438)),0))</f>
        <v>1557123</v>
      </c>
      <c r="C440">
        <f t="shared" si="50"/>
        <v>778562</v>
      </c>
      <c r="D440">
        <f t="shared" si="51"/>
        <v>3550</v>
      </c>
      <c r="E440">
        <f t="shared" si="52"/>
        <v>3547</v>
      </c>
      <c r="F440">
        <f>VLOOKUP(A440-1,Overview!$A$4:$K$202,11)/3*0.6</f>
        <v>753991.2</v>
      </c>
      <c r="G440" s="272">
        <f t="shared" si="53"/>
        <v>1.065173970200183</v>
      </c>
      <c r="H440">
        <f>SUM(B$2:B440)*3</f>
        <v>957948855</v>
      </c>
      <c r="I440">
        <f>VLOOKUP(A440,Overview!A$4:L$202,12)</f>
        <v>259640016</v>
      </c>
      <c r="J440" s="158">
        <f t="shared" si="54"/>
        <v>2.6895270219055911</v>
      </c>
      <c r="K440" t="str">
        <f t="shared" si="55"/>
        <v>More expensive than it should be</v>
      </c>
    </row>
    <row r="441" spans="1:11">
      <c r="A441">
        <v>440</v>
      </c>
      <c r="B441">
        <f>IF(J440&gt;-0.4,B440+ROUNDUP(E440/50,0)*50,ROUNDUP(MAX(MIN(VLOOKUP(A441,Overview!$A$4:$K$202,11)/3*0.6,IF(A441&gt;2,B440+MIN(MAX(A440*50,1850),(B440-B439)*1.22,(B440-B439)+150),999)),B440+(B440-B439)),0))</f>
        <v>1560673</v>
      </c>
      <c r="C441">
        <f t="shared" si="50"/>
        <v>780337</v>
      </c>
      <c r="D441">
        <f t="shared" si="51"/>
        <v>3550</v>
      </c>
      <c r="E441">
        <f t="shared" si="52"/>
        <v>3547</v>
      </c>
      <c r="F441">
        <f>VLOOKUP(A441-1,Overview!$A$4:$K$202,11)/3*0.6</f>
        <v>753991.2</v>
      </c>
      <c r="G441" s="272">
        <f t="shared" si="53"/>
        <v>1.069882247962576</v>
      </c>
      <c r="H441">
        <f>SUM(B$2:B441)*3</f>
        <v>962630874</v>
      </c>
      <c r="I441">
        <f>VLOOKUP(A441,Overview!A$4:L$202,12)</f>
        <v>259640016</v>
      </c>
      <c r="J441" s="158">
        <f t="shared" si="54"/>
        <v>2.7075597545795866</v>
      </c>
      <c r="K441" t="str">
        <f t="shared" si="55"/>
        <v>More expensive than it should be</v>
      </c>
    </row>
    <row r="442" spans="1:11">
      <c r="A442">
        <v>441</v>
      </c>
      <c r="B442">
        <f>IF(J441&gt;-0.4,B441+ROUNDUP(E441/50,0)*50,ROUNDUP(MAX(MIN(VLOOKUP(A442,Overview!$A$4:$K$202,11)/3*0.6,IF(A442&gt;2,B441+MIN(MAX(A441*50,1850),(B441-B440)*1.22,(B441-B440)+150),999)),B441+(B441-B440)),0))</f>
        <v>1564223</v>
      </c>
      <c r="C442">
        <f t="shared" si="50"/>
        <v>782112</v>
      </c>
      <c r="D442">
        <f t="shared" si="51"/>
        <v>3550</v>
      </c>
      <c r="E442">
        <f t="shared" si="52"/>
        <v>3547</v>
      </c>
      <c r="F442">
        <f>VLOOKUP(A442-1,Overview!$A$4:$K$202,11)/3*0.6</f>
        <v>753991.2</v>
      </c>
      <c r="G442" s="272">
        <f t="shared" si="53"/>
        <v>1.0745905257249686</v>
      </c>
      <c r="H442">
        <f>SUM(B$2:B442)*3</f>
        <v>967323543</v>
      </c>
      <c r="I442">
        <f>VLOOKUP(A442,Overview!A$4:L$202,12)</f>
        <v>259640016</v>
      </c>
      <c r="J442" s="158">
        <f t="shared" si="54"/>
        <v>2.7256335055841316</v>
      </c>
      <c r="K442" t="str">
        <f t="shared" si="55"/>
        <v>More expensive than it should be</v>
      </c>
    </row>
    <row r="443" spans="1:11">
      <c r="A443">
        <v>442</v>
      </c>
      <c r="B443">
        <f>IF(J442&gt;-0.4,B442+ROUNDUP(E442/50,0)*50,ROUNDUP(MAX(MIN(VLOOKUP(A443,Overview!$A$4:$K$202,11)/3*0.6,IF(A443&gt;2,B442+MIN(MAX(A442*50,1850),(B442-B441)*1.22,(B442-B441)+150),999)),B442+(B442-B441)),0))</f>
        <v>1567773</v>
      </c>
      <c r="C443">
        <f t="shared" si="50"/>
        <v>783887</v>
      </c>
      <c r="D443">
        <f t="shared" si="51"/>
        <v>3550</v>
      </c>
      <c r="E443">
        <f t="shared" si="52"/>
        <v>3547</v>
      </c>
      <c r="F443">
        <f>VLOOKUP(A443-1,Overview!$A$4:$K$202,11)/3*0.6</f>
        <v>753991.2</v>
      </c>
      <c r="G443" s="272">
        <f t="shared" si="53"/>
        <v>1.0792988034873616</v>
      </c>
      <c r="H443">
        <f>SUM(B$2:B443)*3</f>
        <v>972026862</v>
      </c>
      <c r="I443">
        <f>VLOOKUP(A443,Overview!A$4:L$202,12)</f>
        <v>259640016</v>
      </c>
      <c r="J443" s="158">
        <f t="shared" si="54"/>
        <v>2.7437482749192252</v>
      </c>
      <c r="K443" t="str">
        <f t="shared" si="55"/>
        <v>More expensive than it should be</v>
      </c>
    </row>
    <row r="444" spans="1:11">
      <c r="A444">
        <v>443</v>
      </c>
      <c r="B444">
        <f>IF(J443&gt;-0.4,B443+ROUNDUP(E443/50,0)*50,ROUNDUP(MAX(MIN(VLOOKUP(A444,Overview!$A$4:$K$202,11)/3*0.6,IF(A444&gt;2,B443+MIN(MAX(A443*50,1850),(B443-B442)*1.22,(B443-B442)+150),999)),B443+(B443-B442)),0))</f>
        <v>1571323</v>
      </c>
      <c r="C444">
        <f t="shared" si="50"/>
        <v>785662</v>
      </c>
      <c r="D444">
        <f t="shared" si="51"/>
        <v>3550</v>
      </c>
      <c r="E444">
        <f t="shared" si="52"/>
        <v>3547</v>
      </c>
      <c r="F444">
        <f>VLOOKUP(A444-1,Overview!$A$4:$K$202,11)/3*0.6</f>
        <v>753991.2</v>
      </c>
      <c r="G444" s="272">
        <f t="shared" si="53"/>
        <v>1.0840070812497546</v>
      </c>
      <c r="H444">
        <f>SUM(B$2:B444)*3</f>
        <v>976740831</v>
      </c>
      <c r="I444">
        <f>VLOOKUP(A444,Overview!A$4:L$202,12)</f>
        <v>259640016</v>
      </c>
      <c r="J444" s="158">
        <f t="shared" si="54"/>
        <v>2.7619040625848674</v>
      </c>
      <c r="K444" t="str">
        <f t="shared" si="55"/>
        <v>More expensive than it should be</v>
      </c>
    </row>
    <row r="445" spans="1:11">
      <c r="A445">
        <v>444</v>
      </c>
      <c r="B445">
        <f>IF(J444&gt;-0.4,B444+ROUNDUP(E444/50,0)*50,ROUNDUP(MAX(MIN(VLOOKUP(A445,Overview!$A$4:$K$202,11)/3*0.6,IF(A445&gt;2,B444+MIN(MAX(A444*50,1850),(B444-B443)*1.22,(B444-B443)+150),999)),B444+(B444-B443)),0))</f>
        <v>1574873</v>
      </c>
      <c r="C445">
        <f t="shared" si="50"/>
        <v>787437</v>
      </c>
      <c r="D445">
        <f t="shared" si="51"/>
        <v>3550</v>
      </c>
      <c r="E445">
        <f t="shared" si="52"/>
        <v>3547</v>
      </c>
      <c r="F445">
        <f>VLOOKUP(A445-1,Overview!$A$4:$K$202,11)/3*0.6</f>
        <v>753991.2</v>
      </c>
      <c r="G445" s="272">
        <f t="shared" si="53"/>
        <v>1.0887153590121477</v>
      </c>
      <c r="H445">
        <f>SUM(B$2:B445)*3</f>
        <v>981465450</v>
      </c>
      <c r="I445">
        <f>VLOOKUP(A445,Overview!A$4:L$202,12)</f>
        <v>259640016</v>
      </c>
      <c r="J445" s="158">
        <f t="shared" si="54"/>
        <v>2.7801008685810586</v>
      </c>
      <c r="K445" t="str">
        <f t="shared" si="55"/>
        <v>More expensive than it should be</v>
      </c>
    </row>
    <row r="446" spans="1:11">
      <c r="A446">
        <v>445</v>
      </c>
      <c r="B446">
        <f>IF(J445&gt;-0.4,B445+ROUNDUP(E445/50,0)*50,ROUNDUP(MAX(MIN(VLOOKUP(A446,Overview!$A$4:$K$202,11)/3*0.6,IF(A446&gt;2,B445+MIN(MAX(A445*50,1850),(B445-B444)*1.22,(B445-B444)+150),999)),B445+(B445-B444)),0))</f>
        <v>1578423</v>
      </c>
      <c r="C446">
        <f t="shared" si="50"/>
        <v>789212</v>
      </c>
      <c r="D446">
        <f t="shared" si="51"/>
        <v>3550</v>
      </c>
      <c r="E446">
        <f t="shared" si="52"/>
        <v>3547</v>
      </c>
      <c r="F446">
        <f>VLOOKUP(A446-1,Overview!$A$4:$K$202,11)/3*0.6</f>
        <v>753991.2</v>
      </c>
      <c r="G446" s="272">
        <f t="shared" si="53"/>
        <v>1.0934236367745407</v>
      </c>
      <c r="H446">
        <f>SUM(B$2:B446)*3</f>
        <v>986200719</v>
      </c>
      <c r="I446">
        <f>VLOOKUP(A446,Overview!A$4:L$202,12)</f>
        <v>259640016</v>
      </c>
      <c r="J446" s="158">
        <f t="shared" si="54"/>
        <v>2.7983386929077989</v>
      </c>
      <c r="K446" t="str">
        <f t="shared" si="55"/>
        <v>More expensive than it should be</v>
      </c>
    </row>
    <row r="447" spans="1:11">
      <c r="A447">
        <v>446</v>
      </c>
      <c r="B447">
        <f>IF(J446&gt;-0.4,B446+ROUNDUP(E446/50,0)*50,ROUNDUP(MAX(MIN(VLOOKUP(A447,Overview!$A$4:$K$202,11)/3*0.6,IF(A447&gt;2,B446+MIN(MAX(A446*50,1850),(B446-B445)*1.22,(B446-B445)+150),999)),B446+(B446-B445)),0))</f>
        <v>1581973</v>
      </c>
      <c r="C447">
        <f t="shared" si="50"/>
        <v>790987</v>
      </c>
      <c r="D447">
        <f t="shared" si="51"/>
        <v>3550</v>
      </c>
      <c r="E447">
        <f t="shared" si="52"/>
        <v>3547</v>
      </c>
      <c r="F447">
        <f>VLOOKUP(A447-1,Overview!$A$4:$K$202,11)/3*0.6</f>
        <v>753991.2</v>
      </c>
      <c r="G447" s="272">
        <f t="shared" si="53"/>
        <v>1.0981319145369337</v>
      </c>
      <c r="H447">
        <f>SUM(B$2:B447)*3</f>
        <v>990946638</v>
      </c>
      <c r="I447">
        <f>VLOOKUP(A447,Overview!A$4:L$202,12)</f>
        <v>259640016</v>
      </c>
      <c r="J447" s="158">
        <f t="shared" si="54"/>
        <v>2.8166175355650878</v>
      </c>
      <c r="K447" t="str">
        <f t="shared" si="55"/>
        <v>More expensive than it should be</v>
      </c>
    </row>
    <row r="448" spans="1:11">
      <c r="A448">
        <v>447</v>
      </c>
      <c r="B448">
        <f>IF(J447&gt;-0.4,B447+ROUNDUP(E447/50,0)*50,ROUNDUP(MAX(MIN(VLOOKUP(A448,Overview!$A$4:$K$202,11)/3*0.6,IF(A448&gt;2,B447+MIN(MAX(A447*50,1850),(B447-B446)*1.22,(B447-B446)+150),999)),B447+(B447-B446)),0))</f>
        <v>1585523</v>
      </c>
      <c r="C448">
        <f t="shared" si="50"/>
        <v>792762</v>
      </c>
      <c r="D448">
        <f t="shared" si="51"/>
        <v>3550</v>
      </c>
      <c r="E448">
        <f t="shared" si="52"/>
        <v>3547</v>
      </c>
      <c r="F448">
        <f>VLOOKUP(A448-1,Overview!$A$4:$K$202,11)/3*0.6</f>
        <v>753991.2</v>
      </c>
      <c r="G448" s="272">
        <f t="shared" si="53"/>
        <v>1.1028401922993267</v>
      </c>
      <c r="H448">
        <f>SUM(B$2:B448)*3</f>
        <v>995703207</v>
      </c>
      <c r="I448">
        <f>VLOOKUP(A448,Overview!A$4:L$202,12)</f>
        <v>259640016</v>
      </c>
      <c r="J448" s="158">
        <f t="shared" si="54"/>
        <v>2.8349373965529256</v>
      </c>
      <c r="K448" t="str">
        <f t="shared" si="55"/>
        <v>More expensive than it should be</v>
      </c>
    </row>
    <row r="449" spans="1:11">
      <c r="A449">
        <v>448</v>
      </c>
      <c r="B449">
        <f>IF(J448&gt;-0.4,B448+ROUNDUP(E448/50,0)*50,ROUNDUP(MAX(MIN(VLOOKUP(A449,Overview!$A$4:$K$202,11)/3*0.6,IF(A449&gt;2,B448+MIN(MAX(A448*50,1850),(B448-B447)*1.22,(B448-B447)+150),999)),B448+(B448-B447)),0))</f>
        <v>1589073</v>
      </c>
      <c r="C449">
        <f t="shared" si="50"/>
        <v>794537</v>
      </c>
      <c r="D449">
        <f t="shared" si="51"/>
        <v>3550</v>
      </c>
      <c r="E449">
        <f t="shared" si="52"/>
        <v>3547</v>
      </c>
      <c r="F449">
        <f>VLOOKUP(A449-1,Overview!$A$4:$K$202,11)/3*0.6</f>
        <v>753991.2</v>
      </c>
      <c r="G449" s="272">
        <f t="shared" si="53"/>
        <v>1.1075484700617197</v>
      </c>
      <c r="H449">
        <f>SUM(B$2:B449)*3</f>
        <v>1000470426</v>
      </c>
      <c r="I449">
        <f>VLOOKUP(A449,Overview!A$4:L$202,12)</f>
        <v>259640016</v>
      </c>
      <c r="J449" s="158">
        <f t="shared" si="54"/>
        <v>2.8532982758713126</v>
      </c>
      <c r="K449" t="str">
        <f t="shared" si="55"/>
        <v>More expensive than it should be</v>
      </c>
    </row>
    <row r="450" spans="1:11">
      <c r="A450">
        <v>449</v>
      </c>
      <c r="B450">
        <f>IF(J449&gt;-0.4,B449+ROUNDUP(E449/50,0)*50,ROUNDUP(MAX(MIN(VLOOKUP(A450,Overview!$A$4:$K$202,11)/3*0.6,IF(A450&gt;2,B449+MIN(MAX(A449*50,1850),(B449-B448)*1.22,(B449-B448)+150),999)),B449+(B449-B448)),0))</f>
        <v>1592623</v>
      </c>
      <c r="C450">
        <f t="shared" si="50"/>
        <v>796312</v>
      </c>
      <c r="D450">
        <f t="shared" si="51"/>
        <v>3550</v>
      </c>
      <c r="E450">
        <f t="shared" si="52"/>
        <v>3547</v>
      </c>
      <c r="F450">
        <f>VLOOKUP(A450-1,Overview!$A$4:$K$202,11)/3*0.6</f>
        <v>753991.2</v>
      </c>
      <c r="G450" s="272">
        <f t="shared" si="53"/>
        <v>1.1122567478241128</v>
      </c>
      <c r="H450">
        <f>SUM(B$2:B450)*3</f>
        <v>1005248295</v>
      </c>
      <c r="I450">
        <f>VLOOKUP(A450,Overview!A$4:L$202,12)</f>
        <v>259640016</v>
      </c>
      <c r="J450" s="158">
        <f t="shared" si="54"/>
        <v>2.8717001735202481</v>
      </c>
      <c r="K450" t="str">
        <f t="shared" si="55"/>
        <v>More expensive than it should be</v>
      </c>
    </row>
    <row r="451" spans="1:11">
      <c r="A451">
        <v>450</v>
      </c>
      <c r="B451">
        <f>IF(J450&gt;-0.4,B450+ROUNDUP(E450/50,0)*50,ROUNDUP(MAX(MIN(VLOOKUP(A451,Overview!$A$4:$K$202,11)/3*0.6,IF(A451&gt;2,B450+MIN(MAX(A450*50,1850),(B450-B449)*1.22,(B450-B449)+150),999)),B450+(B450-B449)),0))</f>
        <v>1596173</v>
      </c>
      <c r="C451">
        <f t="shared" si="50"/>
        <v>798087</v>
      </c>
      <c r="D451">
        <f t="shared" si="51"/>
        <v>3550</v>
      </c>
      <c r="E451">
        <f t="shared" si="52"/>
        <v>3547</v>
      </c>
      <c r="F451">
        <f>VLOOKUP(A451-1,Overview!$A$4:$K$202,11)/3*0.6</f>
        <v>753991.2</v>
      </c>
      <c r="G451" s="272">
        <f t="shared" si="53"/>
        <v>1.1169650255865058</v>
      </c>
      <c r="H451">
        <f>SUM(B$2:B451)*3</f>
        <v>1010036814</v>
      </c>
      <c r="I451">
        <f>VLOOKUP(A451,Overview!A$4:L$202,12)</f>
        <v>259640016</v>
      </c>
      <c r="J451" s="158">
        <f t="shared" si="54"/>
        <v>2.8901430894997326</v>
      </c>
      <c r="K451" t="str">
        <f t="shared" si="55"/>
        <v>More expensive than it should be</v>
      </c>
    </row>
    <row r="452" spans="1:11">
      <c r="A452">
        <v>451</v>
      </c>
      <c r="B452">
        <f>IF(J451&gt;-0.4,B451+ROUNDUP(E451/50,0)*50,ROUNDUP(MAX(MIN(VLOOKUP(A452,Overview!$A$4:$K$202,11)/3*0.6,IF(A452&gt;2,B451+MIN(MAX(A451*50,1850),(B451-B450)*1.22,(B451-B450)+150),999)),B451+(B451-B450)),0))</f>
        <v>1599723</v>
      </c>
      <c r="C452">
        <f t="shared" si="50"/>
        <v>799862</v>
      </c>
      <c r="D452">
        <f t="shared" si="51"/>
        <v>3550</v>
      </c>
      <c r="E452">
        <f t="shared" si="52"/>
        <v>3547</v>
      </c>
      <c r="F452">
        <f>VLOOKUP(A452-1,Overview!$A$4:$K$202,11)/3*0.6</f>
        <v>753991.2</v>
      </c>
      <c r="G452" s="272">
        <f t="shared" si="53"/>
        <v>1.1216733033488988</v>
      </c>
      <c r="H452">
        <f>SUM(B$2:B452)*3</f>
        <v>1014835983</v>
      </c>
      <c r="I452">
        <f>VLOOKUP(A452,Overview!A$4:L$202,12)</f>
        <v>259640016</v>
      </c>
      <c r="J452" s="158">
        <f t="shared" si="54"/>
        <v>2.9086270238097658</v>
      </c>
      <c r="K452" t="str">
        <f t="shared" si="55"/>
        <v>More expensive than it should be</v>
      </c>
    </row>
    <row r="453" spans="1:11">
      <c r="A453">
        <v>452</v>
      </c>
      <c r="B453">
        <f>IF(J452&gt;-0.4,B452+ROUNDUP(E452/50,0)*50,ROUNDUP(MAX(MIN(VLOOKUP(A453,Overview!$A$4:$K$202,11)/3*0.6,IF(A453&gt;2,B452+MIN(MAX(A452*50,1850),(B452-B451)*1.22,(B452-B451)+150),999)),B452+(B452-B451)),0))</f>
        <v>1603273</v>
      </c>
      <c r="C453">
        <f t="shared" si="50"/>
        <v>801637</v>
      </c>
      <c r="D453">
        <f t="shared" si="51"/>
        <v>3550</v>
      </c>
      <c r="E453">
        <f t="shared" si="52"/>
        <v>3547</v>
      </c>
      <c r="F453">
        <f>VLOOKUP(A453-1,Overview!$A$4:$K$202,11)/3*0.6</f>
        <v>753991.2</v>
      </c>
      <c r="G453" s="272">
        <f t="shared" si="53"/>
        <v>1.1263815811112918</v>
      </c>
      <c r="H453">
        <f>SUM(B$2:B453)*3</f>
        <v>1019645802</v>
      </c>
      <c r="I453">
        <f>VLOOKUP(A453,Overview!A$4:L$202,12)</f>
        <v>259640016</v>
      </c>
      <c r="J453" s="158">
        <f t="shared" si="54"/>
        <v>2.927151976450348</v>
      </c>
      <c r="K453" t="str">
        <f t="shared" si="55"/>
        <v>More expensive than it should be</v>
      </c>
    </row>
    <row r="454" spans="1:11">
      <c r="A454">
        <v>453</v>
      </c>
      <c r="B454">
        <f>IF(J453&gt;-0.4,B453+ROUNDUP(E453/50,0)*50,ROUNDUP(MAX(MIN(VLOOKUP(A454,Overview!$A$4:$K$202,11)/3*0.6,IF(A454&gt;2,B453+MIN(MAX(A453*50,1850),(B453-B452)*1.22,(B453-B452)+150),999)),B453+(B453-B452)),0))</f>
        <v>1606823</v>
      </c>
      <c r="C454">
        <f t="shared" si="50"/>
        <v>803412</v>
      </c>
      <c r="D454">
        <f t="shared" si="51"/>
        <v>3550</v>
      </c>
      <c r="E454">
        <f t="shared" si="52"/>
        <v>3547</v>
      </c>
      <c r="F454">
        <f>VLOOKUP(A454-1,Overview!$A$4:$K$202,11)/3*0.6</f>
        <v>753991.2</v>
      </c>
      <c r="G454" s="272">
        <f t="shared" si="53"/>
        <v>1.1310898588736844</v>
      </c>
      <c r="H454">
        <f>SUM(B$2:B454)*3</f>
        <v>1024466271</v>
      </c>
      <c r="I454">
        <f>VLOOKUP(A454,Overview!A$4:L$202,12)</f>
        <v>259640016</v>
      </c>
      <c r="J454" s="158">
        <f t="shared" si="54"/>
        <v>2.9457179474214792</v>
      </c>
      <c r="K454" t="str">
        <f t="shared" si="55"/>
        <v>More expensive than it should be</v>
      </c>
    </row>
    <row r="455" spans="1:11">
      <c r="A455">
        <v>454</v>
      </c>
      <c r="B455">
        <f>IF(J454&gt;-0.4,B454+ROUNDUP(E454/50,0)*50,ROUNDUP(MAX(MIN(VLOOKUP(A455,Overview!$A$4:$K$202,11)/3*0.6,IF(A455&gt;2,B454+MIN(MAX(A454*50,1850),(B454-B453)*1.22,(B454-B453)+150),999)),B454+(B454-B453)),0))</f>
        <v>1610373</v>
      </c>
      <c r="C455">
        <f t="shared" si="50"/>
        <v>805187</v>
      </c>
      <c r="D455">
        <f t="shared" si="51"/>
        <v>3550</v>
      </c>
      <c r="E455">
        <f t="shared" si="52"/>
        <v>3547</v>
      </c>
      <c r="F455">
        <f>VLOOKUP(A455-1,Overview!$A$4:$K$202,11)/3*0.6</f>
        <v>753991.2</v>
      </c>
      <c r="G455" s="272">
        <f t="shared" si="53"/>
        <v>1.1357981366360774</v>
      </c>
      <c r="H455">
        <f>SUM(B$2:B455)*3</f>
        <v>1029297390</v>
      </c>
      <c r="I455">
        <f>VLOOKUP(A455,Overview!A$4:L$202,12)</f>
        <v>259640016</v>
      </c>
      <c r="J455" s="158">
        <f t="shared" si="54"/>
        <v>2.964324936723159</v>
      </c>
      <c r="K455" t="str">
        <f t="shared" si="55"/>
        <v>More expensive than it should be</v>
      </c>
    </row>
    <row r="456" spans="1:11">
      <c r="A456">
        <v>455</v>
      </c>
      <c r="B456">
        <f>IF(J455&gt;-0.4,B455+ROUNDUP(E455/50,0)*50,ROUNDUP(MAX(MIN(VLOOKUP(A456,Overview!$A$4:$K$202,11)/3*0.6,IF(A456&gt;2,B455+MIN(MAX(A455*50,1850),(B455-B454)*1.22,(B455-B454)+150),999)),B455+(B455-B454)),0))</f>
        <v>1613923</v>
      </c>
      <c r="C456">
        <f t="shared" si="50"/>
        <v>806962</v>
      </c>
      <c r="D456">
        <f t="shared" si="51"/>
        <v>3550</v>
      </c>
      <c r="E456">
        <f t="shared" si="52"/>
        <v>3547</v>
      </c>
      <c r="F456">
        <f>VLOOKUP(A456-1,Overview!$A$4:$K$202,11)/3*0.6</f>
        <v>753991.2</v>
      </c>
      <c r="G456" s="272">
        <f t="shared" si="53"/>
        <v>1.1405064143984704</v>
      </c>
      <c r="H456">
        <f>SUM(B$2:B456)*3</f>
        <v>1034139159</v>
      </c>
      <c r="I456">
        <f>VLOOKUP(A456,Overview!A$4:L$202,12)</f>
        <v>259640016</v>
      </c>
      <c r="J456" s="158">
        <f t="shared" si="54"/>
        <v>2.9829729443553878</v>
      </c>
      <c r="K456" t="str">
        <f t="shared" si="55"/>
        <v>More expensive than it should be</v>
      </c>
    </row>
    <row r="457" spans="1:11">
      <c r="A457">
        <v>456</v>
      </c>
      <c r="B457">
        <f>IF(J456&gt;-0.4,B456+ROUNDUP(E456/50,0)*50,ROUNDUP(MAX(MIN(VLOOKUP(A457,Overview!$A$4:$K$202,11)/3*0.6,IF(A457&gt;2,B456+MIN(MAX(A456*50,1850),(B456-B455)*1.22,(B456-B455)+150),999)),B456+(B456-B455)),0))</f>
        <v>1617473</v>
      </c>
      <c r="C457">
        <f t="shared" ref="C457:C501" si="56">ROUND(B457/2,0)</f>
        <v>808737</v>
      </c>
      <c r="D457">
        <f t="shared" ref="D457:D501" si="57">B457-B456</f>
        <v>3550</v>
      </c>
      <c r="E457">
        <f t="shared" ref="E457:E501" si="58">ROUND(B457/A457,0)</f>
        <v>3547</v>
      </c>
      <c r="F457">
        <f>VLOOKUP(A457-1,Overview!$A$4:$K$202,11)/3*0.6</f>
        <v>753991.2</v>
      </c>
      <c r="G457" s="272">
        <f t="shared" ref="G457:G501" si="59">B457/F457-1</f>
        <v>1.1452146921608635</v>
      </c>
      <c r="H457">
        <f>SUM(B$2:B457)*3</f>
        <v>1038991578</v>
      </c>
      <c r="I457">
        <f>VLOOKUP(A457,Overview!A$4:L$202,12)</f>
        <v>259640016</v>
      </c>
      <c r="J457" s="158">
        <f t="shared" ref="J457:J501" si="60">H457/I457-1</f>
        <v>3.0016619703181657</v>
      </c>
      <c r="K457" t="str">
        <f t="shared" ref="K457:K501" si="61">IF(J457&lt;-0.5,"Cheaper than it should be",IF(J457&gt;-0.3,"More expensive than it should be","about perfect"))</f>
        <v>More expensive than it should be</v>
      </c>
    </row>
    <row r="458" spans="1:11">
      <c r="A458">
        <v>457</v>
      </c>
      <c r="B458">
        <f>IF(J457&gt;-0.4,B457+ROUNDUP(E457/50,0)*50,ROUNDUP(MAX(MIN(VLOOKUP(A458,Overview!$A$4:$K$202,11)/3*0.6,IF(A458&gt;2,B457+MIN(MAX(A457*50,1850),(B457-B456)*1.22,(B457-B456)+150),999)),B457+(B457-B456)),0))</f>
        <v>1621023</v>
      </c>
      <c r="C458">
        <f t="shared" si="56"/>
        <v>810512</v>
      </c>
      <c r="D458">
        <f t="shared" si="57"/>
        <v>3550</v>
      </c>
      <c r="E458">
        <f t="shared" si="58"/>
        <v>3547</v>
      </c>
      <c r="F458">
        <f>VLOOKUP(A458-1,Overview!$A$4:$K$202,11)/3*0.6</f>
        <v>753991.2</v>
      </c>
      <c r="G458" s="272">
        <f t="shared" si="59"/>
        <v>1.1499229699232565</v>
      </c>
      <c r="H458">
        <f>SUM(B$2:B458)*3</f>
        <v>1043854647</v>
      </c>
      <c r="I458">
        <f>VLOOKUP(A458,Overview!A$4:L$202,12)</f>
        <v>259640016</v>
      </c>
      <c r="J458" s="158">
        <f t="shared" si="60"/>
        <v>3.0203920146114918</v>
      </c>
      <c r="K458" t="str">
        <f t="shared" si="61"/>
        <v>More expensive than it should be</v>
      </c>
    </row>
    <row r="459" spans="1:11">
      <c r="A459">
        <v>458</v>
      </c>
      <c r="B459">
        <f>IF(J458&gt;-0.4,B458+ROUNDUP(E458/50,0)*50,ROUNDUP(MAX(MIN(VLOOKUP(A459,Overview!$A$4:$K$202,11)/3*0.6,IF(A459&gt;2,B458+MIN(MAX(A458*50,1850),(B458-B457)*1.22,(B458-B457)+150),999)),B458+(B458-B457)),0))</f>
        <v>1624573</v>
      </c>
      <c r="C459">
        <f t="shared" si="56"/>
        <v>812287</v>
      </c>
      <c r="D459">
        <f t="shared" si="57"/>
        <v>3550</v>
      </c>
      <c r="E459">
        <f t="shared" si="58"/>
        <v>3547</v>
      </c>
      <c r="F459">
        <f>VLOOKUP(A459-1,Overview!$A$4:$K$202,11)/3*0.6</f>
        <v>753991.2</v>
      </c>
      <c r="G459" s="272">
        <f t="shared" si="59"/>
        <v>1.1546312476856495</v>
      </c>
      <c r="H459">
        <f>SUM(B$2:B459)*3</f>
        <v>1048728366</v>
      </c>
      <c r="I459">
        <f>VLOOKUP(A459,Overview!A$4:L$202,12)</f>
        <v>259640016</v>
      </c>
      <c r="J459" s="158">
        <f t="shared" si="60"/>
        <v>3.0391630772353677</v>
      </c>
      <c r="K459" t="str">
        <f t="shared" si="61"/>
        <v>More expensive than it should be</v>
      </c>
    </row>
    <row r="460" spans="1:11">
      <c r="A460">
        <v>459</v>
      </c>
      <c r="B460">
        <f>IF(J459&gt;-0.4,B459+ROUNDUP(E459/50,0)*50,ROUNDUP(MAX(MIN(VLOOKUP(A460,Overview!$A$4:$K$202,11)/3*0.6,IF(A460&gt;2,B459+MIN(MAX(A459*50,1850),(B459-B458)*1.22,(B459-B458)+150),999)),B459+(B459-B458)),0))</f>
        <v>1628123</v>
      </c>
      <c r="C460">
        <f t="shared" si="56"/>
        <v>814062</v>
      </c>
      <c r="D460">
        <f t="shared" si="57"/>
        <v>3550</v>
      </c>
      <c r="E460">
        <f t="shared" si="58"/>
        <v>3547</v>
      </c>
      <c r="F460">
        <f>VLOOKUP(A460-1,Overview!$A$4:$K$202,11)/3*0.6</f>
        <v>753991.2</v>
      </c>
      <c r="G460" s="272">
        <f t="shared" si="59"/>
        <v>1.1593395254480425</v>
      </c>
      <c r="H460">
        <f>SUM(B$2:B460)*3</f>
        <v>1053612735</v>
      </c>
      <c r="I460">
        <f>VLOOKUP(A460,Overview!A$4:L$202,12)</f>
        <v>259640016</v>
      </c>
      <c r="J460" s="158">
        <f t="shared" si="60"/>
        <v>3.0579751581897918</v>
      </c>
      <c r="K460" t="str">
        <f t="shared" si="61"/>
        <v>More expensive than it should be</v>
      </c>
    </row>
    <row r="461" spans="1:11">
      <c r="A461">
        <v>460</v>
      </c>
      <c r="B461">
        <f>IF(J460&gt;-0.4,B460+ROUNDUP(E460/50,0)*50,ROUNDUP(MAX(MIN(VLOOKUP(A461,Overview!$A$4:$K$202,11)/3*0.6,IF(A461&gt;2,B460+MIN(MAX(A460*50,1850),(B460-B459)*1.22,(B460-B459)+150),999)),B460+(B460-B459)),0))</f>
        <v>1631673</v>
      </c>
      <c r="C461">
        <f t="shared" si="56"/>
        <v>815837</v>
      </c>
      <c r="D461">
        <f t="shared" si="57"/>
        <v>3550</v>
      </c>
      <c r="E461">
        <f t="shared" si="58"/>
        <v>3547</v>
      </c>
      <c r="F461">
        <f>VLOOKUP(A461-1,Overview!$A$4:$K$202,11)/3*0.6</f>
        <v>753991.2</v>
      </c>
      <c r="G461" s="272">
        <f t="shared" si="59"/>
        <v>1.1640478032104355</v>
      </c>
      <c r="H461">
        <f>SUM(B$2:B461)*3</f>
        <v>1058507754</v>
      </c>
      <c r="I461">
        <f>VLOOKUP(A461,Overview!A$4:L$202,12)</f>
        <v>259640016</v>
      </c>
      <c r="J461" s="158">
        <f t="shared" si="60"/>
        <v>3.076828257474765</v>
      </c>
      <c r="K461" t="str">
        <f t="shared" si="61"/>
        <v>More expensive than it should be</v>
      </c>
    </row>
    <row r="462" spans="1:11">
      <c r="A462">
        <v>461</v>
      </c>
      <c r="B462">
        <f>IF(J461&gt;-0.4,B461+ROUNDUP(E461/50,0)*50,ROUNDUP(MAX(MIN(VLOOKUP(A462,Overview!$A$4:$K$202,11)/3*0.6,IF(A462&gt;2,B461+MIN(MAX(A461*50,1850),(B461-B460)*1.22,(B461-B460)+150),999)),B461+(B461-B460)),0))</f>
        <v>1635223</v>
      </c>
      <c r="C462">
        <f t="shared" si="56"/>
        <v>817612</v>
      </c>
      <c r="D462">
        <f t="shared" si="57"/>
        <v>3550</v>
      </c>
      <c r="E462">
        <f t="shared" si="58"/>
        <v>3547</v>
      </c>
      <c r="F462">
        <f>VLOOKUP(A462-1,Overview!$A$4:$K$202,11)/3*0.6</f>
        <v>753991.2</v>
      </c>
      <c r="G462" s="272">
        <f t="shared" si="59"/>
        <v>1.1687560809728286</v>
      </c>
      <c r="H462">
        <f>SUM(B$2:B462)*3</f>
        <v>1063413423</v>
      </c>
      <c r="I462">
        <f>VLOOKUP(A462,Overview!A$4:L$202,12)</f>
        <v>259640016</v>
      </c>
      <c r="J462" s="158">
        <f t="shared" si="60"/>
        <v>3.0957223750902862</v>
      </c>
      <c r="K462" t="str">
        <f t="shared" si="61"/>
        <v>More expensive than it should be</v>
      </c>
    </row>
    <row r="463" spans="1:11">
      <c r="A463">
        <v>462</v>
      </c>
      <c r="B463">
        <f>IF(J462&gt;-0.4,B462+ROUNDUP(E462/50,0)*50,ROUNDUP(MAX(MIN(VLOOKUP(A463,Overview!$A$4:$K$202,11)/3*0.6,IF(A463&gt;2,B462+MIN(MAX(A462*50,1850),(B462-B461)*1.22,(B462-B461)+150),999)),B462+(B462-B461)),0))</f>
        <v>1638773</v>
      </c>
      <c r="C463">
        <f t="shared" si="56"/>
        <v>819387</v>
      </c>
      <c r="D463">
        <f t="shared" si="57"/>
        <v>3550</v>
      </c>
      <c r="E463">
        <f t="shared" si="58"/>
        <v>3547</v>
      </c>
      <c r="F463">
        <f>VLOOKUP(A463-1,Overview!$A$4:$K$202,11)/3*0.6</f>
        <v>753991.2</v>
      </c>
      <c r="G463" s="272">
        <f t="shared" si="59"/>
        <v>1.1734643587352216</v>
      </c>
      <c r="H463">
        <f>SUM(B$2:B463)*3</f>
        <v>1068329742</v>
      </c>
      <c r="I463">
        <f>VLOOKUP(A463,Overview!A$4:L$202,12)</f>
        <v>259640016</v>
      </c>
      <c r="J463" s="158">
        <f t="shared" si="60"/>
        <v>3.1146575110363575</v>
      </c>
      <c r="K463" t="str">
        <f t="shared" si="61"/>
        <v>More expensive than it should be</v>
      </c>
    </row>
    <row r="464" spans="1:11">
      <c r="A464">
        <v>463</v>
      </c>
      <c r="B464">
        <f>IF(J463&gt;-0.4,B463+ROUNDUP(E463/50,0)*50,ROUNDUP(MAX(MIN(VLOOKUP(A464,Overview!$A$4:$K$202,11)/3*0.6,IF(A464&gt;2,B463+MIN(MAX(A463*50,1850),(B463-B462)*1.22,(B463-B462)+150),999)),B463+(B463-B462)),0))</f>
        <v>1642323</v>
      </c>
      <c r="C464">
        <f t="shared" si="56"/>
        <v>821162</v>
      </c>
      <c r="D464">
        <f t="shared" si="57"/>
        <v>3550</v>
      </c>
      <c r="E464">
        <f t="shared" si="58"/>
        <v>3547</v>
      </c>
      <c r="F464">
        <f>VLOOKUP(A464-1,Overview!$A$4:$K$202,11)/3*0.6</f>
        <v>753991.2</v>
      </c>
      <c r="G464" s="272">
        <f t="shared" si="59"/>
        <v>1.1781726364976146</v>
      </c>
      <c r="H464">
        <f>SUM(B$2:B464)*3</f>
        <v>1073256711</v>
      </c>
      <c r="I464">
        <f>VLOOKUP(A464,Overview!A$4:L$202,12)</f>
        <v>259640016</v>
      </c>
      <c r="J464" s="158">
        <f t="shared" si="60"/>
        <v>3.1336336653129768</v>
      </c>
      <c r="K464" t="str">
        <f t="shared" si="61"/>
        <v>More expensive than it should be</v>
      </c>
    </row>
    <row r="465" spans="1:11">
      <c r="A465">
        <v>464</v>
      </c>
      <c r="B465">
        <f>IF(J464&gt;-0.4,B464+ROUNDUP(E464/50,0)*50,ROUNDUP(MAX(MIN(VLOOKUP(A465,Overview!$A$4:$K$202,11)/3*0.6,IF(A465&gt;2,B464+MIN(MAX(A464*50,1850),(B464-B463)*1.22,(B464-B463)+150),999)),B464+(B464-B463)),0))</f>
        <v>1645873</v>
      </c>
      <c r="C465">
        <f t="shared" si="56"/>
        <v>822937</v>
      </c>
      <c r="D465">
        <f t="shared" si="57"/>
        <v>3550</v>
      </c>
      <c r="E465">
        <f t="shared" si="58"/>
        <v>3547</v>
      </c>
      <c r="F465">
        <f>VLOOKUP(A465-1,Overview!$A$4:$K$202,11)/3*0.6</f>
        <v>753991.2</v>
      </c>
      <c r="G465" s="272">
        <f t="shared" si="59"/>
        <v>1.1828809142600076</v>
      </c>
      <c r="H465">
        <f>SUM(B$2:B465)*3</f>
        <v>1078194330</v>
      </c>
      <c r="I465">
        <f>VLOOKUP(A465,Overview!A$4:L$202,12)</f>
        <v>259640016</v>
      </c>
      <c r="J465" s="158">
        <f t="shared" si="60"/>
        <v>3.1526508379201452</v>
      </c>
      <c r="K465" t="str">
        <f t="shared" si="61"/>
        <v>More expensive than it should be</v>
      </c>
    </row>
    <row r="466" spans="1:11">
      <c r="A466">
        <v>465</v>
      </c>
      <c r="B466">
        <f>IF(J465&gt;-0.4,B465+ROUNDUP(E465/50,0)*50,ROUNDUP(MAX(MIN(VLOOKUP(A466,Overview!$A$4:$K$202,11)/3*0.6,IF(A466&gt;2,B465+MIN(MAX(A465*50,1850),(B465-B464)*1.22,(B465-B464)+150),999)),B465+(B465-B464)),0))</f>
        <v>1649423</v>
      </c>
      <c r="C466">
        <f t="shared" si="56"/>
        <v>824712</v>
      </c>
      <c r="D466">
        <f t="shared" si="57"/>
        <v>3550</v>
      </c>
      <c r="E466">
        <f t="shared" si="58"/>
        <v>3547</v>
      </c>
      <c r="F466">
        <f>VLOOKUP(A466-1,Overview!$A$4:$K$202,11)/3*0.6</f>
        <v>753991.2</v>
      </c>
      <c r="G466" s="272">
        <f t="shared" si="59"/>
        <v>1.1875891920224002</v>
      </c>
      <c r="H466">
        <f>SUM(B$2:B466)*3</f>
        <v>1083142599</v>
      </c>
      <c r="I466">
        <f>VLOOKUP(A466,Overview!A$4:L$202,12)</f>
        <v>259640016</v>
      </c>
      <c r="J466" s="158">
        <f t="shared" si="60"/>
        <v>3.1717090288578627</v>
      </c>
      <c r="K466" t="str">
        <f t="shared" si="61"/>
        <v>More expensive than it should be</v>
      </c>
    </row>
    <row r="467" spans="1:11">
      <c r="A467">
        <v>466</v>
      </c>
      <c r="B467">
        <f>IF(J466&gt;-0.4,B466+ROUNDUP(E466/50,0)*50,ROUNDUP(MAX(MIN(VLOOKUP(A467,Overview!$A$4:$K$202,11)/3*0.6,IF(A467&gt;2,B466+MIN(MAX(A466*50,1850),(B466-B465)*1.22,(B466-B465)+150),999)),B466+(B466-B465)),0))</f>
        <v>1652973</v>
      </c>
      <c r="C467">
        <f t="shared" si="56"/>
        <v>826487</v>
      </c>
      <c r="D467">
        <f t="shared" si="57"/>
        <v>3550</v>
      </c>
      <c r="E467">
        <f t="shared" si="58"/>
        <v>3547</v>
      </c>
      <c r="F467">
        <f>VLOOKUP(A467-1,Overview!$A$4:$K$202,11)/3*0.6</f>
        <v>753991.2</v>
      </c>
      <c r="G467" s="272">
        <f t="shared" si="59"/>
        <v>1.1922974697847932</v>
      </c>
      <c r="H467">
        <f>SUM(B$2:B467)*3</f>
        <v>1088101518</v>
      </c>
      <c r="I467">
        <f>VLOOKUP(A467,Overview!A$4:L$202,12)</f>
        <v>259640016</v>
      </c>
      <c r="J467" s="158">
        <f t="shared" si="60"/>
        <v>3.1908082381261291</v>
      </c>
      <c r="K467" t="str">
        <f t="shared" si="61"/>
        <v>More expensive than it should be</v>
      </c>
    </row>
    <row r="468" spans="1:11">
      <c r="A468">
        <v>467</v>
      </c>
      <c r="B468">
        <f>IF(J467&gt;-0.4,B467+ROUNDUP(E467/50,0)*50,ROUNDUP(MAX(MIN(VLOOKUP(A468,Overview!$A$4:$K$202,11)/3*0.6,IF(A468&gt;2,B467+MIN(MAX(A467*50,1850),(B467-B466)*1.22,(B467-B466)+150),999)),B467+(B467-B466)),0))</f>
        <v>1656523</v>
      </c>
      <c r="C468">
        <f t="shared" si="56"/>
        <v>828262</v>
      </c>
      <c r="D468">
        <f t="shared" si="57"/>
        <v>3550</v>
      </c>
      <c r="E468">
        <f t="shared" si="58"/>
        <v>3547</v>
      </c>
      <c r="F468">
        <f>VLOOKUP(A468-1,Overview!$A$4:$K$202,11)/3*0.6</f>
        <v>753991.2</v>
      </c>
      <c r="G468" s="272">
        <f t="shared" si="59"/>
        <v>1.1970057475471862</v>
      </c>
      <c r="H468">
        <f>SUM(B$2:B468)*3</f>
        <v>1093071087</v>
      </c>
      <c r="I468">
        <f>VLOOKUP(A468,Overview!A$4:L$202,12)</f>
        <v>259640016</v>
      </c>
      <c r="J468" s="158">
        <f t="shared" si="60"/>
        <v>3.2099484657249446</v>
      </c>
      <c r="K468" t="str">
        <f t="shared" si="61"/>
        <v>More expensive than it should be</v>
      </c>
    </row>
    <row r="469" spans="1:11">
      <c r="A469">
        <v>468</v>
      </c>
      <c r="B469">
        <f>IF(J468&gt;-0.4,B468+ROUNDUP(E468/50,0)*50,ROUNDUP(MAX(MIN(VLOOKUP(A469,Overview!$A$4:$K$202,11)/3*0.6,IF(A469&gt;2,B468+MIN(MAX(A468*50,1850),(B468-B467)*1.22,(B468-B467)+150),999)),B468+(B468-B467)),0))</f>
        <v>1660073</v>
      </c>
      <c r="C469">
        <f t="shared" si="56"/>
        <v>830037</v>
      </c>
      <c r="D469">
        <f t="shared" si="57"/>
        <v>3550</v>
      </c>
      <c r="E469">
        <f t="shared" si="58"/>
        <v>3547</v>
      </c>
      <c r="F469">
        <f>VLOOKUP(A469-1,Overview!$A$4:$K$202,11)/3*0.6</f>
        <v>753991.2</v>
      </c>
      <c r="G469" s="272">
        <f t="shared" si="59"/>
        <v>1.2017140253095793</v>
      </c>
      <c r="H469">
        <f>SUM(B$2:B469)*3</f>
        <v>1098051306</v>
      </c>
      <c r="I469">
        <f>VLOOKUP(A469,Overview!A$4:L$202,12)</f>
        <v>259640016</v>
      </c>
      <c r="J469" s="158">
        <f t="shared" si="60"/>
        <v>3.2291297116543083</v>
      </c>
      <c r="K469" t="str">
        <f t="shared" si="61"/>
        <v>More expensive than it should be</v>
      </c>
    </row>
    <row r="470" spans="1:11">
      <c r="A470">
        <v>469</v>
      </c>
      <c r="B470">
        <f>IF(J469&gt;-0.4,B469+ROUNDUP(E469/50,0)*50,ROUNDUP(MAX(MIN(VLOOKUP(A470,Overview!$A$4:$K$202,11)/3*0.6,IF(A470&gt;2,B469+MIN(MAX(A469*50,1850),(B469-B468)*1.22,(B469-B468)+150),999)),B469+(B469-B468)),0))</f>
        <v>1663623</v>
      </c>
      <c r="C470">
        <f t="shared" si="56"/>
        <v>831812</v>
      </c>
      <c r="D470">
        <f t="shared" si="57"/>
        <v>3550</v>
      </c>
      <c r="E470">
        <f t="shared" si="58"/>
        <v>3547</v>
      </c>
      <c r="F470">
        <f>VLOOKUP(A470-1,Overview!$A$4:$K$202,11)/3*0.6</f>
        <v>753991.2</v>
      </c>
      <c r="G470" s="272">
        <f t="shared" si="59"/>
        <v>1.2064223030719723</v>
      </c>
      <c r="H470">
        <f>SUM(B$2:B470)*3</f>
        <v>1103042175</v>
      </c>
      <c r="I470">
        <f>VLOOKUP(A470,Overview!A$4:L$202,12)</f>
        <v>259640016</v>
      </c>
      <c r="J470" s="158">
        <f t="shared" si="60"/>
        <v>3.248351975914221</v>
      </c>
      <c r="K470" t="str">
        <f t="shared" si="61"/>
        <v>More expensive than it should be</v>
      </c>
    </row>
    <row r="471" spans="1:11">
      <c r="A471">
        <v>470</v>
      </c>
      <c r="B471">
        <f>IF(J470&gt;-0.4,B470+ROUNDUP(E470/50,0)*50,ROUNDUP(MAX(MIN(VLOOKUP(A471,Overview!$A$4:$K$202,11)/3*0.6,IF(A471&gt;2,B470+MIN(MAX(A470*50,1850),(B470-B469)*1.22,(B470-B469)+150),999)),B470+(B470-B469)),0))</f>
        <v>1667173</v>
      </c>
      <c r="C471">
        <f t="shared" si="56"/>
        <v>833587</v>
      </c>
      <c r="D471">
        <f t="shared" si="57"/>
        <v>3550</v>
      </c>
      <c r="E471">
        <f t="shared" si="58"/>
        <v>3547</v>
      </c>
      <c r="F471">
        <f>VLOOKUP(A471-1,Overview!$A$4:$K$202,11)/3*0.6</f>
        <v>753991.2</v>
      </c>
      <c r="G471" s="272">
        <f t="shared" si="59"/>
        <v>1.2111305808343653</v>
      </c>
      <c r="H471">
        <f>SUM(B$2:B471)*3</f>
        <v>1108043694</v>
      </c>
      <c r="I471">
        <f>VLOOKUP(A471,Overview!A$4:L$202,12)</f>
        <v>259640016</v>
      </c>
      <c r="J471" s="158">
        <f t="shared" si="60"/>
        <v>3.2676152585046827</v>
      </c>
      <c r="K471" t="str">
        <f t="shared" si="61"/>
        <v>More expensive than it should be</v>
      </c>
    </row>
    <row r="472" spans="1:11">
      <c r="A472">
        <v>471</v>
      </c>
      <c r="B472">
        <f>IF(J471&gt;-0.4,B471+ROUNDUP(E471/50,0)*50,ROUNDUP(MAX(MIN(VLOOKUP(A472,Overview!$A$4:$K$202,11)/3*0.6,IF(A472&gt;2,B471+MIN(MAX(A471*50,1850),(B471-B470)*1.22,(B471-B470)+150),999)),B471+(B471-B470)),0))</f>
        <v>1670723</v>
      </c>
      <c r="C472">
        <f t="shared" si="56"/>
        <v>835362</v>
      </c>
      <c r="D472">
        <f t="shared" si="57"/>
        <v>3550</v>
      </c>
      <c r="E472">
        <f t="shared" si="58"/>
        <v>3547</v>
      </c>
      <c r="F472">
        <f>VLOOKUP(A472-1,Overview!$A$4:$K$202,11)/3*0.6</f>
        <v>753991.2</v>
      </c>
      <c r="G472" s="272">
        <f t="shared" si="59"/>
        <v>1.2158388585967583</v>
      </c>
      <c r="H472">
        <f>SUM(B$2:B472)*3</f>
        <v>1113055863</v>
      </c>
      <c r="I472">
        <f>VLOOKUP(A472,Overview!A$4:L$202,12)</f>
        <v>259640016</v>
      </c>
      <c r="J472" s="158">
        <f t="shared" si="60"/>
        <v>3.2869195594256935</v>
      </c>
      <c r="K472" t="str">
        <f t="shared" si="61"/>
        <v>More expensive than it should be</v>
      </c>
    </row>
    <row r="473" spans="1:11">
      <c r="A473">
        <v>472</v>
      </c>
      <c r="B473">
        <f>IF(J472&gt;-0.4,B472+ROUNDUP(E472/50,0)*50,ROUNDUP(MAX(MIN(VLOOKUP(A473,Overview!$A$4:$K$202,11)/3*0.6,IF(A473&gt;2,B472+MIN(MAX(A472*50,1850),(B472-B471)*1.22,(B472-B471)+150),999)),B472+(B472-B471)),0))</f>
        <v>1674273</v>
      </c>
      <c r="C473">
        <f t="shared" si="56"/>
        <v>837137</v>
      </c>
      <c r="D473">
        <f t="shared" si="57"/>
        <v>3550</v>
      </c>
      <c r="E473">
        <f t="shared" si="58"/>
        <v>3547</v>
      </c>
      <c r="F473">
        <f>VLOOKUP(A473-1,Overview!$A$4:$K$202,11)/3*0.6</f>
        <v>753991.2</v>
      </c>
      <c r="G473" s="272">
        <f t="shared" si="59"/>
        <v>1.2205471363591514</v>
      </c>
      <c r="H473">
        <f>SUM(B$2:B473)*3</f>
        <v>1118078682</v>
      </c>
      <c r="I473">
        <f>VLOOKUP(A473,Overview!A$4:L$202,12)</f>
        <v>259640016</v>
      </c>
      <c r="J473" s="158">
        <f t="shared" si="60"/>
        <v>3.3062648786772533</v>
      </c>
      <c r="K473" t="str">
        <f t="shared" si="61"/>
        <v>More expensive than it should be</v>
      </c>
    </row>
    <row r="474" spans="1:11">
      <c r="A474">
        <v>473</v>
      </c>
      <c r="B474">
        <f>IF(J473&gt;-0.4,B473+ROUNDUP(E473/50,0)*50,ROUNDUP(MAX(MIN(VLOOKUP(A474,Overview!$A$4:$K$202,11)/3*0.6,IF(A474&gt;2,B473+MIN(MAX(A473*50,1850),(B473-B472)*1.22,(B473-B472)+150),999)),B473+(B473-B472)),0))</f>
        <v>1677823</v>
      </c>
      <c r="C474">
        <f t="shared" si="56"/>
        <v>838912</v>
      </c>
      <c r="D474">
        <f t="shared" si="57"/>
        <v>3550</v>
      </c>
      <c r="E474">
        <f t="shared" si="58"/>
        <v>3547</v>
      </c>
      <c r="F474">
        <f>VLOOKUP(A474-1,Overview!$A$4:$K$202,11)/3*0.6</f>
        <v>753991.2</v>
      </c>
      <c r="G474" s="272">
        <f t="shared" si="59"/>
        <v>1.2252554141215444</v>
      </c>
      <c r="H474">
        <f>SUM(B$2:B474)*3</f>
        <v>1123112151</v>
      </c>
      <c r="I474">
        <f>VLOOKUP(A474,Overview!A$4:L$202,12)</f>
        <v>259640016</v>
      </c>
      <c r="J474" s="158">
        <f t="shared" si="60"/>
        <v>3.3256512162593612</v>
      </c>
      <c r="K474" t="str">
        <f t="shared" si="61"/>
        <v>More expensive than it should be</v>
      </c>
    </row>
    <row r="475" spans="1:11">
      <c r="A475">
        <v>474</v>
      </c>
      <c r="B475">
        <f>IF(J474&gt;-0.4,B474+ROUNDUP(E474/50,0)*50,ROUNDUP(MAX(MIN(VLOOKUP(A475,Overview!$A$4:$K$202,11)/3*0.6,IF(A475&gt;2,B474+MIN(MAX(A474*50,1850),(B474-B473)*1.22,(B474-B473)+150),999)),B474+(B474-B473)),0))</f>
        <v>1681373</v>
      </c>
      <c r="C475">
        <f t="shared" si="56"/>
        <v>840687</v>
      </c>
      <c r="D475">
        <f t="shared" si="57"/>
        <v>3550</v>
      </c>
      <c r="E475">
        <f t="shared" si="58"/>
        <v>3547</v>
      </c>
      <c r="F475">
        <f>VLOOKUP(A475-1,Overview!$A$4:$K$202,11)/3*0.6</f>
        <v>753991.2</v>
      </c>
      <c r="G475" s="272">
        <f t="shared" si="59"/>
        <v>1.2299636918839374</v>
      </c>
      <c r="H475">
        <f>SUM(B$2:B475)*3</f>
        <v>1128156270</v>
      </c>
      <c r="I475">
        <f>VLOOKUP(A475,Overview!A$4:L$202,12)</f>
        <v>259640016</v>
      </c>
      <c r="J475" s="158">
        <f t="shared" si="60"/>
        <v>3.3450785721720182</v>
      </c>
      <c r="K475" t="str">
        <f t="shared" si="61"/>
        <v>More expensive than it should be</v>
      </c>
    </row>
    <row r="476" spans="1:11">
      <c r="A476">
        <v>475</v>
      </c>
      <c r="B476">
        <f>IF(J475&gt;-0.4,B475+ROUNDUP(E475/50,0)*50,ROUNDUP(MAX(MIN(VLOOKUP(A476,Overview!$A$4:$K$202,11)/3*0.6,IF(A476&gt;2,B475+MIN(MAX(A475*50,1850),(B475-B474)*1.22,(B475-B474)+150),999)),B475+(B475-B474)),0))</f>
        <v>1684923</v>
      </c>
      <c r="C476">
        <f t="shared" si="56"/>
        <v>842462</v>
      </c>
      <c r="D476">
        <f t="shared" si="57"/>
        <v>3550</v>
      </c>
      <c r="E476">
        <f t="shared" si="58"/>
        <v>3547</v>
      </c>
      <c r="F476">
        <f>VLOOKUP(A476-1,Overview!$A$4:$K$202,11)/3*0.6</f>
        <v>753991.2</v>
      </c>
      <c r="G476" s="272">
        <f t="shared" si="59"/>
        <v>1.2346719696463304</v>
      </c>
      <c r="H476">
        <f>SUM(B$2:B476)*3</f>
        <v>1133211039</v>
      </c>
      <c r="I476">
        <f>VLOOKUP(A476,Overview!A$4:L$202,12)</f>
        <v>259640016</v>
      </c>
      <c r="J476" s="158">
        <f t="shared" si="60"/>
        <v>3.3645469464152242</v>
      </c>
      <c r="K476" t="str">
        <f t="shared" si="61"/>
        <v>More expensive than it should be</v>
      </c>
    </row>
    <row r="477" spans="1:11">
      <c r="A477">
        <v>476</v>
      </c>
      <c r="B477">
        <f>IF(J476&gt;-0.4,B476+ROUNDUP(E476/50,0)*50,ROUNDUP(MAX(MIN(VLOOKUP(A477,Overview!$A$4:$K$202,11)/3*0.6,IF(A477&gt;2,B476+MIN(MAX(A476*50,1850),(B476-B475)*1.22,(B476-B475)+150),999)),B476+(B476-B475)),0))</f>
        <v>1688473</v>
      </c>
      <c r="C477">
        <f t="shared" si="56"/>
        <v>844237</v>
      </c>
      <c r="D477">
        <f t="shared" si="57"/>
        <v>3550</v>
      </c>
      <c r="E477">
        <f t="shared" si="58"/>
        <v>3547</v>
      </c>
      <c r="F477">
        <f>VLOOKUP(A477-1,Overview!$A$4:$K$202,11)/3*0.6</f>
        <v>753991.2</v>
      </c>
      <c r="G477" s="272">
        <f t="shared" si="59"/>
        <v>1.239380247408723</v>
      </c>
      <c r="H477">
        <f>SUM(B$2:B477)*3</f>
        <v>1138276458</v>
      </c>
      <c r="I477">
        <f>VLOOKUP(A477,Overview!A$4:L$202,12)</f>
        <v>259640016</v>
      </c>
      <c r="J477" s="158">
        <f t="shared" si="60"/>
        <v>3.3840563389889793</v>
      </c>
      <c r="K477" t="str">
        <f t="shared" si="61"/>
        <v>More expensive than it should be</v>
      </c>
    </row>
    <row r="478" spans="1:11">
      <c r="A478">
        <v>477</v>
      </c>
      <c r="B478">
        <f>IF(J477&gt;-0.4,B477+ROUNDUP(E477/50,0)*50,ROUNDUP(MAX(MIN(VLOOKUP(A478,Overview!$A$4:$K$202,11)/3*0.6,IF(A478&gt;2,B477+MIN(MAX(A477*50,1850),(B477-B476)*1.22,(B477-B476)+150),999)),B477+(B477-B476)),0))</f>
        <v>1692023</v>
      </c>
      <c r="C478">
        <f t="shared" si="56"/>
        <v>846012</v>
      </c>
      <c r="D478">
        <f t="shared" si="57"/>
        <v>3550</v>
      </c>
      <c r="E478">
        <f t="shared" si="58"/>
        <v>3547</v>
      </c>
      <c r="F478">
        <f>VLOOKUP(A478-1,Overview!$A$4:$K$202,11)/3*0.6</f>
        <v>753991.2</v>
      </c>
      <c r="G478" s="272">
        <f t="shared" si="59"/>
        <v>1.244088525171116</v>
      </c>
      <c r="H478">
        <f>SUM(B$2:B478)*3</f>
        <v>1143352527</v>
      </c>
      <c r="I478">
        <f>VLOOKUP(A478,Overview!A$4:L$202,12)</f>
        <v>259640016</v>
      </c>
      <c r="J478" s="158">
        <f t="shared" si="60"/>
        <v>3.4036067498932834</v>
      </c>
      <c r="K478" t="str">
        <f t="shared" si="61"/>
        <v>More expensive than it should be</v>
      </c>
    </row>
    <row r="479" spans="1:11">
      <c r="A479">
        <v>478</v>
      </c>
      <c r="B479">
        <f>IF(J478&gt;-0.4,B478+ROUNDUP(E478/50,0)*50,ROUNDUP(MAX(MIN(VLOOKUP(A479,Overview!$A$4:$K$202,11)/3*0.6,IF(A479&gt;2,B478+MIN(MAX(A478*50,1850),(B478-B477)*1.22,(B478-B477)+150),999)),B478+(B478-B477)),0))</f>
        <v>1695573</v>
      </c>
      <c r="C479">
        <f t="shared" si="56"/>
        <v>847787</v>
      </c>
      <c r="D479">
        <f t="shared" si="57"/>
        <v>3550</v>
      </c>
      <c r="E479">
        <f t="shared" si="58"/>
        <v>3547</v>
      </c>
      <c r="F479">
        <f>VLOOKUP(A479-1,Overview!$A$4:$K$202,11)/3*0.6</f>
        <v>753991.2</v>
      </c>
      <c r="G479" s="272">
        <f t="shared" si="59"/>
        <v>1.248796802933509</v>
      </c>
      <c r="H479">
        <f>SUM(B$2:B479)*3</f>
        <v>1148439246</v>
      </c>
      <c r="I479">
        <f>VLOOKUP(A479,Overview!A$4:L$202,12)</f>
        <v>259640016</v>
      </c>
      <c r="J479" s="158">
        <f t="shared" si="60"/>
        <v>3.4231981791281356</v>
      </c>
      <c r="K479" t="str">
        <f t="shared" si="61"/>
        <v>More expensive than it should be</v>
      </c>
    </row>
    <row r="480" spans="1:11">
      <c r="A480">
        <v>479</v>
      </c>
      <c r="B480">
        <f>IF(J479&gt;-0.4,B479+ROUNDUP(E479/50,0)*50,ROUNDUP(MAX(MIN(VLOOKUP(A480,Overview!$A$4:$K$202,11)/3*0.6,IF(A480&gt;2,B479+MIN(MAX(A479*50,1850),(B479-B478)*1.22,(B479-B478)+150),999)),B479+(B479-B478)),0))</f>
        <v>1699123</v>
      </c>
      <c r="C480">
        <f t="shared" si="56"/>
        <v>849562</v>
      </c>
      <c r="D480">
        <f t="shared" si="57"/>
        <v>3550</v>
      </c>
      <c r="E480">
        <f t="shared" si="58"/>
        <v>3547</v>
      </c>
      <c r="F480">
        <f>VLOOKUP(A480-1,Overview!$A$4:$K$202,11)/3*0.6</f>
        <v>753991.2</v>
      </c>
      <c r="G480" s="272">
        <f t="shared" si="59"/>
        <v>1.2535050806959021</v>
      </c>
      <c r="H480">
        <f>SUM(B$2:B480)*3</f>
        <v>1153536615</v>
      </c>
      <c r="I480">
        <f>VLOOKUP(A480,Overview!A$4:L$202,12)</f>
        <v>259640016</v>
      </c>
      <c r="J480" s="158">
        <f t="shared" si="60"/>
        <v>3.4428306266935369</v>
      </c>
      <c r="K480" t="str">
        <f t="shared" si="61"/>
        <v>More expensive than it should be</v>
      </c>
    </row>
    <row r="481" spans="1:11">
      <c r="A481">
        <v>480</v>
      </c>
      <c r="B481">
        <f>IF(J480&gt;-0.4,B480+ROUNDUP(E480/50,0)*50,ROUNDUP(MAX(MIN(VLOOKUP(A481,Overview!$A$4:$K$202,11)/3*0.6,IF(A481&gt;2,B480+MIN(MAX(A480*50,1850),(B480-B479)*1.22,(B480-B479)+150),999)),B480+(B480-B479)),0))</f>
        <v>1702673</v>
      </c>
      <c r="C481">
        <f t="shared" si="56"/>
        <v>851337</v>
      </c>
      <c r="D481">
        <f t="shared" si="57"/>
        <v>3550</v>
      </c>
      <c r="E481">
        <f t="shared" si="58"/>
        <v>3547</v>
      </c>
      <c r="F481">
        <f>VLOOKUP(A481-1,Overview!$A$4:$K$202,11)/3*0.6</f>
        <v>753991.2</v>
      </c>
      <c r="G481" s="272">
        <f t="shared" si="59"/>
        <v>1.2582133584582951</v>
      </c>
      <c r="H481">
        <f>SUM(B$2:B481)*3</f>
        <v>1158644634</v>
      </c>
      <c r="I481">
        <f>VLOOKUP(A481,Overview!A$4:L$202,12)</f>
        <v>259640016</v>
      </c>
      <c r="J481" s="158">
        <f t="shared" si="60"/>
        <v>3.4625040925894872</v>
      </c>
      <c r="K481" t="str">
        <f t="shared" si="61"/>
        <v>More expensive than it should be</v>
      </c>
    </row>
    <row r="482" spans="1:11">
      <c r="A482">
        <v>481</v>
      </c>
      <c r="B482">
        <f>IF(J481&gt;-0.4,B481+ROUNDUP(E481/50,0)*50,ROUNDUP(MAX(MIN(VLOOKUP(A482,Overview!$A$4:$K$202,11)/3*0.6,IF(A482&gt;2,B481+MIN(MAX(A481*50,1850),(B481-B480)*1.22,(B481-B480)+150),999)),B481+(B481-B480)),0))</f>
        <v>1706223</v>
      </c>
      <c r="C482">
        <f t="shared" si="56"/>
        <v>853112</v>
      </c>
      <c r="D482">
        <f t="shared" si="57"/>
        <v>3550</v>
      </c>
      <c r="E482">
        <f t="shared" si="58"/>
        <v>3547</v>
      </c>
      <c r="F482">
        <f>VLOOKUP(A482-1,Overview!$A$4:$K$202,11)/3*0.6</f>
        <v>753991.2</v>
      </c>
      <c r="G482" s="272">
        <f t="shared" si="59"/>
        <v>1.2629216362206881</v>
      </c>
      <c r="H482">
        <f>SUM(B$2:B482)*3</f>
        <v>1163763303</v>
      </c>
      <c r="I482">
        <f>VLOOKUP(A482,Overview!A$4:L$202,12)</f>
        <v>259640016</v>
      </c>
      <c r="J482" s="158">
        <f t="shared" si="60"/>
        <v>3.4822185768159866</v>
      </c>
      <c r="K482" t="str">
        <f t="shared" si="61"/>
        <v>More expensive than it should be</v>
      </c>
    </row>
    <row r="483" spans="1:11">
      <c r="A483">
        <v>482</v>
      </c>
      <c r="B483">
        <f>IF(J482&gt;-0.4,B482+ROUNDUP(E482/50,0)*50,ROUNDUP(MAX(MIN(VLOOKUP(A483,Overview!$A$4:$K$202,11)/3*0.6,IF(A483&gt;2,B482+MIN(MAX(A482*50,1850),(B482-B481)*1.22,(B482-B481)+150),999)),B482+(B482-B481)),0))</f>
        <v>1709773</v>
      </c>
      <c r="C483">
        <f t="shared" si="56"/>
        <v>854887</v>
      </c>
      <c r="D483">
        <f t="shared" si="57"/>
        <v>3550</v>
      </c>
      <c r="E483">
        <f t="shared" si="58"/>
        <v>3547</v>
      </c>
      <c r="F483">
        <f>VLOOKUP(A483-1,Overview!$A$4:$K$202,11)/3*0.6</f>
        <v>753991.2</v>
      </c>
      <c r="G483" s="272">
        <f t="shared" si="59"/>
        <v>1.2676299139830811</v>
      </c>
      <c r="H483">
        <f>SUM(B$2:B483)*3</f>
        <v>1168892622</v>
      </c>
      <c r="I483">
        <f>VLOOKUP(A483,Overview!A$4:L$202,12)</f>
        <v>259640016</v>
      </c>
      <c r="J483" s="158">
        <f t="shared" si="60"/>
        <v>3.501974079373035</v>
      </c>
      <c r="K483" t="str">
        <f t="shared" si="61"/>
        <v>More expensive than it should be</v>
      </c>
    </row>
    <row r="484" spans="1:11">
      <c r="A484">
        <v>483</v>
      </c>
      <c r="B484">
        <f>IF(J483&gt;-0.4,B483+ROUNDUP(E483/50,0)*50,ROUNDUP(MAX(MIN(VLOOKUP(A484,Overview!$A$4:$K$202,11)/3*0.6,IF(A484&gt;2,B483+MIN(MAX(A483*50,1850),(B483-B482)*1.22,(B483-B482)+150),999)),B483+(B483-B482)),0))</f>
        <v>1713323</v>
      </c>
      <c r="C484">
        <f t="shared" si="56"/>
        <v>856662</v>
      </c>
      <c r="D484">
        <f t="shared" si="57"/>
        <v>3550</v>
      </c>
      <c r="E484">
        <f t="shared" si="58"/>
        <v>3547</v>
      </c>
      <c r="F484">
        <f>VLOOKUP(A484-1,Overview!$A$4:$K$202,11)/3*0.6</f>
        <v>753991.2</v>
      </c>
      <c r="G484" s="272">
        <f t="shared" si="59"/>
        <v>1.2723381917454741</v>
      </c>
      <c r="H484">
        <f>SUM(B$2:B484)*3</f>
        <v>1174032591</v>
      </c>
      <c r="I484">
        <f>VLOOKUP(A484,Overview!A$4:L$202,12)</f>
        <v>259640016</v>
      </c>
      <c r="J484" s="158">
        <f t="shared" si="60"/>
        <v>3.5217706002606315</v>
      </c>
      <c r="K484" t="str">
        <f t="shared" si="61"/>
        <v>More expensive than it should be</v>
      </c>
    </row>
    <row r="485" spans="1:11">
      <c r="A485">
        <v>484</v>
      </c>
      <c r="B485">
        <f>IF(J484&gt;-0.4,B484+ROUNDUP(E484/50,0)*50,ROUNDUP(MAX(MIN(VLOOKUP(A485,Overview!$A$4:$K$202,11)/3*0.6,IF(A485&gt;2,B484+MIN(MAX(A484*50,1850),(B484-B483)*1.22,(B484-B483)+150),999)),B484+(B484-B483)),0))</f>
        <v>1716873</v>
      </c>
      <c r="C485">
        <f t="shared" si="56"/>
        <v>858437</v>
      </c>
      <c r="D485">
        <f t="shared" si="57"/>
        <v>3550</v>
      </c>
      <c r="E485">
        <f t="shared" si="58"/>
        <v>3547</v>
      </c>
      <c r="F485">
        <f>VLOOKUP(A485-1,Overview!$A$4:$K$202,11)/3*0.6</f>
        <v>753991.2</v>
      </c>
      <c r="G485" s="272">
        <f t="shared" si="59"/>
        <v>1.2770464695078672</v>
      </c>
      <c r="H485">
        <f>SUM(B$2:B485)*3</f>
        <v>1179183210</v>
      </c>
      <c r="I485">
        <f>VLOOKUP(A485,Overview!A$4:L$202,12)</f>
        <v>259640016</v>
      </c>
      <c r="J485" s="158">
        <f t="shared" si="60"/>
        <v>3.5416081394787771</v>
      </c>
      <c r="K485" t="str">
        <f t="shared" si="61"/>
        <v>More expensive than it should be</v>
      </c>
    </row>
    <row r="486" spans="1:11">
      <c r="A486">
        <v>485</v>
      </c>
      <c r="B486">
        <f>IF(J485&gt;-0.4,B485+ROUNDUP(E485/50,0)*50,ROUNDUP(MAX(MIN(VLOOKUP(A486,Overview!$A$4:$K$202,11)/3*0.6,IF(A486&gt;2,B485+MIN(MAX(A485*50,1850),(B485-B484)*1.22,(B485-B484)+150),999)),B485+(B485-B484)),0))</f>
        <v>1720423</v>
      </c>
      <c r="C486">
        <f t="shared" si="56"/>
        <v>860212</v>
      </c>
      <c r="D486">
        <f t="shared" si="57"/>
        <v>3550</v>
      </c>
      <c r="E486">
        <f t="shared" si="58"/>
        <v>3547</v>
      </c>
      <c r="F486">
        <f>VLOOKUP(A486-1,Overview!$A$4:$K$202,11)/3*0.6</f>
        <v>753991.2</v>
      </c>
      <c r="G486" s="272">
        <f t="shared" si="59"/>
        <v>1.2817547472702602</v>
      </c>
      <c r="H486">
        <f>SUM(B$2:B486)*3</f>
        <v>1184344479</v>
      </c>
      <c r="I486">
        <f>VLOOKUP(A486,Overview!A$4:L$202,12)</f>
        <v>259640016</v>
      </c>
      <c r="J486" s="158">
        <f t="shared" si="60"/>
        <v>3.5614866970274717</v>
      </c>
      <c r="K486" t="str">
        <f t="shared" si="61"/>
        <v>More expensive than it should be</v>
      </c>
    </row>
    <row r="487" spans="1:11">
      <c r="A487">
        <v>486</v>
      </c>
      <c r="B487">
        <f>IF(J486&gt;-0.4,B486+ROUNDUP(E486/50,0)*50,ROUNDUP(MAX(MIN(VLOOKUP(A487,Overview!$A$4:$K$202,11)/3*0.6,IF(A487&gt;2,B486+MIN(MAX(A486*50,1850),(B486-B485)*1.22,(B486-B485)+150),999)),B486+(B486-B485)),0))</f>
        <v>1723973</v>
      </c>
      <c r="C487">
        <f t="shared" si="56"/>
        <v>861987</v>
      </c>
      <c r="D487">
        <f t="shared" si="57"/>
        <v>3550</v>
      </c>
      <c r="E487">
        <f t="shared" si="58"/>
        <v>3547</v>
      </c>
      <c r="F487">
        <f>VLOOKUP(A487-1,Overview!$A$4:$K$202,11)/3*0.6</f>
        <v>753991.2</v>
      </c>
      <c r="G487" s="272">
        <f t="shared" si="59"/>
        <v>1.2864630250326532</v>
      </c>
      <c r="H487">
        <f>SUM(B$2:B487)*3</f>
        <v>1189516398</v>
      </c>
      <c r="I487">
        <f>VLOOKUP(A487,Overview!A$4:L$202,12)</f>
        <v>259640016</v>
      </c>
      <c r="J487" s="158">
        <f t="shared" si="60"/>
        <v>3.5814062729067153</v>
      </c>
      <c r="K487" t="str">
        <f t="shared" si="61"/>
        <v>More expensive than it should be</v>
      </c>
    </row>
    <row r="488" spans="1:11">
      <c r="A488">
        <v>487</v>
      </c>
      <c r="B488">
        <f>IF(J487&gt;-0.4,B487+ROUNDUP(E487/50,0)*50,ROUNDUP(MAX(MIN(VLOOKUP(A488,Overview!$A$4:$K$202,11)/3*0.6,IF(A488&gt;2,B487+MIN(MAX(A487*50,1850),(B487-B486)*1.22,(B487-B486)+150),999)),B487+(B487-B486)),0))</f>
        <v>1727523</v>
      </c>
      <c r="C488">
        <f t="shared" si="56"/>
        <v>863762</v>
      </c>
      <c r="D488">
        <f t="shared" si="57"/>
        <v>3550</v>
      </c>
      <c r="E488">
        <f t="shared" si="58"/>
        <v>3547</v>
      </c>
      <c r="F488">
        <f>VLOOKUP(A488-1,Overview!$A$4:$K$202,11)/3*0.6</f>
        <v>753991.2</v>
      </c>
      <c r="G488" s="272">
        <f t="shared" si="59"/>
        <v>1.2911713027950462</v>
      </c>
      <c r="H488">
        <f>SUM(B$2:B488)*3</f>
        <v>1194698967</v>
      </c>
      <c r="I488">
        <f>VLOOKUP(A488,Overview!A$4:L$202,12)</f>
        <v>259640016</v>
      </c>
      <c r="J488" s="158">
        <f t="shared" si="60"/>
        <v>3.601366867116508</v>
      </c>
      <c r="K488" t="str">
        <f t="shared" si="61"/>
        <v>More expensive than it should be</v>
      </c>
    </row>
    <row r="489" spans="1:11">
      <c r="A489">
        <v>488</v>
      </c>
      <c r="B489">
        <f>IF(J488&gt;-0.4,B488+ROUNDUP(E488/50,0)*50,ROUNDUP(MAX(MIN(VLOOKUP(A489,Overview!$A$4:$K$202,11)/3*0.6,IF(A489&gt;2,B488+MIN(MAX(A488*50,1850),(B488-B487)*1.22,(B488-B487)+150),999)),B488+(B488-B487)),0))</f>
        <v>1731073</v>
      </c>
      <c r="C489">
        <f t="shared" si="56"/>
        <v>865537</v>
      </c>
      <c r="D489">
        <f t="shared" si="57"/>
        <v>3550</v>
      </c>
      <c r="E489">
        <f t="shared" si="58"/>
        <v>3547</v>
      </c>
      <c r="F489">
        <f>VLOOKUP(A489-1,Overview!$A$4:$K$202,11)/3*0.6</f>
        <v>753991.2</v>
      </c>
      <c r="G489" s="272">
        <f t="shared" si="59"/>
        <v>1.2958795805574388</v>
      </c>
      <c r="H489">
        <f>SUM(B$2:B489)*3</f>
        <v>1199892186</v>
      </c>
      <c r="I489">
        <f>VLOOKUP(A489,Overview!A$4:L$202,12)</f>
        <v>259640016</v>
      </c>
      <c r="J489" s="158">
        <f t="shared" si="60"/>
        <v>3.6213684796568488</v>
      </c>
      <c r="K489" t="str">
        <f t="shared" si="61"/>
        <v>More expensive than it should be</v>
      </c>
    </row>
    <row r="490" spans="1:11">
      <c r="A490">
        <v>489</v>
      </c>
      <c r="B490">
        <f>IF(J489&gt;-0.4,B489+ROUNDUP(E489/50,0)*50,ROUNDUP(MAX(MIN(VLOOKUP(A490,Overview!$A$4:$K$202,11)/3*0.6,IF(A490&gt;2,B489+MIN(MAX(A489*50,1850),(B489-B488)*1.22,(B489-B488)+150),999)),B489+(B489-B488)),0))</f>
        <v>1734623</v>
      </c>
      <c r="C490">
        <f t="shared" si="56"/>
        <v>867312</v>
      </c>
      <c r="D490">
        <f t="shared" si="57"/>
        <v>3550</v>
      </c>
      <c r="E490">
        <f t="shared" si="58"/>
        <v>3547</v>
      </c>
      <c r="F490">
        <f>VLOOKUP(A490-1,Overview!$A$4:$K$202,11)/3*0.6</f>
        <v>753991.2</v>
      </c>
      <c r="G490" s="272">
        <f t="shared" si="59"/>
        <v>1.3005878583198318</v>
      </c>
      <c r="H490">
        <f>SUM(B$2:B490)*3</f>
        <v>1205096055</v>
      </c>
      <c r="I490">
        <f>VLOOKUP(A490,Overview!A$4:L$202,12)</f>
        <v>259640016</v>
      </c>
      <c r="J490" s="158">
        <f t="shared" si="60"/>
        <v>3.6414111105277396</v>
      </c>
      <c r="K490" t="str">
        <f t="shared" si="61"/>
        <v>More expensive than it should be</v>
      </c>
    </row>
    <row r="491" spans="1:11">
      <c r="A491">
        <v>490</v>
      </c>
      <c r="B491">
        <f>IF(J490&gt;-0.4,B490+ROUNDUP(E490/50,0)*50,ROUNDUP(MAX(MIN(VLOOKUP(A491,Overview!$A$4:$K$202,11)/3*0.6,IF(A491&gt;2,B490+MIN(MAX(A490*50,1850),(B490-B489)*1.22,(B490-B489)+150),999)),B490+(B490-B489)),0))</f>
        <v>1738173</v>
      </c>
      <c r="C491">
        <f t="shared" si="56"/>
        <v>869087</v>
      </c>
      <c r="D491">
        <f t="shared" si="57"/>
        <v>3550</v>
      </c>
      <c r="E491">
        <f t="shared" si="58"/>
        <v>3547</v>
      </c>
      <c r="F491">
        <f>VLOOKUP(A491-1,Overview!$A$4:$K$202,11)/3*0.6</f>
        <v>753991.2</v>
      </c>
      <c r="G491" s="272">
        <f t="shared" si="59"/>
        <v>1.3052961360822248</v>
      </c>
      <c r="H491">
        <f>SUM(B$2:B491)*3</f>
        <v>1210310574</v>
      </c>
      <c r="I491">
        <f>VLOOKUP(A491,Overview!A$4:L$202,12)</f>
        <v>259640016</v>
      </c>
      <c r="J491" s="158">
        <f t="shared" si="60"/>
        <v>3.6614947597291785</v>
      </c>
      <c r="K491" t="str">
        <f t="shared" si="61"/>
        <v>More expensive than it should be</v>
      </c>
    </row>
    <row r="492" spans="1:11">
      <c r="A492">
        <v>491</v>
      </c>
      <c r="B492">
        <f>IF(J491&gt;-0.4,B491+ROUNDUP(E491/50,0)*50,ROUNDUP(MAX(MIN(VLOOKUP(A492,Overview!$A$4:$K$202,11)/3*0.6,IF(A492&gt;2,B491+MIN(MAX(A491*50,1850),(B491-B490)*1.22,(B491-B490)+150),999)),B491+(B491-B490)),0))</f>
        <v>1741723</v>
      </c>
      <c r="C492">
        <f t="shared" si="56"/>
        <v>870862</v>
      </c>
      <c r="D492">
        <f t="shared" si="57"/>
        <v>3550</v>
      </c>
      <c r="E492">
        <f t="shared" si="58"/>
        <v>3547</v>
      </c>
      <c r="F492">
        <f>VLOOKUP(A492-1,Overview!$A$4:$K$202,11)/3*0.6</f>
        <v>753991.2</v>
      </c>
      <c r="G492" s="272">
        <f t="shared" si="59"/>
        <v>1.3100044138446179</v>
      </c>
      <c r="H492">
        <f>SUM(B$2:B492)*3</f>
        <v>1215535743</v>
      </c>
      <c r="I492">
        <f>VLOOKUP(A492,Overview!A$4:L$202,12)</f>
        <v>259640016</v>
      </c>
      <c r="J492" s="158">
        <f t="shared" si="60"/>
        <v>3.6816194272611664</v>
      </c>
      <c r="K492" t="str">
        <f t="shared" si="61"/>
        <v>More expensive than it should be</v>
      </c>
    </row>
    <row r="493" spans="1:11">
      <c r="A493">
        <v>492</v>
      </c>
      <c r="B493">
        <f>IF(J492&gt;-0.4,B492+ROUNDUP(E492/50,0)*50,ROUNDUP(MAX(MIN(VLOOKUP(A493,Overview!$A$4:$K$202,11)/3*0.6,IF(A493&gt;2,B492+MIN(MAX(A492*50,1850),(B492-B491)*1.22,(B492-B491)+150),999)),B492+(B492-B491)),0))</f>
        <v>1745273</v>
      </c>
      <c r="C493">
        <f t="shared" si="56"/>
        <v>872637</v>
      </c>
      <c r="D493">
        <f t="shared" si="57"/>
        <v>3550</v>
      </c>
      <c r="E493">
        <f t="shared" si="58"/>
        <v>3547</v>
      </c>
      <c r="F493">
        <f>VLOOKUP(A493-1,Overview!$A$4:$K$202,11)/3*0.6</f>
        <v>753991.2</v>
      </c>
      <c r="G493" s="272">
        <f t="shared" si="59"/>
        <v>1.3147126916070109</v>
      </c>
      <c r="H493">
        <f>SUM(B$2:B493)*3</f>
        <v>1220771562</v>
      </c>
      <c r="I493">
        <f>VLOOKUP(A493,Overview!A$4:L$202,12)</f>
        <v>259640016</v>
      </c>
      <c r="J493" s="158">
        <f t="shared" si="60"/>
        <v>3.7017851131237025</v>
      </c>
      <c r="K493" t="str">
        <f t="shared" si="61"/>
        <v>More expensive than it should be</v>
      </c>
    </row>
    <row r="494" spans="1:11">
      <c r="A494">
        <v>493</v>
      </c>
      <c r="B494">
        <f>IF(J493&gt;-0.4,B493+ROUNDUP(E493/50,0)*50,ROUNDUP(MAX(MIN(VLOOKUP(A494,Overview!$A$4:$K$202,11)/3*0.6,IF(A494&gt;2,B493+MIN(MAX(A493*50,1850),(B493-B492)*1.22,(B493-B492)+150),999)),B493+(B493-B492)),0))</f>
        <v>1748823</v>
      </c>
      <c r="C494">
        <f t="shared" si="56"/>
        <v>874412</v>
      </c>
      <c r="D494">
        <f t="shared" si="57"/>
        <v>3550</v>
      </c>
      <c r="E494">
        <f t="shared" si="58"/>
        <v>3547</v>
      </c>
      <c r="F494">
        <f>VLOOKUP(A494-1,Overview!$A$4:$K$202,11)/3*0.6</f>
        <v>753991.2</v>
      </c>
      <c r="G494" s="272">
        <f t="shared" si="59"/>
        <v>1.3194209693694039</v>
      </c>
      <c r="H494">
        <f>SUM(B$2:B494)*3</f>
        <v>1226018031</v>
      </c>
      <c r="I494">
        <f>VLOOKUP(A494,Overview!A$4:L$202,12)</f>
        <v>259640016</v>
      </c>
      <c r="J494" s="158">
        <f t="shared" si="60"/>
        <v>3.7219918173167885</v>
      </c>
      <c r="K494" t="str">
        <f t="shared" si="61"/>
        <v>More expensive than it should be</v>
      </c>
    </row>
    <row r="495" spans="1:11">
      <c r="A495">
        <v>494</v>
      </c>
      <c r="B495">
        <f>IF(J494&gt;-0.4,B494+ROUNDUP(E494/50,0)*50,ROUNDUP(MAX(MIN(VLOOKUP(A495,Overview!$A$4:$K$202,11)/3*0.6,IF(A495&gt;2,B494+MIN(MAX(A494*50,1850),(B494-B493)*1.22,(B494-B493)+150),999)),B494+(B494-B493)),0))</f>
        <v>1752373</v>
      </c>
      <c r="C495">
        <f t="shared" si="56"/>
        <v>876187</v>
      </c>
      <c r="D495">
        <f t="shared" si="57"/>
        <v>3550</v>
      </c>
      <c r="E495">
        <f t="shared" si="58"/>
        <v>3547</v>
      </c>
      <c r="F495">
        <f>VLOOKUP(A495-1,Overview!$A$4:$K$202,11)/3*0.6</f>
        <v>753991.2</v>
      </c>
      <c r="G495" s="272">
        <f t="shared" si="59"/>
        <v>1.3241292471317969</v>
      </c>
      <c r="H495">
        <f>SUM(B$2:B495)*3</f>
        <v>1231275150</v>
      </c>
      <c r="I495">
        <f>VLOOKUP(A495,Overview!A$4:L$202,12)</f>
        <v>259640016</v>
      </c>
      <c r="J495" s="158">
        <f t="shared" si="60"/>
        <v>3.7422395398404227</v>
      </c>
      <c r="K495" t="str">
        <f t="shared" si="61"/>
        <v>More expensive than it should be</v>
      </c>
    </row>
    <row r="496" spans="1:11">
      <c r="A496">
        <v>495</v>
      </c>
      <c r="B496">
        <f>IF(J495&gt;-0.4,B495+ROUNDUP(E495/50,0)*50,ROUNDUP(MAX(MIN(VLOOKUP(A496,Overview!$A$4:$K$202,11)/3*0.6,IF(A496&gt;2,B495+MIN(MAX(A495*50,1850),(B495-B494)*1.22,(B495-B494)+150),999)),B495+(B495-B494)),0))</f>
        <v>1755923</v>
      </c>
      <c r="C496">
        <f t="shared" si="56"/>
        <v>877962</v>
      </c>
      <c r="D496">
        <f t="shared" si="57"/>
        <v>3550</v>
      </c>
      <c r="E496">
        <f t="shared" si="58"/>
        <v>3547</v>
      </c>
      <c r="F496">
        <f>VLOOKUP(A496-1,Overview!$A$4:$K$202,11)/3*0.6</f>
        <v>753991.2</v>
      </c>
      <c r="G496" s="272">
        <f t="shared" si="59"/>
        <v>1.3288375248941899</v>
      </c>
      <c r="H496">
        <f>SUM(B$2:B496)*3</f>
        <v>1236542919</v>
      </c>
      <c r="I496">
        <f>VLOOKUP(A496,Overview!A$4:L$202,12)</f>
        <v>259640016</v>
      </c>
      <c r="J496" s="158">
        <f t="shared" si="60"/>
        <v>3.7625282806946059</v>
      </c>
      <c r="K496" t="str">
        <f t="shared" si="61"/>
        <v>More expensive than it should be</v>
      </c>
    </row>
    <row r="497" spans="1:11">
      <c r="A497">
        <v>496</v>
      </c>
      <c r="B497">
        <f>IF(J496&gt;-0.4,B496+ROUNDUP(E496/50,0)*50,ROUNDUP(MAX(MIN(VLOOKUP(A497,Overview!$A$4:$K$202,11)/3*0.6,IF(A497&gt;2,B496+MIN(MAX(A496*50,1850),(B496-B495)*1.22,(B496-B495)+150),999)),B496+(B496-B495)),0))</f>
        <v>1759473</v>
      </c>
      <c r="C497">
        <f t="shared" si="56"/>
        <v>879737</v>
      </c>
      <c r="D497">
        <f t="shared" si="57"/>
        <v>3550</v>
      </c>
      <c r="E497">
        <f t="shared" si="58"/>
        <v>3547</v>
      </c>
      <c r="F497">
        <f>VLOOKUP(A497-1,Overview!$A$4:$K$202,11)/3*0.6</f>
        <v>753991.2</v>
      </c>
      <c r="G497" s="272">
        <f t="shared" si="59"/>
        <v>1.333545802656583</v>
      </c>
      <c r="H497">
        <f>SUM(B$2:B497)*3</f>
        <v>1241821338</v>
      </c>
      <c r="I497">
        <f>VLOOKUP(A497,Overview!A$4:L$202,12)</f>
        <v>259640016</v>
      </c>
      <c r="J497" s="158">
        <f t="shared" si="60"/>
        <v>3.7828580398793381</v>
      </c>
      <c r="K497" t="str">
        <f t="shared" si="61"/>
        <v>More expensive than it should be</v>
      </c>
    </row>
    <row r="498" spans="1:11">
      <c r="A498">
        <v>497</v>
      </c>
      <c r="B498">
        <f>IF(J497&gt;-0.4,B497+ROUNDUP(E497/50,0)*50,ROUNDUP(MAX(MIN(VLOOKUP(A498,Overview!$A$4:$K$202,11)/3*0.6,IF(A498&gt;2,B497+MIN(MAX(A497*50,1850),(B497-B496)*1.22,(B497-B496)+150),999)),B497+(B497-B496)),0))</f>
        <v>1763023</v>
      </c>
      <c r="C498">
        <f t="shared" si="56"/>
        <v>881512</v>
      </c>
      <c r="D498">
        <f t="shared" si="57"/>
        <v>3550</v>
      </c>
      <c r="E498">
        <f t="shared" si="58"/>
        <v>3547</v>
      </c>
      <c r="F498">
        <f>VLOOKUP(A498-1,Overview!$A$4:$K$202,11)/3*0.6</f>
        <v>753991.2</v>
      </c>
      <c r="G498" s="272">
        <f t="shared" si="59"/>
        <v>1.338254080418976</v>
      </c>
      <c r="H498">
        <f>SUM(B$2:B498)*3</f>
        <v>1247110407</v>
      </c>
      <c r="I498">
        <f>VLOOKUP(A498,Overview!A$4:L$202,12)</f>
        <v>259640016</v>
      </c>
      <c r="J498" s="158">
        <f t="shared" si="60"/>
        <v>3.8032288173946194</v>
      </c>
      <c r="K498" t="str">
        <f t="shared" si="61"/>
        <v>More expensive than it should be</v>
      </c>
    </row>
    <row r="499" spans="1:11">
      <c r="A499">
        <v>498</v>
      </c>
      <c r="B499">
        <f>IF(J498&gt;-0.4,B498+ROUNDUP(E498/50,0)*50,ROUNDUP(MAX(MIN(VLOOKUP(A499,Overview!$A$4:$K$202,11)/3*0.6,IF(A499&gt;2,B498+MIN(MAX(A498*50,1850),(B498-B497)*1.22,(B498-B497)+150),999)),B498+(B498-B497)),0))</f>
        <v>1766573</v>
      </c>
      <c r="C499">
        <f t="shared" si="56"/>
        <v>883287</v>
      </c>
      <c r="D499">
        <f t="shared" si="57"/>
        <v>3550</v>
      </c>
      <c r="E499">
        <f t="shared" si="58"/>
        <v>3547</v>
      </c>
      <c r="F499">
        <f>VLOOKUP(A499-1,Overview!$A$4:$K$202,11)/3*0.6</f>
        <v>753991.2</v>
      </c>
      <c r="G499" s="272">
        <f t="shared" si="59"/>
        <v>1.342962358181369</v>
      </c>
      <c r="H499">
        <f>SUM(B$2:B499)*3</f>
        <v>1252410126</v>
      </c>
      <c r="I499">
        <f>VLOOKUP(A499,Overview!A$4:L$202,12)</f>
        <v>259640016</v>
      </c>
      <c r="J499" s="158">
        <f t="shared" si="60"/>
        <v>3.8236406132404488</v>
      </c>
      <c r="K499" t="str">
        <f t="shared" si="61"/>
        <v>More expensive than it should be</v>
      </c>
    </row>
    <row r="500" spans="1:11">
      <c r="A500">
        <v>499</v>
      </c>
      <c r="B500">
        <f>IF(J499&gt;-0.4,B499+ROUNDUP(E499/50,0)*50,ROUNDUP(MAX(MIN(VLOOKUP(A500,Overview!$A$4:$K$202,11)/3*0.6,IF(A500&gt;2,B499+MIN(MAX(A499*50,1850),(B499-B498)*1.22,(B499-B498)+150),999)),B499+(B499-B498)),0))</f>
        <v>1770123</v>
      </c>
      <c r="C500">
        <f t="shared" si="56"/>
        <v>885062</v>
      </c>
      <c r="D500">
        <f t="shared" si="57"/>
        <v>3550</v>
      </c>
      <c r="E500">
        <f t="shared" si="58"/>
        <v>3547</v>
      </c>
      <c r="F500">
        <f>VLOOKUP(A500-1,Overview!$A$4:$K$202,11)/3*0.6</f>
        <v>753991.2</v>
      </c>
      <c r="G500" s="272">
        <f t="shared" si="59"/>
        <v>1.347670635943762</v>
      </c>
      <c r="H500">
        <f>SUM(B$2:B500)*3</f>
        <v>1257720495</v>
      </c>
      <c r="I500">
        <f>VLOOKUP(A500,Overview!A$4:L$202,12)</f>
        <v>259640016</v>
      </c>
      <c r="J500" s="158">
        <f t="shared" si="60"/>
        <v>3.8440934274168281</v>
      </c>
      <c r="K500" t="str">
        <f t="shared" si="61"/>
        <v>More expensive than it should be</v>
      </c>
    </row>
    <row r="501" spans="1:11">
      <c r="A501">
        <v>500</v>
      </c>
      <c r="B501">
        <f>IF(J500&gt;-0.4,B500+ROUNDUP(E500/50,0)*50,ROUNDUP(MAX(MIN(VLOOKUP(A501,Overview!$A$4:$K$202,11)/3*0.6,IF(A501&gt;2,B500+MIN(MAX(A500*50,1850),(B500-B499)*1.22,(B500-B499)+150),999)),B500+(B500-B499)),0))</f>
        <v>1773673</v>
      </c>
      <c r="C501">
        <f t="shared" si="56"/>
        <v>886837</v>
      </c>
      <c r="D501">
        <f t="shared" si="57"/>
        <v>3550</v>
      </c>
      <c r="E501">
        <f t="shared" si="58"/>
        <v>3547</v>
      </c>
      <c r="F501">
        <f>VLOOKUP(A501-1,Overview!$A$4:$K$202,11)/3*0.6</f>
        <v>753991.2</v>
      </c>
      <c r="G501" s="272">
        <f t="shared" si="59"/>
        <v>1.3523789137061546</v>
      </c>
      <c r="H501">
        <f>SUM(B$2:B501)*3</f>
        <v>1263041514</v>
      </c>
      <c r="I501">
        <f>VLOOKUP(A501,Overview!A$4:L$202,12)</f>
        <v>259640016</v>
      </c>
      <c r="J501" s="158">
        <f t="shared" si="60"/>
        <v>3.8645872599237556</v>
      </c>
      <c r="K501" t="str">
        <f t="shared" si="61"/>
        <v>More expensive than it should be</v>
      </c>
    </row>
  </sheetData>
  <conditionalFormatting sqref="D3:D501">
    <cfRule type="cellIs" dxfId="147" priority="7" operator="lessThan">
      <formula>$D2</formula>
    </cfRule>
  </conditionalFormatting>
  <conditionalFormatting sqref="J2:J501">
    <cfRule type="cellIs" dxfId="146" priority="2" stopIfTrue="1" operator="lessThan">
      <formula>-0.6</formula>
    </cfRule>
    <cfRule type="cellIs" dxfId="145" priority="3" stopIfTrue="1" operator="lessThan">
      <formula>-0.5</formula>
    </cfRule>
    <cfRule type="cellIs" dxfId="144" priority="4" stopIfTrue="1" operator="lessThanOrEqual">
      <formula>-0.3</formula>
    </cfRule>
    <cfRule type="cellIs" dxfId="143" priority="5" operator="greaterThan">
      <formula>-0.3</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5" enableFormatConditionsCalculation="0"/>
  <dimension ref="A1:AS199"/>
  <sheetViews>
    <sheetView workbookViewId="0">
      <pane xSplit="2" ySplit="3" topLeftCell="C4" activePane="bottomRight" state="frozen"/>
      <selection pane="topRight" activeCell="C1" sqref="C1"/>
      <selection pane="bottomLeft" activeCell="A3" sqref="A3"/>
      <selection pane="bottomRight" activeCell="Q3" sqref="Q3"/>
    </sheetView>
  </sheetViews>
  <sheetFormatPr baseColWidth="10" defaultRowHeight="15" x14ac:dyDescent="0"/>
  <cols>
    <col min="2" max="2" width="10.83203125" style="20"/>
    <col min="3" max="3" width="25" bestFit="1" customWidth="1"/>
    <col min="4" max="4" width="28.1640625" bestFit="1" customWidth="1"/>
    <col min="5" max="5" width="20.5" bestFit="1" customWidth="1"/>
    <col min="6" max="9" width="9.33203125" style="20" customWidth="1"/>
    <col min="10" max="10" width="8.83203125" customWidth="1"/>
    <col min="11" max="13" width="6.5" style="20" customWidth="1"/>
    <col min="14" max="14" width="6.83203125" bestFit="1" customWidth="1"/>
    <col min="15" max="15" width="9.1640625" bestFit="1" customWidth="1"/>
    <col min="16" max="16" width="15.33203125" bestFit="1" customWidth="1"/>
    <col min="17" max="17" width="14.5" bestFit="1" customWidth="1"/>
    <col min="18" max="18" width="14.5" customWidth="1"/>
    <col min="19" max="19" width="15.6640625" bestFit="1" customWidth="1"/>
    <col min="20" max="20" width="17.6640625" bestFit="1" customWidth="1"/>
    <col min="21" max="21" width="20.33203125" bestFit="1" customWidth="1"/>
    <col min="22" max="22" width="2.33203125" style="50" customWidth="1"/>
    <col min="23" max="23" width="13.83203125" style="20" bestFit="1" customWidth="1"/>
    <col min="24" max="24" width="11.6640625" style="20" bestFit="1" customWidth="1"/>
    <col min="25" max="25" width="14.83203125" style="282" bestFit="1" customWidth="1"/>
    <col min="26" max="28" width="10.33203125" style="74" bestFit="1" customWidth="1"/>
    <col min="29" max="31" width="8" style="74" bestFit="1" customWidth="1"/>
    <col min="32" max="34" width="11.1640625" style="282" bestFit="1" customWidth="1"/>
    <col min="35" max="35" width="14.6640625" style="74" bestFit="1" customWidth="1"/>
    <col min="36" max="36" width="13.1640625" style="74" bestFit="1" customWidth="1"/>
    <col min="37" max="37" width="16.1640625" style="282" bestFit="1" customWidth="1"/>
    <col min="38" max="38" width="11.1640625" bestFit="1" customWidth="1"/>
    <col min="39" max="39" width="8.83203125" bestFit="1" customWidth="1"/>
    <col min="40" max="40" width="11.5" bestFit="1" customWidth="1"/>
    <col min="41" max="41" width="10.5" bestFit="1" customWidth="1"/>
    <col min="42" max="42" width="10.5" customWidth="1"/>
    <col min="43" max="43" width="21.83203125" bestFit="1" customWidth="1"/>
    <col min="44" max="44" width="20.33203125" bestFit="1" customWidth="1"/>
    <col min="45" max="45" width="23.1640625" bestFit="1" customWidth="1"/>
  </cols>
  <sheetData>
    <row r="1" spans="1:45" ht="15" customHeight="1">
      <c r="A1" s="132"/>
      <c r="B1" s="135"/>
      <c r="C1" s="354" t="s">
        <v>14</v>
      </c>
      <c r="D1" s="360"/>
      <c r="E1" s="355"/>
      <c r="F1" s="354" t="s">
        <v>4</v>
      </c>
      <c r="G1" s="360"/>
      <c r="H1" s="360"/>
      <c r="I1" s="360"/>
      <c r="J1" s="355"/>
      <c r="K1" s="354" t="s">
        <v>45</v>
      </c>
      <c r="L1" s="360"/>
      <c r="M1" s="355"/>
      <c r="N1" s="372" t="s">
        <v>51</v>
      </c>
      <c r="O1" s="373"/>
      <c r="P1" s="373"/>
      <c r="Q1" s="373"/>
      <c r="R1" s="373"/>
      <c r="S1" s="373"/>
      <c r="T1" s="373"/>
      <c r="U1" s="374"/>
      <c r="W1" s="349" t="s">
        <v>540</v>
      </c>
      <c r="X1" s="349"/>
      <c r="Y1" s="349"/>
      <c r="Z1" s="349"/>
      <c r="AA1" s="349"/>
      <c r="AB1" s="349"/>
      <c r="AC1" s="349"/>
      <c r="AD1" s="349"/>
      <c r="AE1" s="349"/>
      <c r="AF1" s="349"/>
      <c r="AG1" s="349"/>
      <c r="AH1" s="349"/>
      <c r="AI1" s="349"/>
      <c r="AJ1" s="349"/>
      <c r="AK1" s="349"/>
      <c r="AL1" s="349"/>
      <c r="AM1" s="349"/>
      <c r="AN1" s="349"/>
      <c r="AO1" s="349"/>
      <c r="AP1" s="349"/>
      <c r="AQ1" s="349"/>
      <c r="AR1" s="349"/>
      <c r="AS1" s="349"/>
    </row>
    <row r="2" spans="1:45">
      <c r="A2" s="133"/>
      <c r="B2" s="136"/>
      <c r="C2" s="356"/>
      <c r="D2" s="361"/>
      <c r="E2" s="357"/>
      <c r="F2" s="356"/>
      <c r="G2" s="361"/>
      <c r="H2" s="361"/>
      <c r="I2" s="361"/>
      <c r="J2" s="357"/>
      <c r="K2" s="356"/>
      <c r="L2" s="361"/>
      <c r="M2" s="357"/>
      <c r="N2" s="41"/>
      <c r="O2" s="42"/>
      <c r="P2" s="42"/>
      <c r="Q2" s="42"/>
      <c r="R2" s="202"/>
      <c r="S2" s="202"/>
      <c r="T2" s="339"/>
      <c r="U2" s="340"/>
      <c r="W2" s="349"/>
      <c r="X2" s="349"/>
      <c r="Y2" s="349"/>
      <c r="Z2" s="349"/>
      <c r="AA2" s="349"/>
      <c r="AB2" s="349"/>
      <c r="AC2" s="349"/>
      <c r="AD2" s="349"/>
      <c r="AE2" s="349"/>
      <c r="AF2" s="349"/>
      <c r="AG2" s="349"/>
      <c r="AH2" s="349"/>
      <c r="AI2" s="349"/>
      <c r="AJ2" s="349"/>
      <c r="AK2" s="349"/>
      <c r="AL2" s="349"/>
      <c r="AM2" s="349"/>
      <c r="AN2" s="349"/>
      <c r="AO2" s="349"/>
      <c r="AP2" s="349"/>
      <c r="AQ2" s="349"/>
      <c r="AR2" s="349"/>
      <c r="AS2" s="349"/>
    </row>
    <row r="3" spans="1:45" ht="16" thickBot="1">
      <c r="A3" s="134" t="s">
        <v>131</v>
      </c>
      <c r="B3" s="137" t="s">
        <v>17</v>
      </c>
      <c r="C3" s="57" t="s">
        <v>422</v>
      </c>
      <c r="D3" s="58" t="s">
        <v>423</v>
      </c>
      <c r="E3" s="255" t="s">
        <v>424</v>
      </c>
      <c r="F3" s="345" t="s">
        <v>99</v>
      </c>
      <c r="G3" s="346" t="s">
        <v>100</v>
      </c>
      <c r="H3" s="346" t="s">
        <v>101</v>
      </c>
      <c r="I3" s="346" t="s">
        <v>102</v>
      </c>
      <c r="J3" s="347" t="s">
        <v>103</v>
      </c>
      <c r="K3" s="101" t="s">
        <v>409</v>
      </c>
      <c r="L3" s="102" t="s">
        <v>410</v>
      </c>
      <c r="M3" s="103" t="s">
        <v>411</v>
      </c>
      <c r="N3" s="101" t="s">
        <v>134</v>
      </c>
      <c r="O3" s="102" t="s">
        <v>135</v>
      </c>
      <c r="P3" s="102" t="s">
        <v>282</v>
      </c>
      <c r="Q3" s="204" t="s">
        <v>235</v>
      </c>
      <c r="R3" s="348" t="s">
        <v>236</v>
      </c>
      <c r="S3" s="348" t="s">
        <v>237</v>
      </c>
      <c r="T3" s="102" t="s">
        <v>584</v>
      </c>
      <c r="U3" s="103" t="s">
        <v>584</v>
      </c>
      <c r="W3" s="300" t="s">
        <v>136</v>
      </c>
      <c r="X3" s="300" t="s">
        <v>137</v>
      </c>
      <c r="Y3" s="300" t="s">
        <v>507</v>
      </c>
      <c r="Z3" s="334" t="s">
        <v>138</v>
      </c>
      <c r="AA3" s="334" t="s">
        <v>139</v>
      </c>
      <c r="AB3" s="334" t="s">
        <v>140</v>
      </c>
      <c r="AC3" s="334" t="s">
        <v>141</v>
      </c>
      <c r="AD3" s="334" t="s">
        <v>142</v>
      </c>
      <c r="AE3" s="334" t="s">
        <v>143</v>
      </c>
      <c r="AF3" s="334" t="s">
        <v>504</v>
      </c>
      <c r="AG3" s="334" t="s">
        <v>505</v>
      </c>
      <c r="AH3" s="334" t="s">
        <v>506</v>
      </c>
      <c r="AI3" s="300" t="s">
        <v>144</v>
      </c>
      <c r="AJ3" s="300" t="s">
        <v>145</v>
      </c>
      <c r="AK3" s="300" t="s">
        <v>508</v>
      </c>
      <c r="AL3" s="301" t="s">
        <v>146</v>
      </c>
      <c r="AM3" s="301" t="s">
        <v>147</v>
      </c>
      <c r="AN3" s="301" t="s">
        <v>283</v>
      </c>
      <c r="AO3" t="s">
        <v>148</v>
      </c>
      <c r="AP3" t="s">
        <v>408</v>
      </c>
      <c r="AQ3" s="314" t="s">
        <v>470</v>
      </c>
      <c r="AR3" s="314" t="s">
        <v>471</v>
      </c>
      <c r="AS3" s="314" t="s">
        <v>542</v>
      </c>
    </row>
    <row r="4" spans="1:45">
      <c r="A4" s="289">
        <f>IF(ISNUMBER(#REF!),#REF!,0)+1</f>
        <v>1</v>
      </c>
      <c r="B4" s="295" t="s">
        <v>110</v>
      </c>
      <c r="C4" s="44" t="s">
        <v>428</v>
      </c>
      <c r="D4" s="45" t="s">
        <v>427</v>
      </c>
      <c r="E4" s="47" t="s">
        <v>425</v>
      </c>
      <c r="F4" s="322" t="s">
        <v>104</v>
      </c>
      <c r="G4" s="323" t="s">
        <v>104</v>
      </c>
      <c r="H4" s="323" t="s">
        <v>104</v>
      </c>
      <c r="I4" s="323" t="s">
        <v>104</v>
      </c>
      <c r="J4" s="324">
        <f>MAX(IF(ISERROR(VLOOKUP(F4,$B$4:$AO$199,40,FALSE)),1,VLOOKUP(F4,$B$4:$AO$199,40,FALSE)),IF(ISERROR(VLOOKUP(G4,$B$4:$AO$199,40,FALSE)),1,VLOOKUP(G4,$B$4:$AO$199,40,FALSE)),IF(ISERROR(VLOOKUP(H4,$B$4:$AO$199,40,FALSE)),1,VLOOKUP(H4,$B$4:$AO$199,40,FALSE)))</f>
        <v>1</v>
      </c>
      <c r="K4" s="294" t="s">
        <v>107</v>
      </c>
      <c r="L4" s="296"/>
      <c r="M4" s="295"/>
      <c r="N4" s="44">
        <v>4</v>
      </c>
      <c r="O4" s="45">
        <v>150</v>
      </c>
      <c r="P4" s="45"/>
      <c r="Q4" s="45"/>
      <c r="R4" s="326"/>
      <c r="S4" s="326"/>
      <c r="T4" s="45"/>
      <c r="U4" s="47"/>
      <c r="V4" s="327"/>
      <c r="W4" s="328">
        <f>O4+IF(ISERROR(VLOOKUP(CONCATENATE($B4,"t1"),Tasks!$B$4:$Y$297,23,FALSE)),0,VLOOKUP(CONCATENATE($B4,"t1"),Tasks!$B$4:$Y$297,23,FALSE))+IF(ISERROR(VLOOKUP(CONCATENATE($B4,"t2"),Tasks!$B$4:$Y$297,23,FALSE)),0,VLOOKUP(CONCATENATE($B4,"t2"),Tasks!$B$4:$Y$297,23,FALSE))+IF(ISERROR(VLOOKUP(CONCATENATE($B4,"t3"),Tasks!$B$4:$Y$297,23,FALSE)),0,VLOOKUP(CONCATENATE($B4,"t3"),Tasks!$B$4:$Y$297,23,FALSE))</f>
        <v>150</v>
      </c>
      <c r="X4" s="328">
        <f>N4+IF(ISERROR(VLOOKUP(CONCATENATE($B4,"t1"),Tasks!$B$4:$Y$297,24,FALSE)),0,VLOOKUP(CONCATENATE($B4,"t1"),Tasks!$B$4:$Y$297,24,FALSE))+IF(ISERROR(VLOOKUP(CONCATENATE($B4,"t2"),Tasks!$B$4:$Y$297,24,FALSE)),0,VLOOKUP(CONCATENATE($B4,"t2"),Tasks!$B$4:$Y$297,24,FALSE))+IF(ISERROR(VLOOKUP(CONCATENATE($B4,"t3"),Tasks!$B$4:$Y$297,24,FALSE)),0,VLOOKUP(CONCATENATE($B4,"t3"),Tasks!$B$4:$Y$297,24,FALSE))</f>
        <v>4</v>
      </c>
      <c r="Y4" s="328">
        <f>IF(ISERROR(VLOOKUP(CONCATENATE($B4,"t1"),Tasks!$B$4:$AA$297,26,FALSE)),0,VLOOKUP(CONCATENATE($B4,"t1"),Tasks!$B$4:$AA$297,26,FALSE))+IF(ISERROR(VLOOKUP(CONCATENATE($B4,"t2"),Tasks!$B$4:$AA$297,26,FALSE)),0,VLOOKUP(CONCATENATE($B4,"t2"),Tasks!$B$4:$AA$297,26,FALSE))+IF(ISERROR(VLOOKUP(CONCATENATE($B4,"t3"),Tasks!$B$4:$AA$297,26,FALSE)),0,VLOOKUP(CONCATENATE($B4,"t3"),Tasks!$B$4:$AA$297,26,FALSE))</f>
        <v>0</v>
      </c>
      <c r="Z4" s="330">
        <f>IF(F4="-",0,VLOOKUP(F4,$B$4:$AM$200,37))</f>
        <v>0</v>
      </c>
      <c r="AA4" s="330">
        <f t="shared" ref="AA4:AB4" si="0">IF(G4="-",0,VLOOKUP(G4,$B$4:$AM$200,37))</f>
        <v>0</v>
      </c>
      <c r="AB4" s="330">
        <f t="shared" si="0"/>
        <v>0</v>
      </c>
      <c r="AC4" s="330">
        <f>IF(F4="-",0,VLOOKUP(F4,$B$4:$AM$200,38))</f>
        <v>0</v>
      </c>
      <c r="AD4" s="330">
        <f t="shared" ref="AD4:AE4" si="1">IF(G4="-",0,VLOOKUP(G4,$B$4:$AM$200,38))</f>
        <v>0</v>
      </c>
      <c r="AE4" s="330">
        <f t="shared" si="1"/>
        <v>0</v>
      </c>
      <c r="AF4" s="330">
        <f>IF(F4="-",0,VLOOKUP(F4,$B$4:$AN$200,39))</f>
        <v>0</v>
      </c>
      <c r="AG4" s="330">
        <f t="shared" ref="AG4:AH4" si="2">IF(G4="-",0,VLOOKUP(G4,$B$4:$AN$200,39))</f>
        <v>0</v>
      </c>
      <c r="AH4" s="330">
        <f t="shared" si="2"/>
        <v>0</v>
      </c>
      <c r="AI4" s="328">
        <v>500</v>
      </c>
      <c r="AJ4" s="328">
        <v>0</v>
      </c>
      <c r="AK4" s="328">
        <v>0</v>
      </c>
      <c r="AL4" s="329">
        <f t="shared" ref="AL4:AL12" si="3">W4+Z4+AA4+AB4+AI4</f>
        <v>650</v>
      </c>
      <c r="AM4" s="329">
        <f t="shared" ref="AM4:AM12" si="4">X4+AC4+AD4+AE4+AJ4</f>
        <v>4</v>
      </c>
      <c r="AN4" s="329">
        <f>MAX(Y4+AF4+AG4+AH4+AK4,IF(ISERROR(VLOOKUP(CONCATENATE($B4,"t1"),Tasks!$B$4:$B$297,1,FALSE)),0,VLOOKUP(CONCATENATE($B4,"t1"),Tasks!$B$4:$T$297,19,FALSE)),IF(ISERROR(VLOOKUP(CONCATENATE($B4,"t2"),Tasks!$B$4:$B$297,1,FALSE)),0,VLOOKUP(CONCATENATE($B4,"t2"),Tasks!$B$4:$T$297,19,FALSE)),IF(ISERROR(VLOOKUP(CONCATENATE($B4,"t3"),Tasks!$B$4:$B$297,1,FALSE)),0,VLOOKUP(CONCATENATE($B4,"t3"),Tasks!$B$4:$T$297,19,FALSE)))</f>
        <v>0</v>
      </c>
      <c r="AO4" s="307">
        <f>MAX(VLOOKUP(AM4,Background!$A$3:$B$202,2),IF(ISERROR(VLOOKUP(CONCATENATE($B4,"t1"),Tasks!$B$4:$Z$297,22,FALSE)),1,VLOOKUP(CONCATENATE($B4,"t1"),Tasks!$B$4:$Z$297,22,FALSE)),IF(ISERROR(VLOOKUP(CONCATENATE($B4,"t2"),Tasks!$B$4:$Z$297,22,FALSE)),1,VLOOKUP(CONCATENATE($B4,"t2"),Tasks!$B$4:$Z$297,22,FALSE)),IF(ISERROR(VLOOKUP(CONCATENATE($B4,"t3"),Tasks!$B$4:$Z$297,22,FALSE)),1,VLOOKUP(CONCATENATE($B4,"t3"),Tasks!$B$4:$Z$297,22,FALSE)))</f>
        <v>1</v>
      </c>
      <c r="AP4" s="307" t="str">
        <f>IF(AO4&gt;VLOOKUP(AM4,Background!$A$3:$B$202,2),"Yes","No")</f>
        <v>No</v>
      </c>
      <c r="AQ4" s="239">
        <f t="shared" ref="AQ4:AQ21" si="5">IF(AO4=AO3,O4+AQ3,O4)</f>
        <v>150</v>
      </c>
      <c r="AR4">
        <f t="shared" ref="AR4:AR21" si="6">IF(J4=J3,N4+AR3,N4)</f>
        <v>4</v>
      </c>
      <c r="AS4">
        <f t="shared" ref="AS4:AS21" si="7">IF(J4=J3,P4+AS3,P4)</f>
        <v>0</v>
      </c>
    </row>
    <row r="5" spans="1:45">
      <c r="A5" s="221">
        <f t="shared" ref="A5:A63" si="8">IF(ISNUMBER(A4),A4,0)+1</f>
        <v>2</v>
      </c>
      <c r="B5" s="299" t="s">
        <v>107</v>
      </c>
      <c r="C5" s="36" t="s">
        <v>428</v>
      </c>
      <c r="D5" s="37" t="s">
        <v>427</v>
      </c>
      <c r="E5" s="35" t="s">
        <v>425</v>
      </c>
      <c r="F5" s="297" t="s">
        <v>110</v>
      </c>
      <c r="G5" s="298" t="s">
        <v>104</v>
      </c>
      <c r="H5" s="298" t="s">
        <v>104</v>
      </c>
      <c r="I5" s="339" t="s">
        <v>104</v>
      </c>
      <c r="J5" s="76">
        <f t="shared" ref="J5:J21" si="9">MAX(IF(ISERROR(VLOOKUP(F5,$B$4:$AO$199,40,FALSE)),1,VLOOKUP(F5,$B$4:$AO$199,40,FALSE)),IF(ISERROR(VLOOKUP(G5,$B$4:$AO$199,40,FALSE)),1,VLOOKUP(G5,$B$4:$AO$199,40,FALSE)),IF(ISERROR(VLOOKUP(H5,$B$4:$AO$199,40,FALSE)),1,VLOOKUP(H5,$B$4:$AO$199,40,FALSE)))</f>
        <v>1</v>
      </c>
      <c r="K5" s="297" t="s">
        <v>108</v>
      </c>
      <c r="L5" s="298"/>
      <c r="M5" s="299"/>
      <c r="N5" s="36">
        <v>5</v>
      </c>
      <c r="O5" s="37">
        <v>150</v>
      </c>
      <c r="P5" s="37"/>
      <c r="Q5" s="37"/>
      <c r="R5" s="69"/>
      <c r="S5" s="69"/>
      <c r="T5" s="37"/>
      <c r="U5" s="35"/>
      <c r="V5" s="279"/>
      <c r="W5" s="330">
        <f>O5+IF(ISERROR(VLOOKUP(CONCATENATE($B5,"t1"),Tasks!$B$4:$Y$297,23,FALSE)),0,VLOOKUP(CONCATENATE($B5,"t1"),Tasks!$B$4:$Y$297,23,FALSE))+IF(ISERROR(VLOOKUP(CONCATENATE($B5,"t2"),Tasks!$B$4:$Y$297,23,FALSE)),0,VLOOKUP(CONCATENATE($B5,"t2"),Tasks!$B$4:$Y$297,23,FALSE))+IF(ISERROR(VLOOKUP(CONCATENATE($B5,"t3"),Tasks!$B$4:$Y$297,23,FALSE)),0,VLOOKUP(CONCATENATE($B5,"t3"),Tasks!$B$4:$Y$297,23,FALSE))</f>
        <v>150</v>
      </c>
      <c r="X5" s="330">
        <f>N5+IF(ISERROR(VLOOKUP(CONCATENATE($B5,"t1"),Tasks!$B$4:$Y$297,24,FALSE)),0,VLOOKUP(CONCATENATE($B5,"t1"),Tasks!$B$4:$Y$297,24,FALSE))+IF(ISERROR(VLOOKUP(CONCATENATE($B5,"t2"),Tasks!$B$4:$Y$297,24,FALSE)),0,VLOOKUP(CONCATENATE($B5,"t2"),Tasks!$B$4:$Y$297,24,FALSE))+IF(ISERROR(VLOOKUP(CONCATENATE($B5,"t3"),Tasks!$B$4:$Y$297,24,FALSE)),0,VLOOKUP(CONCATENATE($B5,"t3"),Tasks!$B$4:$Y$297,24,FALSE))</f>
        <v>5</v>
      </c>
      <c r="Y5" s="330">
        <f>IF(ISERROR(VLOOKUP(CONCATENATE($B5,"t1"),Tasks!$B$4:$AA$297,26,FALSE)),0,VLOOKUP(CONCATENATE($B5,"t1"),Tasks!$B$4:$AA$297,26,FALSE))+IF(ISERROR(VLOOKUP(CONCATENATE($B5,"t2"),Tasks!$B$4:$AA$297,26,FALSE)),0,VLOOKUP(CONCATENATE($B5,"t2"),Tasks!$B$4:$AA$297,26,FALSE))+IF(ISERROR(VLOOKUP(CONCATENATE($B5,"t3"),Tasks!$B$4:$AA$297,26,FALSE)),0,VLOOKUP(CONCATENATE($B5,"t3"),Tasks!$B$4:$AA$297,26,FALSE))</f>
        <v>0</v>
      </c>
      <c r="Z5" s="330">
        <f t="shared" ref="Z5:Z21" si="10">IF(F5="-",0,VLOOKUP(F5,$B$4:$AM$200,37))</f>
        <v>650</v>
      </c>
      <c r="AA5" s="330">
        <f t="shared" ref="AA5:AA21" si="11">IF(G5="-",0,VLOOKUP(G5,$B$4:$AM$200,37))</f>
        <v>0</v>
      </c>
      <c r="AB5" s="330">
        <f t="shared" ref="AB5:AB21" si="12">IF(H5="-",0,VLOOKUP(H5,$B$4:$AM$200,37))</f>
        <v>0</v>
      </c>
      <c r="AC5" s="330">
        <f t="shared" ref="AC5:AC21" si="13">IF(F5="-",0,VLOOKUP(F5,$B$4:$AM$200,38))</f>
        <v>4</v>
      </c>
      <c r="AD5" s="330">
        <f t="shared" ref="AD5:AD21" si="14">IF(G5="-",0,VLOOKUP(G5,$B$4:$AM$200,38))</f>
        <v>0</v>
      </c>
      <c r="AE5" s="330">
        <f t="shared" ref="AE5:AE21" si="15">IF(H5="-",0,VLOOKUP(H5,$B$4:$AM$200,38))</f>
        <v>0</v>
      </c>
      <c r="AF5" s="330">
        <f t="shared" ref="AF5:AF21" si="16">IF(F5="-",0,VLOOKUP(F5,$B$4:$AN$200,39))</f>
        <v>0</v>
      </c>
      <c r="AG5" s="330">
        <f t="shared" ref="AG5:AG21" si="17">IF(G5="-",0,VLOOKUP(G5,$B$4:$AN$200,39))</f>
        <v>0</v>
      </c>
      <c r="AH5" s="330">
        <f t="shared" ref="AH5:AH21" si="18">IF(H5="-",0,VLOOKUP(H5,$B$4:$AN$200,39))</f>
        <v>0</v>
      </c>
      <c r="AI5" s="330">
        <v>0</v>
      </c>
      <c r="AJ5" s="330">
        <v>0</v>
      </c>
      <c r="AK5" s="330">
        <v>0</v>
      </c>
      <c r="AL5" s="331">
        <f>W5+Z5+AA5+AB5+AI5</f>
        <v>800</v>
      </c>
      <c r="AM5" s="331">
        <f>X5+AC5+AD5+AE5+AJ5</f>
        <v>9</v>
      </c>
      <c r="AN5" s="331">
        <f>MAX(Y5+AF5+AG5+AH5+AK5,IF(ISERROR(VLOOKUP(CONCATENATE($B5,"t1"),Tasks!$B$4:$B$297,1,FALSE)),0,VLOOKUP(CONCATENATE($B5,"t1"),Tasks!$B$4:$T$297,19,FALSE)),IF(ISERROR(VLOOKUP(CONCATENATE($B5,"t2"),Tasks!$B$4:$B$297,1,FALSE)),0,VLOOKUP(CONCATENATE($B5,"t2"),Tasks!$B$4:$T$297,19,FALSE)),IF(ISERROR(VLOOKUP(CONCATENATE($B5,"t3"),Tasks!$B$4:$B$297,1,FALSE)),0,VLOOKUP(CONCATENATE($B5,"t3"),Tasks!$B$4:$T$297,19,FALSE)))</f>
        <v>0</v>
      </c>
      <c r="AO5" s="239">
        <f>MAX(VLOOKUP(AM5,Background!$A$3:$B$202,2),IF(ISERROR(VLOOKUP(CONCATENATE($B5,"t1"),Tasks!$B$4:$Z$297,22,FALSE)),1,VLOOKUP(CONCATENATE($B5,"t1"),Tasks!$B$4:$Z$297,22,FALSE)),IF(ISERROR(VLOOKUP(CONCATENATE($B5,"t2"),Tasks!$B$4:$Z$297,22,FALSE)),1,VLOOKUP(CONCATENATE($B5,"t2"),Tasks!$B$4:$Z$297,22,FALSE)),IF(ISERROR(VLOOKUP(CONCATENATE($B5,"t3"),Tasks!$B$4:$Z$297,22,FALSE)),1,VLOOKUP(CONCATENATE($B5,"t3"),Tasks!$B$4:$Z$297,22,FALSE)))</f>
        <v>1</v>
      </c>
      <c r="AP5" s="239" t="str">
        <f>IF(AO5&gt;VLOOKUP(AM5,Background!$A$3:$B$202,2),"Yes","No")</f>
        <v>No</v>
      </c>
      <c r="AQ5" s="239">
        <f t="shared" si="5"/>
        <v>300</v>
      </c>
      <c r="AR5">
        <f t="shared" si="6"/>
        <v>9</v>
      </c>
      <c r="AS5">
        <f t="shared" si="7"/>
        <v>0</v>
      </c>
    </row>
    <row r="6" spans="1:45">
      <c r="A6" s="221">
        <f t="shared" si="8"/>
        <v>3</v>
      </c>
      <c r="B6" s="299" t="s">
        <v>108</v>
      </c>
      <c r="C6" s="36" t="s">
        <v>428</v>
      </c>
      <c r="D6" s="37" t="s">
        <v>427</v>
      </c>
      <c r="E6" s="35" t="s">
        <v>425</v>
      </c>
      <c r="F6" s="297" t="s">
        <v>107</v>
      </c>
      <c r="G6" s="298" t="s">
        <v>104</v>
      </c>
      <c r="H6" s="298" t="s">
        <v>104</v>
      </c>
      <c r="I6" s="339" t="s">
        <v>104</v>
      </c>
      <c r="J6" s="76">
        <f t="shared" si="9"/>
        <v>1</v>
      </c>
      <c r="K6" s="297" t="s">
        <v>266</v>
      </c>
      <c r="L6" s="298"/>
      <c r="M6" s="299"/>
      <c r="N6" s="36">
        <v>3</v>
      </c>
      <c r="O6" s="37">
        <v>350</v>
      </c>
      <c r="P6" s="37"/>
      <c r="Q6" s="37"/>
      <c r="R6" s="69"/>
      <c r="S6" s="69"/>
      <c r="T6" s="37"/>
      <c r="U6" s="35"/>
      <c r="V6" s="279"/>
      <c r="W6" s="330">
        <f>O6+IF(ISERROR(VLOOKUP(CONCATENATE($B6,"t1"),Tasks!$B$4:$Y$297,23,FALSE)),0,VLOOKUP(CONCATENATE($B6,"t1"),Tasks!$B$4:$Y$297,23,FALSE))+IF(ISERROR(VLOOKUP(CONCATENATE($B6,"t2"),Tasks!$B$4:$Y$297,23,FALSE)),0,VLOOKUP(CONCATENATE($B6,"t2"),Tasks!$B$4:$Y$297,23,FALSE))+IF(ISERROR(VLOOKUP(CONCATENATE($B6,"t3"),Tasks!$B$4:$Y$297,23,FALSE)),0,VLOOKUP(CONCATENATE($B6,"t3"),Tasks!$B$4:$Y$297,23,FALSE))</f>
        <v>-105</v>
      </c>
      <c r="X6" s="330">
        <f>N6+IF(ISERROR(VLOOKUP(CONCATENATE($B6,"t1"),Tasks!$B$4:$Y$297,24,FALSE)),0,VLOOKUP(CONCATENATE($B6,"t1"),Tasks!$B$4:$Y$297,24,FALSE))+IF(ISERROR(VLOOKUP(CONCATENATE($B6,"t2"),Tasks!$B$4:$Y$297,24,FALSE)),0,VLOOKUP(CONCATENATE($B6,"t2"),Tasks!$B$4:$Y$297,24,FALSE))+IF(ISERROR(VLOOKUP(CONCATENATE($B6,"t3"),Tasks!$B$4:$Y$297,24,FALSE)),0,VLOOKUP(CONCATENATE($B6,"t3"),Tasks!$B$4:$Y$297,24,FALSE))</f>
        <v>14</v>
      </c>
      <c r="Y6" s="330">
        <f>IF(ISERROR(VLOOKUP(CONCATENATE($B6,"t1"),Tasks!$B$4:$AA$297,26,FALSE)),0,VLOOKUP(CONCATENATE($B6,"t1"),Tasks!$B$4:$AA$297,26,FALSE))+IF(ISERROR(VLOOKUP(CONCATENATE($B6,"t2"),Tasks!$B$4:$AA$297,26,FALSE)),0,VLOOKUP(CONCATENATE($B6,"t2"),Tasks!$B$4:$AA$297,26,FALSE))+IF(ISERROR(VLOOKUP(CONCATENATE($B6,"t3"),Tasks!$B$4:$AA$297,26,FALSE)),0,VLOOKUP(CONCATENATE($B6,"t3"),Tasks!$B$4:$AA$297,26,FALSE))</f>
        <v>4</v>
      </c>
      <c r="Z6" s="330">
        <f t="shared" si="10"/>
        <v>800</v>
      </c>
      <c r="AA6" s="330">
        <f t="shared" si="11"/>
        <v>0</v>
      </c>
      <c r="AB6" s="330">
        <f t="shared" si="12"/>
        <v>0</v>
      </c>
      <c r="AC6" s="330">
        <f t="shared" si="13"/>
        <v>9</v>
      </c>
      <c r="AD6" s="330">
        <f t="shared" si="14"/>
        <v>0</v>
      </c>
      <c r="AE6" s="330">
        <f t="shared" si="15"/>
        <v>0</v>
      </c>
      <c r="AF6" s="330">
        <f t="shared" si="16"/>
        <v>0</v>
      </c>
      <c r="AG6" s="330">
        <f t="shared" si="17"/>
        <v>0</v>
      </c>
      <c r="AH6" s="330">
        <f t="shared" si="18"/>
        <v>0</v>
      </c>
      <c r="AI6" s="330">
        <v>0</v>
      </c>
      <c r="AJ6" s="330">
        <v>0</v>
      </c>
      <c r="AK6" s="330">
        <v>0</v>
      </c>
      <c r="AL6" s="331">
        <f t="shared" si="3"/>
        <v>695</v>
      </c>
      <c r="AM6" s="331">
        <f t="shared" si="4"/>
        <v>23</v>
      </c>
      <c r="AN6" s="331">
        <f>MAX(Y6+AF6+AG6+AH6+AK6,IF(ISERROR(VLOOKUP(CONCATENATE($B6,"t1"),Tasks!$B$4:$B$297,1,FALSE)),0,VLOOKUP(CONCATENATE($B6,"t1"),Tasks!$B$4:$T$297,19,FALSE)),IF(ISERROR(VLOOKUP(CONCATENATE($B6,"t2"),Tasks!$B$4:$B$297,1,FALSE)),0,VLOOKUP(CONCATENATE($B6,"t2"),Tasks!$B$4:$T$297,19,FALSE)),IF(ISERROR(VLOOKUP(CONCATENATE($B6,"t3"),Tasks!$B$4:$B$297,1,FALSE)),0,VLOOKUP(CONCATENATE($B6,"t3"),Tasks!$B$4:$T$297,19,FALSE)))</f>
        <v>4</v>
      </c>
      <c r="AO6" s="239">
        <f>MAX(VLOOKUP(AM6,Background!$A$3:$B$202,2),IF(ISERROR(VLOOKUP(CONCATENATE($B6,"t1"),Tasks!$B$4:$Z$297,22,FALSE)),1,VLOOKUP(CONCATENATE($B6,"t1"),Tasks!$B$4:$Z$297,22,FALSE)),IF(ISERROR(VLOOKUP(CONCATENATE($B6,"t2"),Tasks!$B$4:$Z$297,22,FALSE)),1,VLOOKUP(CONCATENATE($B6,"t2"),Tasks!$B$4:$Z$297,22,FALSE)),IF(ISERROR(VLOOKUP(CONCATENATE($B6,"t3"),Tasks!$B$4:$Z$297,22,FALSE)),1,VLOOKUP(CONCATENATE($B6,"t3"),Tasks!$B$4:$Z$297,22,FALSE)))</f>
        <v>2</v>
      </c>
      <c r="AP6" s="239" t="str">
        <f>IF(AO6&gt;VLOOKUP(AM6,Background!$A$3:$B$202,2),"Yes","No")</f>
        <v>No</v>
      </c>
      <c r="AQ6" s="239">
        <f t="shared" si="5"/>
        <v>350</v>
      </c>
      <c r="AR6">
        <f t="shared" si="6"/>
        <v>12</v>
      </c>
      <c r="AS6">
        <f t="shared" si="7"/>
        <v>0</v>
      </c>
    </row>
    <row r="7" spans="1:45">
      <c r="A7" s="221">
        <f t="shared" si="8"/>
        <v>4</v>
      </c>
      <c r="B7" s="299" t="s">
        <v>266</v>
      </c>
      <c r="C7" s="36" t="s">
        <v>428</v>
      </c>
      <c r="D7" s="37" t="s">
        <v>427</v>
      </c>
      <c r="E7" s="35" t="s">
        <v>425</v>
      </c>
      <c r="F7" s="297" t="s">
        <v>108</v>
      </c>
      <c r="G7" s="298" t="s">
        <v>104</v>
      </c>
      <c r="H7" s="298" t="s">
        <v>104</v>
      </c>
      <c r="I7" s="339" t="s">
        <v>104</v>
      </c>
      <c r="J7" s="76">
        <f t="shared" si="9"/>
        <v>2</v>
      </c>
      <c r="K7" s="297" t="s">
        <v>267</v>
      </c>
      <c r="L7" s="298"/>
      <c r="M7" s="299"/>
      <c r="N7" s="36">
        <v>11</v>
      </c>
      <c r="O7" s="37">
        <v>150</v>
      </c>
      <c r="P7" s="37"/>
      <c r="Q7" s="37"/>
      <c r="R7" s="69"/>
      <c r="S7" s="69"/>
      <c r="T7" s="37"/>
      <c r="U7" s="35"/>
      <c r="V7" s="279"/>
      <c r="W7" s="330">
        <f>O7+IF(ISERROR(VLOOKUP(CONCATENATE($B7,"t1"),Tasks!$B$4:$Y$297,23,FALSE)),0,VLOOKUP(CONCATENATE($B7,"t1"),Tasks!$B$4:$Y$297,23,FALSE))+IF(ISERROR(VLOOKUP(CONCATENATE($B7,"t2"),Tasks!$B$4:$Y$297,23,FALSE)),0,VLOOKUP(CONCATENATE($B7,"t2"),Tasks!$B$4:$Y$297,23,FALSE))+IF(ISERROR(VLOOKUP(CONCATENATE($B7,"t3"),Tasks!$B$4:$Y$297,23,FALSE)),0,VLOOKUP(CONCATENATE($B7,"t3"),Tasks!$B$4:$Y$297,23,FALSE))</f>
        <v>150</v>
      </c>
      <c r="X7" s="330">
        <f>N7+IF(ISERROR(VLOOKUP(CONCATENATE($B7,"t1"),Tasks!$B$4:$Y$297,24,FALSE)),0,VLOOKUP(CONCATENATE($B7,"t1"),Tasks!$B$4:$Y$297,24,FALSE))+IF(ISERROR(VLOOKUP(CONCATENATE($B7,"t2"),Tasks!$B$4:$Y$297,24,FALSE)),0,VLOOKUP(CONCATENATE($B7,"t2"),Tasks!$B$4:$Y$297,24,FALSE))+IF(ISERROR(VLOOKUP(CONCATENATE($B7,"t3"),Tasks!$B$4:$Y$297,24,FALSE)),0,VLOOKUP(CONCATENATE($B7,"t3"),Tasks!$B$4:$Y$297,24,FALSE))</f>
        <v>11</v>
      </c>
      <c r="Y7" s="330">
        <f>IF(ISERROR(VLOOKUP(CONCATENATE($B7,"t1"),Tasks!$B$4:$AA$297,26,FALSE)),0,VLOOKUP(CONCATENATE($B7,"t1"),Tasks!$B$4:$AA$297,26,FALSE))+IF(ISERROR(VLOOKUP(CONCATENATE($B7,"t2"),Tasks!$B$4:$AA$297,26,FALSE)),0,VLOOKUP(CONCATENATE($B7,"t2"),Tasks!$B$4:$AA$297,26,FALSE))+IF(ISERROR(VLOOKUP(CONCATENATE($B7,"t3"),Tasks!$B$4:$AA$297,26,FALSE)),0,VLOOKUP(CONCATENATE($B7,"t3"),Tasks!$B$4:$AA$297,26,FALSE))</f>
        <v>0</v>
      </c>
      <c r="Z7" s="330">
        <f t="shared" si="10"/>
        <v>695</v>
      </c>
      <c r="AA7" s="330">
        <f t="shared" si="11"/>
        <v>0</v>
      </c>
      <c r="AB7" s="330">
        <f t="shared" si="12"/>
        <v>0</v>
      </c>
      <c r="AC7" s="330">
        <f t="shared" si="13"/>
        <v>23</v>
      </c>
      <c r="AD7" s="330">
        <f t="shared" si="14"/>
        <v>0</v>
      </c>
      <c r="AE7" s="330">
        <f t="shared" si="15"/>
        <v>0</v>
      </c>
      <c r="AF7" s="330">
        <f t="shared" si="16"/>
        <v>4</v>
      </c>
      <c r="AG7" s="330">
        <f t="shared" si="17"/>
        <v>0</v>
      </c>
      <c r="AH7" s="330">
        <f t="shared" si="18"/>
        <v>0</v>
      </c>
      <c r="AI7" s="330">
        <v>0</v>
      </c>
      <c r="AJ7" s="330">
        <v>0</v>
      </c>
      <c r="AK7" s="330">
        <v>0</v>
      </c>
      <c r="AL7" s="331">
        <f t="shared" si="3"/>
        <v>845</v>
      </c>
      <c r="AM7" s="331">
        <f t="shared" si="4"/>
        <v>34</v>
      </c>
      <c r="AN7" s="331">
        <f>MAX(Y7+AF7+AG7+AH7+AK7,IF(ISERROR(VLOOKUP(CONCATENATE($B7,"t1"),Tasks!$B$4:$B$297,1,FALSE)),0,VLOOKUP(CONCATENATE($B7,"t1"),Tasks!$B$4:$T$297,19,FALSE)),IF(ISERROR(VLOOKUP(CONCATENATE($B7,"t2"),Tasks!$B$4:$B$297,1,FALSE)),0,VLOOKUP(CONCATENATE($B7,"t2"),Tasks!$B$4:$T$297,19,FALSE)),IF(ISERROR(VLOOKUP(CONCATENATE($B7,"t3"),Tasks!$B$4:$B$297,1,FALSE)),0,VLOOKUP(CONCATENATE($B7,"t3"),Tasks!$B$4:$T$297,19,FALSE)))</f>
        <v>4</v>
      </c>
      <c r="AO7" s="239">
        <f>MAX(VLOOKUP(AM7,Background!$A$3:$B$202,2),IF(ISERROR(VLOOKUP(CONCATENATE($B7,"t1"),Tasks!$B$4:$Z$297,22,FALSE)),1,VLOOKUP(CONCATENATE($B7,"t1"),Tasks!$B$4:$Z$297,22,FALSE)),IF(ISERROR(VLOOKUP(CONCATENATE($B7,"t2"),Tasks!$B$4:$Z$297,22,FALSE)),1,VLOOKUP(CONCATENATE($B7,"t2"),Tasks!$B$4:$Z$297,22,FALSE)),IF(ISERROR(VLOOKUP(CONCATENATE($B7,"t3"),Tasks!$B$4:$Z$297,22,FALSE)),1,VLOOKUP(CONCATENATE($B7,"t3"),Tasks!$B$4:$Z$297,22,FALSE)))</f>
        <v>2</v>
      </c>
      <c r="AP7" s="239" t="str">
        <f>IF(AO7&gt;VLOOKUP(AM7,Background!$A$3:$B$202,2),"Yes","No")</f>
        <v>No</v>
      </c>
      <c r="AQ7" s="239">
        <f t="shared" si="5"/>
        <v>500</v>
      </c>
      <c r="AR7">
        <f t="shared" si="6"/>
        <v>11</v>
      </c>
      <c r="AS7">
        <f t="shared" si="7"/>
        <v>0</v>
      </c>
    </row>
    <row r="8" spans="1:45">
      <c r="A8" s="221">
        <f t="shared" si="8"/>
        <v>5</v>
      </c>
      <c r="B8" s="299" t="s">
        <v>267</v>
      </c>
      <c r="C8" s="36" t="s">
        <v>428</v>
      </c>
      <c r="D8" s="37" t="s">
        <v>427</v>
      </c>
      <c r="E8" s="35" t="s">
        <v>425</v>
      </c>
      <c r="F8" s="297" t="s">
        <v>266</v>
      </c>
      <c r="G8" s="298" t="s">
        <v>104</v>
      </c>
      <c r="H8" s="298" t="s">
        <v>104</v>
      </c>
      <c r="I8" s="339" t="s">
        <v>104</v>
      </c>
      <c r="J8" s="76">
        <f t="shared" si="9"/>
        <v>2</v>
      </c>
      <c r="K8" s="297" t="s">
        <v>268</v>
      </c>
      <c r="L8" s="298"/>
      <c r="M8" s="299"/>
      <c r="N8" s="36">
        <v>4</v>
      </c>
      <c r="O8" s="37">
        <v>500</v>
      </c>
      <c r="P8" s="37"/>
      <c r="Q8" s="37"/>
      <c r="R8" s="69"/>
      <c r="S8" s="69"/>
      <c r="T8" s="37"/>
      <c r="U8" s="35"/>
      <c r="V8" s="279"/>
      <c r="W8" s="330">
        <f>O8+IF(ISERROR(VLOOKUP(CONCATENATE($B8,"t1"),Tasks!$B$4:$Y$297,23,FALSE)),0,VLOOKUP(CONCATENATE($B8,"t1"),Tasks!$B$4:$Y$297,23,FALSE))+IF(ISERROR(VLOOKUP(CONCATENATE($B8,"t2"),Tasks!$B$4:$Y$297,23,FALSE)),0,VLOOKUP(CONCATENATE($B8,"t2"),Tasks!$B$4:$Y$297,23,FALSE))+IF(ISERROR(VLOOKUP(CONCATENATE($B8,"t3"),Tasks!$B$4:$Y$297,23,FALSE)),0,VLOOKUP(CONCATENATE($B8,"t3"),Tasks!$B$4:$Y$297,23,FALSE))</f>
        <v>-220</v>
      </c>
      <c r="X8" s="330">
        <f>N8+IF(ISERROR(VLOOKUP(CONCATENATE($B8,"t1"),Tasks!$B$4:$Y$297,24,FALSE)),0,VLOOKUP(CONCATENATE($B8,"t1"),Tasks!$B$4:$Y$297,24,FALSE))+IF(ISERROR(VLOOKUP(CONCATENATE($B8,"t2"),Tasks!$B$4:$Y$297,24,FALSE)),0,VLOOKUP(CONCATENATE($B8,"t2"),Tasks!$B$4:$Y$297,24,FALSE))+IF(ISERROR(VLOOKUP(CONCATENATE($B8,"t3"),Tasks!$B$4:$Y$297,24,FALSE)),0,VLOOKUP(CONCATENATE($B8,"t3"),Tasks!$B$4:$Y$297,24,FALSE))</f>
        <v>4</v>
      </c>
      <c r="Y8" s="330">
        <f>IF(ISERROR(VLOOKUP(CONCATENATE($B8,"t1"),Tasks!$B$4:$AA$297,26,FALSE)),0,VLOOKUP(CONCATENATE($B8,"t1"),Tasks!$B$4:$AA$297,26,FALSE))+IF(ISERROR(VLOOKUP(CONCATENATE($B8,"t2"),Tasks!$B$4:$AA$297,26,FALSE)),0,VLOOKUP(CONCATENATE($B8,"t2"),Tasks!$B$4:$AA$297,26,FALSE))+IF(ISERROR(VLOOKUP(CONCATENATE($B8,"t3"),Tasks!$B$4:$AA$297,26,FALSE)),0,VLOOKUP(CONCATENATE($B8,"t3"),Tasks!$B$4:$AA$297,26,FALSE))</f>
        <v>8</v>
      </c>
      <c r="Z8" s="330">
        <f t="shared" si="10"/>
        <v>845</v>
      </c>
      <c r="AA8" s="330">
        <f t="shared" si="11"/>
        <v>0</v>
      </c>
      <c r="AB8" s="330">
        <f t="shared" si="12"/>
        <v>0</v>
      </c>
      <c r="AC8" s="330">
        <f t="shared" si="13"/>
        <v>34</v>
      </c>
      <c r="AD8" s="330">
        <f t="shared" si="14"/>
        <v>0</v>
      </c>
      <c r="AE8" s="330">
        <f t="shared" si="15"/>
        <v>0</v>
      </c>
      <c r="AF8" s="330">
        <f t="shared" si="16"/>
        <v>4</v>
      </c>
      <c r="AG8" s="330">
        <f t="shared" si="17"/>
        <v>0</v>
      </c>
      <c r="AH8" s="330">
        <f t="shared" si="18"/>
        <v>0</v>
      </c>
      <c r="AI8" s="330">
        <v>0</v>
      </c>
      <c r="AJ8" s="330">
        <v>0</v>
      </c>
      <c r="AK8" s="330">
        <v>0</v>
      </c>
      <c r="AL8" s="331">
        <f t="shared" si="3"/>
        <v>625</v>
      </c>
      <c r="AM8" s="331">
        <f t="shared" si="4"/>
        <v>38</v>
      </c>
      <c r="AN8" s="331">
        <f>MAX(Y8+AF8+AG8+AH8+AK8,IF(ISERROR(VLOOKUP(CONCATENATE($B8,"t1"),Tasks!$B$4:$B$297,1,FALSE)),0,VLOOKUP(CONCATENATE($B8,"t1"),Tasks!$B$4:$T$297,19,FALSE)),IF(ISERROR(VLOOKUP(CONCATENATE($B8,"t2"),Tasks!$B$4:$B$297,1,FALSE)),0,VLOOKUP(CONCATENATE($B8,"t2"),Tasks!$B$4:$T$297,19,FALSE)),IF(ISERROR(VLOOKUP(CONCATENATE($B8,"t3"),Tasks!$B$4:$B$297,1,FALSE)),0,VLOOKUP(CONCATENATE($B8,"t3"),Tasks!$B$4:$T$297,19,FALSE)))</f>
        <v>12</v>
      </c>
      <c r="AO8" s="239">
        <f>MAX(VLOOKUP(AM8,Background!$A$3:$B$202,2),IF(ISERROR(VLOOKUP(CONCATENATE($B8,"t1"),Tasks!$B$4:$Z$297,22,FALSE)),1,VLOOKUP(CONCATENATE($B8,"t1"),Tasks!$B$4:$Z$297,22,FALSE)),IF(ISERROR(VLOOKUP(CONCATENATE($B8,"t2"),Tasks!$B$4:$Z$297,22,FALSE)),1,VLOOKUP(CONCATENATE($B8,"t2"),Tasks!$B$4:$Z$297,22,FALSE)),IF(ISERROR(VLOOKUP(CONCATENATE($B8,"t3"),Tasks!$B$4:$Z$297,22,FALSE)),1,VLOOKUP(CONCATENATE($B8,"t3"),Tasks!$B$4:$Z$297,22,FALSE)))</f>
        <v>2</v>
      </c>
      <c r="AP8" s="239" t="str">
        <f>IF(AO8&gt;VLOOKUP(AM8,Background!$A$3:$B$202,2),"Yes","No")</f>
        <v>No</v>
      </c>
      <c r="AQ8" s="239">
        <f t="shared" si="5"/>
        <v>1000</v>
      </c>
      <c r="AR8">
        <f t="shared" si="6"/>
        <v>15</v>
      </c>
      <c r="AS8">
        <f t="shared" si="7"/>
        <v>0</v>
      </c>
    </row>
    <row r="9" spans="1:45">
      <c r="A9" s="221">
        <f t="shared" si="8"/>
        <v>6</v>
      </c>
      <c r="B9" s="299" t="s">
        <v>268</v>
      </c>
      <c r="C9" s="36" t="s">
        <v>428</v>
      </c>
      <c r="D9" s="37" t="s">
        <v>427</v>
      </c>
      <c r="E9" s="35" t="s">
        <v>425</v>
      </c>
      <c r="F9" s="297" t="s">
        <v>267</v>
      </c>
      <c r="G9" s="298" t="s">
        <v>104</v>
      </c>
      <c r="H9" s="298" t="s">
        <v>104</v>
      </c>
      <c r="I9" s="339" t="s">
        <v>104</v>
      </c>
      <c r="J9" s="76">
        <f t="shared" si="9"/>
        <v>2</v>
      </c>
      <c r="K9" s="297" t="s">
        <v>269</v>
      </c>
      <c r="L9" s="298"/>
      <c r="M9" s="299"/>
      <c r="N9" s="36">
        <v>16</v>
      </c>
      <c r="O9" s="37">
        <v>150</v>
      </c>
      <c r="P9" s="37"/>
      <c r="Q9" s="37"/>
      <c r="R9" s="69"/>
      <c r="S9" s="69"/>
      <c r="T9" s="37"/>
      <c r="U9" s="35"/>
      <c r="V9" s="279"/>
      <c r="W9" s="330">
        <f>O9+IF(ISERROR(VLOOKUP(CONCATENATE($B9,"t1"),Tasks!$B$4:$Y$297,23,FALSE)),0,VLOOKUP(CONCATENATE($B9,"t1"),Tasks!$B$4:$Y$297,23,FALSE))+IF(ISERROR(VLOOKUP(CONCATENATE($B9,"t2"),Tasks!$B$4:$Y$297,23,FALSE)),0,VLOOKUP(CONCATENATE($B9,"t2"),Tasks!$B$4:$Y$297,23,FALSE))+IF(ISERROR(VLOOKUP(CONCATENATE($B9,"t3"),Tasks!$B$4:$Y$297,23,FALSE)),0,VLOOKUP(CONCATENATE($B9,"t3"),Tasks!$B$4:$Y$297,23,FALSE))</f>
        <v>-640</v>
      </c>
      <c r="X9" s="330">
        <f>N9+IF(ISERROR(VLOOKUP(CONCATENATE($B9,"t1"),Tasks!$B$4:$Y$297,24,FALSE)),0,VLOOKUP(CONCATENATE($B9,"t1"),Tasks!$B$4:$Y$297,24,FALSE))+IF(ISERROR(VLOOKUP(CONCATENATE($B9,"t2"),Tasks!$B$4:$Y$297,24,FALSE)),0,VLOOKUP(CONCATENATE($B9,"t2"),Tasks!$B$4:$Y$297,24,FALSE))+IF(ISERROR(VLOOKUP(CONCATENATE($B9,"t3"),Tasks!$B$4:$Y$297,24,FALSE)),0,VLOOKUP(CONCATENATE($B9,"t3"),Tasks!$B$4:$Y$297,24,FALSE))</f>
        <v>18</v>
      </c>
      <c r="Y9" s="330">
        <f>IF(ISERROR(VLOOKUP(CONCATENATE($B9,"t1"),Tasks!$B$4:$AA$297,26,FALSE)),0,VLOOKUP(CONCATENATE($B9,"t1"),Tasks!$B$4:$AA$297,26,FALSE))+IF(ISERROR(VLOOKUP(CONCATENATE($B9,"t2"),Tasks!$B$4:$AA$297,26,FALSE)),0,VLOOKUP(CONCATENATE($B9,"t2"),Tasks!$B$4:$AA$297,26,FALSE))+IF(ISERROR(VLOOKUP(CONCATENATE($B9,"t3"),Tasks!$B$4:$AA$297,26,FALSE)),0,VLOOKUP(CONCATENATE($B9,"t3"),Tasks!$B$4:$AA$297,26,FALSE))</f>
        <v>0</v>
      </c>
      <c r="Z9" s="330">
        <f t="shared" si="10"/>
        <v>625</v>
      </c>
      <c r="AA9" s="330">
        <f t="shared" si="11"/>
        <v>0</v>
      </c>
      <c r="AB9" s="330">
        <f t="shared" si="12"/>
        <v>0</v>
      </c>
      <c r="AC9" s="330">
        <f t="shared" si="13"/>
        <v>38</v>
      </c>
      <c r="AD9" s="330">
        <f t="shared" si="14"/>
        <v>0</v>
      </c>
      <c r="AE9" s="330">
        <f t="shared" si="15"/>
        <v>0</v>
      </c>
      <c r="AF9" s="330">
        <f t="shared" si="16"/>
        <v>12</v>
      </c>
      <c r="AG9" s="330">
        <f t="shared" si="17"/>
        <v>0</v>
      </c>
      <c r="AH9" s="330">
        <f t="shared" si="18"/>
        <v>0</v>
      </c>
      <c r="AI9" s="330">
        <v>0</v>
      </c>
      <c r="AJ9" s="330">
        <v>0</v>
      </c>
      <c r="AK9" s="330">
        <v>0</v>
      </c>
      <c r="AL9" s="331">
        <f t="shared" si="3"/>
        <v>-15</v>
      </c>
      <c r="AM9" s="331">
        <f t="shared" si="4"/>
        <v>56</v>
      </c>
      <c r="AN9" s="331">
        <f>MAX(Y9+AF9+AG9+AH9+AK9,IF(ISERROR(VLOOKUP(CONCATENATE($B9,"t1"),Tasks!$B$4:$B$297,1,FALSE)),0,VLOOKUP(CONCATENATE($B9,"t1"),Tasks!$B$4:$T$297,19,FALSE)),IF(ISERROR(VLOOKUP(CONCATENATE($B9,"t2"),Tasks!$B$4:$B$297,1,FALSE)),0,VLOOKUP(CONCATENATE($B9,"t2"),Tasks!$B$4:$T$297,19,FALSE)),IF(ISERROR(VLOOKUP(CONCATENATE($B9,"t3"),Tasks!$B$4:$B$297,1,FALSE)),0,VLOOKUP(CONCATENATE($B9,"t3"),Tasks!$B$4:$T$297,19,FALSE)))</f>
        <v>12</v>
      </c>
      <c r="AO9" s="239">
        <f>MAX(VLOOKUP(AM9,Background!$A$3:$B$202,2),IF(ISERROR(VLOOKUP(CONCATENATE($B9,"t1"),Tasks!$B$4:$Z$297,22,FALSE)),1,VLOOKUP(CONCATENATE($B9,"t1"),Tasks!$B$4:$Z$297,22,FALSE)),IF(ISERROR(VLOOKUP(CONCATENATE($B9,"t2"),Tasks!$B$4:$Z$297,22,FALSE)),1,VLOOKUP(CONCATENATE($B9,"t2"),Tasks!$B$4:$Z$297,22,FALSE)),IF(ISERROR(VLOOKUP(CONCATENATE($B9,"t3"),Tasks!$B$4:$Z$297,22,FALSE)),1,VLOOKUP(CONCATENATE($B9,"t3"),Tasks!$B$4:$Z$297,22,FALSE)))</f>
        <v>2</v>
      </c>
      <c r="AP9" s="239" t="str">
        <f>IF(AO9&gt;VLOOKUP(AM9,Background!$A$3:$B$202,2),"Yes","No")</f>
        <v>No</v>
      </c>
      <c r="AQ9" s="239">
        <f t="shared" si="5"/>
        <v>1150</v>
      </c>
      <c r="AR9">
        <f t="shared" si="6"/>
        <v>31</v>
      </c>
      <c r="AS9">
        <f t="shared" si="7"/>
        <v>0</v>
      </c>
    </row>
    <row r="10" spans="1:45">
      <c r="A10" s="221">
        <f t="shared" si="8"/>
        <v>7</v>
      </c>
      <c r="B10" s="299" t="s">
        <v>269</v>
      </c>
      <c r="C10" s="36" t="s">
        <v>428</v>
      </c>
      <c r="D10" s="37" t="s">
        <v>427</v>
      </c>
      <c r="E10" s="35" t="s">
        <v>425</v>
      </c>
      <c r="F10" s="297" t="s">
        <v>268</v>
      </c>
      <c r="G10" s="298" t="s">
        <v>104</v>
      </c>
      <c r="H10" s="298" t="s">
        <v>104</v>
      </c>
      <c r="I10" s="339" t="s">
        <v>104</v>
      </c>
      <c r="J10" s="76">
        <f t="shared" si="9"/>
        <v>2</v>
      </c>
      <c r="K10" s="297" t="s">
        <v>270</v>
      </c>
      <c r="L10" s="298"/>
      <c r="M10" s="299"/>
      <c r="N10" s="36">
        <v>8</v>
      </c>
      <c r="O10" s="37"/>
      <c r="P10" s="37">
        <v>5</v>
      </c>
      <c r="Q10" s="37"/>
      <c r="R10" s="69"/>
      <c r="S10" s="69"/>
      <c r="T10" s="37"/>
      <c r="U10" s="35"/>
      <c r="V10" s="279"/>
      <c r="W10" s="330">
        <f>O10+IF(ISERROR(VLOOKUP(CONCATENATE($B10,"t1"),Tasks!$B$4:$Y$297,23,FALSE)),0,VLOOKUP(CONCATENATE($B10,"t1"),Tasks!$B$4:$Y$297,23,FALSE))+IF(ISERROR(VLOOKUP(CONCATENATE($B10,"t2"),Tasks!$B$4:$Y$297,23,FALSE)),0,VLOOKUP(CONCATENATE($B10,"t2"),Tasks!$B$4:$Y$297,23,FALSE))+IF(ISERROR(VLOOKUP(CONCATENATE($B10,"t3"),Tasks!$B$4:$Y$297,23,FALSE)),0,VLOOKUP(CONCATENATE($B10,"t3"),Tasks!$B$4:$Y$297,23,FALSE))</f>
        <v>0</v>
      </c>
      <c r="X10" s="330">
        <f>N10+IF(ISERROR(VLOOKUP(CONCATENATE($B10,"t1"),Tasks!$B$4:$Y$297,24,FALSE)),0,VLOOKUP(CONCATENATE($B10,"t1"),Tasks!$B$4:$Y$297,24,FALSE))+IF(ISERROR(VLOOKUP(CONCATENATE($B10,"t2"),Tasks!$B$4:$Y$297,24,FALSE)),0,VLOOKUP(CONCATENATE($B10,"t2"),Tasks!$B$4:$Y$297,24,FALSE))+IF(ISERROR(VLOOKUP(CONCATENATE($B10,"t3"),Tasks!$B$4:$Y$297,24,FALSE)),0,VLOOKUP(CONCATENATE($B10,"t3"),Tasks!$B$4:$Y$297,24,FALSE))</f>
        <v>12</v>
      </c>
      <c r="Y10" s="330">
        <f>IF(ISERROR(VLOOKUP(CONCATENATE($B10,"t1"),Tasks!$B$4:$AA$297,26,FALSE)),0,VLOOKUP(CONCATENATE($B10,"t1"),Tasks!$B$4:$AA$297,26,FALSE))+IF(ISERROR(VLOOKUP(CONCATENATE($B10,"t2"),Tasks!$B$4:$AA$297,26,FALSE)),0,VLOOKUP(CONCATENATE($B10,"t2"),Tasks!$B$4:$AA$297,26,FALSE))+IF(ISERROR(VLOOKUP(CONCATENATE($B10,"t3"),Tasks!$B$4:$AA$297,26,FALSE)),0,VLOOKUP(CONCATENATE($B10,"t3"),Tasks!$B$4:$AA$297,26,FALSE))</f>
        <v>0</v>
      </c>
      <c r="Z10" s="330">
        <f t="shared" si="10"/>
        <v>-15</v>
      </c>
      <c r="AA10" s="330">
        <f t="shared" si="11"/>
        <v>0</v>
      </c>
      <c r="AB10" s="330">
        <f t="shared" si="12"/>
        <v>0</v>
      </c>
      <c r="AC10" s="330">
        <f t="shared" si="13"/>
        <v>56</v>
      </c>
      <c r="AD10" s="330">
        <f t="shared" si="14"/>
        <v>0</v>
      </c>
      <c r="AE10" s="330">
        <f t="shared" si="15"/>
        <v>0</v>
      </c>
      <c r="AF10" s="330">
        <f t="shared" si="16"/>
        <v>12</v>
      </c>
      <c r="AG10" s="330">
        <f t="shared" si="17"/>
        <v>0</v>
      </c>
      <c r="AH10" s="330">
        <f t="shared" si="18"/>
        <v>0</v>
      </c>
      <c r="AI10" s="330">
        <v>0</v>
      </c>
      <c r="AJ10" s="330">
        <v>0</v>
      </c>
      <c r="AK10" s="330">
        <v>0</v>
      </c>
      <c r="AL10" s="331">
        <f t="shared" si="3"/>
        <v>-15</v>
      </c>
      <c r="AM10" s="331">
        <f t="shared" si="4"/>
        <v>68</v>
      </c>
      <c r="AN10" s="331">
        <f>MAX(Y10+AF10+AG10+AH10+AK10,IF(ISERROR(VLOOKUP(CONCATENATE($B10,"t1"),Tasks!$B$4:$B$297,1,FALSE)),0,VLOOKUP(CONCATENATE($B10,"t1"),Tasks!$B$4:$T$297,19,FALSE)),IF(ISERROR(VLOOKUP(CONCATENATE($B10,"t2"),Tasks!$B$4:$B$297,1,FALSE)),0,VLOOKUP(CONCATENATE($B10,"t2"),Tasks!$B$4:$T$297,19,FALSE)),IF(ISERROR(VLOOKUP(CONCATENATE($B10,"t3"),Tasks!$B$4:$B$297,1,FALSE)),0,VLOOKUP(CONCATENATE($B10,"t3"),Tasks!$B$4:$T$297,19,FALSE)))</f>
        <v>12</v>
      </c>
      <c r="AO10" s="239">
        <f>MAX(VLOOKUP(AM10,Background!$A$3:$B$202,2),IF(ISERROR(VLOOKUP(CONCATENATE($B10,"t1"),Tasks!$B$4:$Z$297,22,FALSE)),1,VLOOKUP(CONCATENATE($B10,"t1"),Tasks!$B$4:$Z$297,22,FALSE)),IF(ISERROR(VLOOKUP(CONCATENATE($B10,"t2"),Tasks!$B$4:$Z$297,22,FALSE)),1,VLOOKUP(CONCATENATE($B10,"t2"),Tasks!$B$4:$Z$297,22,FALSE)),IF(ISERROR(VLOOKUP(CONCATENATE($B10,"t3"),Tasks!$B$4:$Z$297,22,FALSE)),1,VLOOKUP(CONCATENATE($B10,"t3"),Tasks!$B$4:$Z$297,22,FALSE)))</f>
        <v>2</v>
      </c>
      <c r="AP10" s="239" t="str">
        <f>IF(AO10&gt;VLOOKUP(AM10,Background!$A$3:$B$202,2),"Yes","No")</f>
        <v>No</v>
      </c>
      <c r="AQ10" s="239">
        <f t="shared" si="5"/>
        <v>1150</v>
      </c>
      <c r="AR10">
        <f t="shared" si="6"/>
        <v>39</v>
      </c>
      <c r="AS10">
        <f t="shared" si="7"/>
        <v>5</v>
      </c>
    </row>
    <row r="11" spans="1:45">
      <c r="A11" s="221">
        <f t="shared" si="8"/>
        <v>8</v>
      </c>
      <c r="B11" s="299" t="s">
        <v>270</v>
      </c>
      <c r="C11" s="36" t="s">
        <v>428</v>
      </c>
      <c r="D11" s="37" t="s">
        <v>427</v>
      </c>
      <c r="E11" s="35" t="s">
        <v>425</v>
      </c>
      <c r="F11" s="297" t="s">
        <v>269</v>
      </c>
      <c r="G11" s="298" t="s">
        <v>104</v>
      </c>
      <c r="H11" s="298" t="s">
        <v>104</v>
      </c>
      <c r="I11" s="339" t="s">
        <v>104</v>
      </c>
      <c r="J11" s="76">
        <f t="shared" si="9"/>
        <v>2</v>
      </c>
      <c r="K11" s="297" t="s">
        <v>493</v>
      </c>
      <c r="L11" s="298"/>
      <c r="M11" s="299"/>
      <c r="N11" s="36">
        <v>12</v>
      </c>
      <c r="O11" s="37">
        <v>150</v>
      </c>
      <c r="P11" s="37"/>
      <c r="Q11" s="37"/>
      <c r="R11" s="69"/>
      <c r="S11" s="69"/>
      <c r="T11" s="37"/>
      <c r="U11" s="35"/>
      <c r="V11" s="279"/>
      <c r="W11" s="330">
        <f>O11+IF(ISERROR(VLOOKUP(CONCATENATE($B11,"t1"),Tasks!$B$4:$Y$297,23,FALSE)),0,VLOOKUP(CONCATENATE($B11,"t1"),Tasks!$B$4:$Y$297,23,FALSE))+IF(ISERROR(VLOOKUP(CONCATENATE($B11,"t2"),Tasks!$B$4:$Y$297,23,FALSE)),0,VLOOKUP(CONCATENATE($B11,"t2"),Tasks!$B$4:$Y$297,23,FALSE))+IF(ISERROR(VLOOKUP(CONCATENATE($B11,"t3"),Tasks!$B$4:$Y$297,23,FALSE)),0,VLOOKUP(CONCATENATE($B11,"t3"),Tasks!$B$4:$Y$297,23,FALSE))</f>
        <v>150</v>
      </c>
      <c r="X11" s="330">
        <f>N11+IF(ISERROR(VLOOKUP(CONCATENATE($B11,"t1"),Tasks!$B$4:$Y$297,24,FALSE)),0,VLOOKUP(CONCATENATE($B11,"t1"),Tasks!$B$4:$Y$297,24,FALSE))+IF(ISERROR(VLOOKUP(CONCATENATE($B11,"t2"),Tasks!$B$4:$Y$297,24,FALSE)),0,VLOOKUP(CONCATENATE($B11,"t2"),Tasks!$B$4:$Y$297,24,FALSE))+IF(ISERROR(VLOOKUP(CONCATENATE($B11,"t3"),Tasks!$B$4:$Y$297,24,FALSE)),0,VLOOKUP(CONCATENATE($B11,"t3"),Tasks!$B$4:$Y$297,24,FALSE))</f>
        <v>16</v>
      </c>
      <c r="Y11" s="330">
        <f>IF(ISERROR(VLOOKUP(CONCATENATE($B11,"t1"),Tasks!$B$4:$AA$297,26,FALSE)),0,VLOOKUP(CONCATENATE($B11,"t1"),Tasks!$B$4:$AA$297,26,FALSE))+IF(ISERROR(VLOOKUP(CONCATENATE($B11,"t2"),Tasks!$B$4:$AA$297,26,FALSE)),0,VLOOKUP(CONCATENATE($B11,"t2"),Tasks!$B$4:$AA$297,26,FALSE))+IF(ISERROR(VLOOKUP(CONCATENATE($B11,"t3"),Tasks!$B$4:$AA$297,26,FALSE)),0,VLOOKUP(CONCATENATE($B11,"t3"),Tasks!$B$4:$AA$297,26,FALSE))</f>
        <v>0</v>
      </c>
      <c r="Z11" s="330">
        <f t="shared" si="10"/>
        <v>-15</v>
      </c>
      <c r="AA11" s="330">
        <f t="shared" si="11"/>
        <v>0</v>
      </c>
      <c r="AB11" s="330">
        <f t="shared" si="12"/>
        <v>0</v>
      </c>
      <c r="AC11" s="330">
        <f t="shared" si="13"/>
        <v>68</v>
      </c>
      <c r="AD11" s="330">
        <f t="shared" si="14"/>
        <v>0</v>
      </c>
      <c r="AE11" s="330">
        <f t="shared" si="15"/>
        <v>0</v>
      </c>
      <c r="AF11" s="330">
        <f t="shared" si="16"/>
        <v>12</v>
      </c>
      <c r="AG11" s="330">
        <f t="shared" si="17"/>
        <v>0</v>
      </c>
      <c r="AH11" s="330">
        <f t="shared" si="18"/>
        <v>0</v>
      </c>
      <c r="AI11" s="330">
        <v>0</v>
      </c>
      <c r="AJ11" s="330">
        <v>0</v>
      </c>
      <c r="AK11" s="330">
        <v>0</v>
      </c>
      <c r="AL11" s="331">
        <f t="shared" si="3"/>
        <v>135</v>
      </c>
      <c r="AM11" s="331">
        <f t="shared" si="4"/>
        <v>84</v>
      </c>
      <c r="AN11" s="331">
        <f>MAX(Y11+AF11+AG11+AH11+AK11,IF(ISERROR(VLOOKUP(CONCATENATE($B11,"t1"),Tasks!$B$4:$B$297,1,FALSE)),0,VLOOKUP(CONCATENATE($B11,"t1"),Tasks!$B$4:$T$297,19,FALSE)),IF(ISERROR(VLOOKUP(CONCATENATE($B11,"t2"),Tasks!$B$4:$B$297,1,FALSE)),0,VLOOKUP(CONCATENATE($B11,"t2"),Tasks!$B$4:$T$297,19,FALSE)),IF(ISERROR(VLOOKUP(CONCATENATE($B11,"t3"),Tasks!$B$4:$B$297,1,FALSE)),0,VLOOKUP(CONCATENATE($B11,"t3"),Tasks!$B$4:$T$297,19,FALSE)))</f>
        <v>12</v>
      </c>
      <c r="AO11" s="239">
        <f>MAX(VLOOKUP(AM11,Background!$A$3:$B$202,2),IF(ISERROR(VLOOKUP(CONCATENATE($B11,"t1"),Tasks!$B$4:$Z$297,22,FALSE)),1,VLOOKUP(CONCATENATE($B11,"t1"),Tasks!$B$4:$Z$297,22,FALSE)),IF(ISERROR(VLOOKUP(CONCATENATE($B11,"t2"),Tasks!$B$4:$Z$297,22,FALSE)),1,VLOOKUP(CONCATENATE($B11,"t2"),Tasks!$B$4:$Z$297,22,FALSE)),IF(ISERROR(VLOOKUP(CONCATENATE($B11,"t3"),Tasks!$B$4:$Z$297,22,FALSE)),1,VLOOKUP(CONCATENATE($B11,"t3"),Tasks!$B$4:$Z$297,22,FALSE)))</f>
        <v>3</v>
      </c>
      <c r="AP11" s="239" t="str">
        <f>IF(AO11&gt;VLOOKUP(AM11,Background!$A$3:$B$202,2),"Yes","No")</f>
        <v>No</v>
      </c>
      <c r="AQ11" s="239">
        <f t="shared" si="5"/>
        <v>150</v>
      </c>
      <c r="AR11">
        <f t="shared" si="6"/>
        <v>51</v>
      </c>
      <c r="AS11">
        <f t="shared" si="7"/>
        <v>5</v>
      </c>
    </row>
    <row r="12" spans="1:45" ht="16" thickBot="1">
      <c r="A12" s="291">
        <f t="shared" si="8"/>
        <v>9</v>
      </c>
      <c r="B12" s="61" t="s">
        <v>493</v>
      </c>
      <c r="C12" s="38" t="s">
        <v>428</v>
      </c>
      <c r="D12" s="39" t="s">
        <v>427</v>
      </c>
      <c r="E12" s="40" t="s">
        <v>425</v>
      </c>
      <c r="F12" s="59" t="s">
        <v>270</v>
      </c>
      <c r="G12" s="60" t="s">
        <v>104</v>
      </c>
      <c r="H12" s="60" t="s">
        <v>104</v>
      </c>
      <c r="I12" s="60" t="s">
        <v>104</v>
      </c>
      <c r="J12" s="332">
        <f t="shared" si="9"/>
        <v>3</v>
      </c>
      <c r="K12" s="59" t="s">
        <v>109</v>
      </c>
      <c r="L12" s="60"/>
      <c r="M12" s="61"/>
      <c r="N12" s="38">
        <v>14</v>
      </c>
      <c r="O12" s="39">
        <v>150</v>
      </c>
      <c r="P12" s="39"/>
      <c r="Q12" s="39"/>
      <c r="R12" s="203"/>
      <c r="S12" s="203"/>
      <c r="T12" s="39"/>
      <c r="U12" s="40"/>
      <c r="V12" s="333"/>
      <c r="W12" s="334">
        <f>O12+IF(ISERROR(VLOOKUP(CONCATENATE($B12,"t1"),Tasks!$B$4:$Y$297,23,FALSE)),0,VLOOKUP(CONCATENATE($B12,"t1"),Tasks!$B$4:$Y$297,23,FALSE))+IF(ISERROR(VLOOKUP(CONCATENATE($B12,"t2"),Tasks!$B$4:$Y$297,23,FALSE)),0,VLOOKUP(CONCATENATE($B12,"t2"),Tasks!$B$4:$Y$297,23,FALSE))+IF(ISERROR(VLOOKUP(CONCATENATE($B12,"t3"),Tasks!$B$4:$Y$297,23,FALSE)),0,VLOOKUP(CONCATENATE($B12,"t3"),Tasks!$B$4:$Y$297,23,FALSE))</f>
        <v>150</v>
      </c>
      <c r="X12" s="334">
        <f>N12+IF(ISERROR(VLOOKUP(CONCATENATE($B12,"t1"),Tasks!$B$4:$Y$297,24,FALSE)),0,VLOOKUP(CONCATENATE($B12,"t1"),Tasks!$B$4:$Y$297,24,FALSE))+IF(ISERROR(VLOOKUP(CONCATENATE($B12,"t2"),Tasks!$B$4:$Y$297,24,FALSE)),0,VLOOKUP(CONCATENATE($B12,"t2"),Tasks!$B$4:$Y$297,24,FALSE))+IF(ISERROR(VLOOKUP(CONCATENATE($B12,"t3"),Tasks!$B$4:$Y$297,24,FALSE)),0,VLOOKUP(CONCATENATE($B12,"t3"),Tasks!$B$4:$Y$297,24,FALSE))</f>
        <v>28</v>
      </c>
      <c r="Y12" s="334">
        <f>IF(ISERROR(VLOOKUP(CONCATENATE($B12,"t1"),Tasks!$B$4:$AA$297,26,FALSE)),0,VLOOKUP(CONCATENATE($B12,"t1"),Tasks!$B$4:$AA$297,26,FALSE))+IF(ISERROR(VLOOKUP(CONCATENATE($B12,"t2"),Tasks!$B$4:$AA$297,26,FALSE)),0,VLOOKUP(CONCATENATE($B12,"t2"),Tasks!$B$4:$AA$297,26,FALSE))+IF(ISERROR(VLOOKUP(CONCATENATE($B12,"t3"),Tasks!$B$4:$AA$297,26,FALSE)),0,VLOOKUP(CONCATENATE($B12,"t3"),Tasks!$B$4:$AA$297,26,FALSE))</f>
        <v>0</v>
      </c>
      <c r="Z12" s="334">
        <f t="shared" si="10"/>
        <v>135</v>
      </c>
      <c r="AA12" s="334">
        <f t="shared" si="11"/>
        <v>0</v>
      </c>
      <c r="AB12" s="334">
        <f t="shared" si="12"/>
        <v>0</v>
      </c>
      <c r="AC12" s="334">
        <f t="shared" si="13"/>
        <v>84</v>
      </c>
      <c r="AD12" s="334">
        <f t="shared" si="14"/>
        <v>0</v>
      </c>
      <c r="AE12" s="334">
        <f t="shared" si="15"/>
        <v>0</v>
      </c>
      <c r="AF12" s="334">
        <f t="shared" si="16"/>
        <v>12</v>
      </c>
      <c r="AG12" s="334">
        <f t="shared" si="17"/>
        <v>0</v>
      </c>
      <c r="AH12" s="334">
        <f t="shared" si="18"/>
        <v>0</v>
      </c>
      <c r="AI12" s="334">
        <v>0</v>
      </c>
      <c r="AJ12" s="334">
        <v>0</v>
      </c>
      <c r="AK12" s="334">
        <v>0</v>
      </c>
      <c r="AL12" s="335">
        <f t="shared" si="3"/>
        <v>285</v>
      </c>
      <c r="AM12" s="335">
        <f t="shared" si="4"/>
        <v>112</v>
      </c>
      <c r="AN12" s="335">
        <f>MAX(Y12+AF12+AG12+AH12+AK12,IF(ISERROR(VLOOKUP(CONCATENATE($B12,"t1"),Tasks!$B$4:$B$297,1,FALSE)),0,VLOOKUP(CONCATENATE($B12,"t1"),Tasks!$B$4:$T$297,19,FALSE)),IF(ISERROR(VLOOKUP(CONCATENATE($B12,"t2"),Tasks!$B$4:$B$297,1,FALSE)),0,VLOOKUP(CONCATENATE($B12,"t2"),Tasks!$B$4:$T$297,19,FALSE)),IF(ISERROR(VLOOKUP(CONCATENATE($B12,"t3"),Tasks!$B$4:$B$297,1,FALSE)),0,VLOOKUP(CONCATENATE($B12,"t3"),Tasks!$B$4:$T$297,19,FALSE)))</f>
        <v>12</v>
      </c>
      <c r="AO12" s="314">
        <f>MAX(VLOOKUP(AM12,Background!$A$3:$B$202,2),IF(ISERROR(VLOOKUP(CONCATENATE($B12,"t1"),Tasks!$B$4:$Z$297,22,FALSE)),1,VLOOKUP(CONCATENATE($B12,"t1"),Tasks!$B$4:$Z$297,22,FALSE)),IF(ISERROR(VLOOKUP(CONCATENATE($B12,"t2"),Tasks!$B$4:$Z$297,22,FALSE)),1,VLOOKUP(CONCATENATE($B12,"t2"),Tasks!$B$4:$Z$297,22,FALSE)),IF(ISERROR(VLOOKUP(CONCATENATE($B12,"t3"),Tasks!$B$4:$Z$297,22,FALSE)),1,VLOOKUP(CONCATENATE($B12,"t3"),Tasks!$B$4:$Z$297,22,FALSE)))</f>
        <v>3</v>
      </c>
      <c r="AP12" s="314" t="str">
        <f>IF(AO12&gt;VLOOKUP(AM12,Background!$A$3:$B$202,2),"Yes","No")</f>
        <v>No</v>
      </c>
      <c r="AQ12" s="314">
        <f t="shared" si="5"/>
        <v>300</v>
      </c>
      <c r="AR12" s="314">
        <f t="shared" si="6"/>
        <v>14</v>
      </c>
      <c r="AS12" s="314">
        <f t="shared" si="7"/>
        <v>0</v>
      </c>
    </row>
    <row r="13" spans="1:45">
      <c r="A13" s="287">
        <f t="shared" si="8"/>
        <v>10</v>
      </c>
      <c r="B13" s="318" t="s">
        <v>109</v>
      </c>
      <c r="C13" s="319" t="s">
        <v>429</v>
      </c>
      <c r="D13" s="320" t="s">
        <v>427</v>
      </c>
      <c r="E13" s="321" t="s">
        <v>426</v>
      </c>
      <c r="F13" s="322" t="s">
        <v>493</v>
      </c>
      <c r="G13" s="323" t="s">
        <v>104</v>
      </c>
      <c r="H13" s="323" t="s">
        <v>104</v>
      </c>
      <c r="I13" s="323" t="s">
        <v>104</v>
      </c>
      <c r="J13" s="324">
        <f t="shared" si="9"/>
        <v>3</v>
      </c>
      <c r="K13" s="322" t="s">
        <v>111</v>
      </c>
      <c r="L13" s="323"/>
      <c r="M13" s="318"/>
      <c r="N13" s="319">
        <v>8</v>
      </c>
      <c r="O13" s="320"/>
      <c r="P13" s="320">
        <v>10</v>
      </c>
      <c r="Q13" s="320"/>
      <c r="R13" s="325"/>
      <c r="S13" s="325"/>
      <c r="T13" s="320"/>
      <c r="U13" s="321"/>
      <c r="W13" s="300">
        <f>O13+IF(ISERROR(VLOOKUP(CONCATENATE($B13,"t1"),Tasks!$B$4:$Y$297,23,FALSE)),0,VLOOKUP(CONCATENATE($B13,"t1"),Tasks!$B$4:$Y$297,23,FALSE))+IF(ISERROR(VLOOKUP(CONCATENATE($B13,"t2"),Tasks!$B$4:$Y$297,23,FALSE)),0,VLOOKUP(CONCATENATE($B13,"t2"),Tasks!$B$4:$Y$297,23,FALSE))+IF(ISERROR(VLOOKUP(CONCATENATE($B13,"t3"),Tasks!$B$4:$Y$297,23,FALSE)),0,VLOOKUP(CONCATENATE($B13,"t3"),Tasks!$B$4:$Y$297,23,FALSE))</f>
        <v>35</v>
      </c>
      <c r="X13" s="300">
        <f>N13+IF(ISERROR(VLOOKUP(CONCATENATE($B13,"t1"),Tasks!$B$4:$Y$297,24,FALSE)),0,VLOOKUP(CONCATENATE($B13,"t1"),Tasks!$B$4:$Y$297,24,FALSE))+IF(ISERROR(VLOOKUP(CONCATENATE($B13,"t2"),Tasks!$B$4:$Y$297,24,FALSE)),0,VLOOKUP(CONCATENATE($B13,"t2"),Tasks!$B$4:$Y$297,24,FALSE))+IF(ISERROR(VLOOKUP(CONCATENATE($B13,"t3"),Tasks!$B$4:$Y$297,24,FALSE)),0,VLOOKUP(CONCATENATE($B13,"t3"),Tasks!$B$4:$Y$297,24,FALSE))</f>
        <v>9</v>
      </c>
      <c r="Y13" s="300">
        <f>IF(ISERROR(VLOOKUP(CONCATENATE($B13,"t1"),Tasks!$B$4:$AA$297,26,FALSE)),0,VLOOKUP(CONCATENATE($B13,"t1"),Tasks!$B$4:$AA$297,26,FALSE))+IF(ISERROR(VLOOKUP(CONCATENATE($B13,"t2"),Tasks!$B$4:$AA$297,26,FALSE)),0,VLOOKUP(CONCATENATE($B13,"t2"),Tasks!$B$4:$AA$297,26,FALSE))+IF(ISERROR(VLOOKUP(CONCATENATE($B13,"t3"),Tasks!$B$4:$AA$297,26,FALSE)),0,VLOOKUP(CONCATENATE($B13,"t3"),Tasks!$B$4:$AA$297,26,FALSE))</f>
        <v>0</v>
      </c>
      <c r="Z13" s="330">
        <f t="shared" si="10"/>
        <v>285</v>
      </c>
      <c r="AA13" s="330">
        <f t="shared" si="11"/>
        <v>0</v>
      </c>
      <c r="AB13" s="330">
        <f t="shared" si="12"/>
        <v>0</v>
      </c>
      <c r="AC13" s="330">
        <f t="shared" si="13"/>
        <v>112</v>
      </c>
      <c r="AD13" s="330">
        <f t="shared" si="14"/>
        <v>0</v>
      </c>
      <c r="AE13" s="330">
        <f t="shared" si="15"/>
        <v>0</v>
      </c>
      <c r="AF13" s="330">
        <f t="shared" si="16"/>
        <v>12</v>
      </c>
      <c r="AG13" s="330">
        <f t="shared" si="17"/>
        <v>0</v>
      </c>
      <c r="AH13" s="330">
        <f t="shared" si="18"/>
        <v>0</v>
      </c>
      <c r="AI13" s="300">
        <v>0</v>
      </c>
      <c r="AJ13" s="300">
        <v>0</v>
      </c>
      <c r="AK13" s="300">
        <v>0</v>
      </c>
      <c r="AL13" s="301">
        <f>W13+Z13+AA13+AB13+AI13</f>
        <v>320</v>
      </c>
      <c r="AM13" s="301">
        <f>X13+AC13+AD13+AE13+AJ13</f>
        <v>121</v>
      </c>
      <c r="AN13" s="301">
        <f>MAX(Y13+AF13+AG13+AH13+AK13,IF(ISERROR(VLOOKUP(CONCATENATE($B13,"t1"),Tasks!$B$4:$B$297,1,FALSE)),0,VLOOKUP(CONCATENATE($B13,"t1"),Tasks!$B$4:$T$297,19,FALSE)),IF(ISERROR(VLOOKUP(CONCATENATE($B13,"t2"),Tasks!$B$4:$B$297,1,FALSE)),0,VLOOKUP(CONCATENATE($B13,"t2"),Tasks!$B$4:$T$297,19,FALSE)),IF(ISERROR(VLOOKUP(CONCATENATE($B13,"t3"),Tasks!$B$4:$B$297,1,FALSE)),0,VLOOKUP(CONCATENATE($B13,"t3"),Tasks!$B$4:$T$297,19,FALSE)))</f>
        <v>12</v>
      </c>
      <c r="AO13">
        <f>MAX(VLOOKUP(AM13,Background!$A$3:$B$202,2),IF(ISERROR(VLOOKUP(CONCATENATE($B13,"t1"),Tasks!$B$4:$Z$297,22,FALSE)),1,VLOOKUP(CONCATENATE($B13,"t1"),Tasks!$B$4:$Z$297,22,FALSE)),IF(ISERROR(VLOOKUP(CONCATENATE($B13,"t2"),Tasks!$B$4:$Z$297,22,FALSE)),1,VLOOKUP(CONCATENATE($B13,"t2"),Tasks!$B$4:$Z$297,22,FALSE)),IF(ISERROR(VLOOKUP(CONCATENATE($B13,"t3"),Tasks!$B$4:$Z$297,22,FALSE)),1,VLOOKUP(CONCATENATE($B13,"t3"),Tasks!$B$4:$Z$297,22,FALSE)))</f>
        <v>3</v>
      </c>
      <c r="AP13" t="str">
        <f>IF(AO13&gt;VLOOKUP(AM13,Background!$A$3:$B$202,2),"Yes","No")</f>
        <v>No</v>
      </c>
      <c r="AQ13">
        <f t="shared" si="5"/>
        <v>300</v>
      </c>
      <c r="AR13">
        <f t="shared" si="6"/>
        <v>22</v>
      </c>
      <c r="AS13">
        <f t="shared" si="7"/>
        <v>10</v>
      </c>
    </row>
    <row r="14" spans="1:45">
      <c r="A14" s="221">
        <f t="shared" si="8"/>
        <v>11</v>
      </c>
      <c r="B14" s="220" t="s">
        <v>111</v>
      </c>
      <c r="C14" s="36" t="s">
        <v>429</v>
      </c>
      <c r="D14" s="37" t="s">
        <v>427</v>
      </c>
      <c r="E14" s="35" t="s">
        <v>426</v>
      </c>
      <c r="F14" s="218" t="s">
        <v>109</v>
      </c>
      <c r="G14" s="219" t="s">
        <v>104</v>
      </c>
      <c r="H14" s="219" t="s">
        <v>104</v>
      </c>
      <c r="I14" s="339" t="s">
        <v>104</v>
      </c>
      <c r="J14" s="76">
        <f t="shared" si="9"/>
        <v>3</v>
      </c>
      <c r="K14" s="218" t="s">
        <v>273</v>
      </c>
      <c r="L14" s="219"/>
      <c r="M14" s="220"/>
      <c r="N14" s="36">
        <v>30</v>
      </c>
      <c r="O14" s="37">
        <v>500</v>
      </c>
      <c r="P14" s="37"/>
      <c r="Q14" s="37"/>
      <c r="R14" s="69"/>
      <c r="S14" s="69"/>
      <c r="T14" s="37"/>
      <c r="U14" s="35"/>
      <c r="W14" s="300">
        <f>O14+IF(ISERROR(VLOOKUP(CONCATENATE($B14,"t1"),Tasks!$B$4:$Y$297,23,FALSE)),0,VLOOKUP(CONCATENATE($B14,"t1"),Tasks!$B$4:$Y$297,23,FALSE))+IF(ISERROR(VLOOKUP(CONCATENATE($B14,"t2"),Tasks!$B$4:$Y$297,23,FALSE)),0,VLOOKUP(CONCATENATE($B14,"t2"),Tasks!$B$4:$Y$297,23,FALSE))+IF(ISERROR(VLOOKUP(CONCATENATE($B14,"t3"),Tasks!$B$4:$Y$297,23,FALSE)),0,VLOOKUP(CONCATENATE($B14,"t3"),Tasks!$B$4:$Y$297,23,FALSE))</f>
        <v>900</v>
      </c>
      <c r="X14" s="300">
        <f>N14+IF(ISERROR(VLOOKUP(CONCATENATE($B14,"t1"),Tasks!$B$4:$Y$297,24,FALSE)),0,VLOOKUP(CONCATENATE($B14,"t1"),Tasks!$B$4:$Y$297,24,FALSE))+IF(ISERROR(VLOOKUP(CONCATENATE($B14,"t2"),Tasks!$B$4:$Y$297,24,FALSE)),0,VLOOKUP(CONCATENATE($B14,"t2"),Tasks!$B$4:$Y$297,24,FALSE))+IF(ISERROR(VLOOKUP(CONCATENATE($B14,"t3"),Tasks!$B$4:$Y$297,24,FALSE)),0,VLOOKUP(CONCATENATE($B14,"t3"),Tasks!$B$4:$Y$297,24,FALSE))</f>
        <v>30</v>
      </c>
      <c r="Y14" s="300">
        <f>IF(ISERROR(VLOOKUP(CONCATENATE($B14,"t1"),Tasks!$B$4:$AA$297,26,FALSE)),0,VLOOKUP(CONCATENATE($B14,"t1"),Tasks!$B$4:$AA$297,26,FALSE))+IF(ISERROR(VLOOKUP(CONCATENATE($B14,"t2"),Tasks!$B$4:$AA$297,26,FALSE)),0,VLOOKUP(CONCATENATE($B14,"t2"),Tasks!$B$4:$AA$297,26,FALSE))+IF(ISERROR(VLOOKUP(CONCATENATE($B14,"t3"),Tasks!$B$4:$AA$297,26,FALSE)),0,VLOOKUP(CONCATENATE($B14,"t3"),Tasks!$B$4:$AA$297,26,FALSE))</f>
        <v>0</v>
      </c>
      <c r="Z14" s="330">
        <f t="shared" si="10"/>
        <v>320</v>
      </c>
      <c r="AA14" s="330">
        <f t="shared" si="11"/>
        <v>0</v>
      </c>
      <c r="AB14" s="330">
        <f t="shared" si="12"/>
        <v>0</v>
      </c>
      <c r="AC14" s="330">
        <f t="shared" si="13"/>
        <v>121</v>
      </c>
      <c r="AD14" s="330">
        <f t="shared" si="14"/>
        <v>0</v>
      </c>
      <c r="AE14" s="330">
        <f t="shared" si="15"/>
        <v>0</v>
      </c>
      <c r="AF14" s="330">
        <f t="shared" si="16"/>
        <v>12</v>
      </c>
      <c r="AG14" s="330">
        <f t="shared" si="17"/>
        <v>0</v>
      </c>
      <c r="AH14" s="330">
        <f t="shared" si="18"/>
        <v>0</v>
      </c>
      <c r="AI14" s="300">
        <v>0</v>
      </c>
      <c r="AJ14" s="300">
        <v>0</v>
      </c>
      <c r="AK14" s="300">
        <v>0</v>
      </c>
      <c r="AL14" s="301">
        <f>W14+Z14+AA14+AB14+AI14</f>
        <v>1220</v>
      </c>
      <c r="AM14" s="301">
        <f>X14+AC14+AD14+AE14+AJ14</f>
        <v>151</v>
      </c>
      <c r="AN14" s="301">
        <f>MAX(Y14+AF14+AG14+AH14+AK14,IF(ISERROR(VLOOKUP(CONCATENATE($B14,"t1"),Tasks!$B$4:$B$297,1,FALSE)),0,VLOOKUP(CONCATENATE($B14,"t1"),Tasks!$B$4:$T$297,19,FALSE)),IF(ISERROR(VLOOKUP(CONCATENATE($B14,"t2"),Tasks!$B$4:$B$297,1,FALSE)),0,VLOOKUP(CONCATENATE($B14,"t2"),Tasks!$B$4:$T$297,19,FALSE)),IF(ISERROR(VLOOKUP(CONCATENATE($B14,"t3"),Tasks!$B$4:$B$297,1,FALSE)),0,VLOOKUP(CONCATENATE($B14,"t3"),Tasks!$B$4:$T$297,19,FALSE)))</f>
        <v>12</v>
      </c>
      <c r="AO14">
        <f>MAX(VLOOKUP(AM14,Background!$A$3:$B$202,2),IF(ISERROR(VLOOKUP(CONCATENATE($B14,"t1"),Tasks!$B$4:$Z$297,22,FALSE)),1,VLOOKUP(CONCATENATE($B14,"t1"),Tasks!$B$4:$Z$297,22,FALSE)),IF(ISERROR(VLOOKUP(CONCATENATE($B14,"t2"),Tasks!$B$4:$Z$297,22,FALSE)),1,VLOOKUP(CONCATENATE($B14,"t2"),Tasks!$B$4:$Z$297,22,FALSE)),IF(ISERROR(VLOOKUP(CONCATENATE($B14,"t3"),Tasks!$B$4:$Z$297,22,FALSE)),1,VLOOKUP(CONCATENATE($B14,"t3"),Tasks!$B$4:$Z$297,22,FALSE)))</f>
        <v>3</v>
      </c>
      <c r="AP14" t="str">
        <f>IF(AO14&gt;VLOOKUP(AM14,Background!$A$3:$B$202,2),"Yes","No")</f>
        <v>No</v>
      </c>
      <c r="AQ14">
        <f t="shared" si="5"/>
        <v>800</v>
      </c>
      <c r="AR14">
        <f t="shared" si="6"/>
        <v>52</v>
      </c>
      <c r="AS14">
        <f t="shared" si="7"/>
        <v>10</v>
      </c>
    </row>
    <row r="15" spans="1:45">
      <c r="A15" s="221">
        <f t="shared" si="8"/>
        <v>12</v>
      </c>
      <c r="B15" s="220" t="s">
        <v>273</v>
      </c>
      <c r="C15" s="36" t="s">
        <v>429</v>
      </c>
      <c r="D15" s="37" t="s">
        <v>427</v>
      </c>
      <c r="E15" s="35" t="s">
        <v>426</v>
      </c>
      <c r="F15" s="218" t="s">
        <v>111</v>
      </c>
      <c r="G15" s="219" t="s">
        <v>104</v>
      </c>
      <c r="H15" s="219" t="s">
        <v>104</v>
      </c>
      <c r="I15" s="339" t="s">
        <v>104</v>
      </c>
      <c r="J15" s="76">
        <f t="shared" si="9"/>
        <v>3</v>
      </c>
      <c r="K15" s="218" t="s">
        <v>274</v>
      </c>
      <c r="L15" s="219"/>
      <c r="M15" s="220"/>
      <c r="N15" s="36">
        <v>13</v>
      </c>
      <c r="O15" s="37">
        <v>500</v>
      </c>
      <c r="P15" s="37"/>
      <c r="Q15" s="37"/>
      <c r="R15" s="69"/>
      <c r="S15" s="69"/>
      <c r="T15" s="37"/>
      <c r="U15" s="35"/>
      <c r="W15" s="300">
        <f>O15+IF(ISERROR(VLOOKUP(CONCATENATE($B15,"t1"),Tasks!$B$4:$Y$297,23,FALSE)),0,VLOOKUP(CONCATENATE($B15,"t1"),Tasks!$B$4:$Y$297,23,FALSE))+IF(ISERROR(VLOOKUP(CONCATENATE($B15,"t2"),Tasks!$B$4:$Y$297,23,FALSE)),0,VLOOKUP(CONCATENATE($B15,"t2"),Tasks!$B$4:$Y$297,23,FALSE))+IF(ISERROR(VLOOKUP(CONCATENATE($B15,"t3"),Tasks!$B$4:$Y$297,23,FALSE)),0,VLOOKUP(CONCATENATE($B15,"t3"),Tasks!$B$4:$Y$297,23,FALSE))</f>
        <v>-900</v>
      </c>
      <c r="X15" s="300">
        <f>N15+IF(ISERROR(VLOOKUP(CONCATENATE($B15,"t1"),Tasks!$B$4:$Y$297,24,FALSE)),0,VLOOKUP(CONCATENATE($B15,"t1"),Tasks!$B$4:$Y$297,24,FALSE))+IF(ISERROR(VLOOKUP(CONCATENATE($B15,"t2"),Tasks!$B$4:$Y$297,24,FALSE)),0,VLOOKUP(CONCATENATE($B15,"t2"),Tasks!$B$4:$Y$297,24,FALSE))+IF(ISERROR(VLOOKUP(CONCATENATE($B15,"t3"),Tasks!$B$4:$Y$297,24,FALSE)),0,VLOOKUP(CONCATENATE($B15,"t3"),Tasks!$B$4:$Y$297,24,FALSE))</f>
        <v>13</v>
      </c>
      <c r="Y15" s="300">
        <f>IF(ISERROR(VLOOKUP(CONCATENATE($B15,"t1"),Tasks!$B$4:$AA$297,26,FALSE)),0,VLOOKUP(CONCATENATE($B15,"t1"),Tasks!$B$4:$AA$297,26,FALSE))+IF(ISERROR(VLOOKUP(CONCATENATE($B15,"t2"),Tasks!$B$4:$AA$297,26,FALSE)),0,VLOOKUP(CONCATENATE($B15,"t2"),Tasks!$B$4:$AA$297,26,FALSE))+IF(ISERROR(VLOOKUP(CONCATENATE($B15,"t3"),Tasks!$B$4:$AA$297,26,FALSE)),0,VLOOKUP(CONCATENATE($B15,"t3"),Tasks!$B$4:$AA$297,26,FALSE))</f>
        <v>0</v>
      </c>
      <c r="Z15" s="330">
        <f t="shared" si="10"/>
        <v>1220</v>
      </c>
      <c r="AA15" s="330">
        <f t="shared" si="11"/>
        <v>0</v>
      </c>
      <c r="AB15" s="330">
        <f t="shared" si="12"/>
        <v>0</v>
      </c>
      <c r="AC15" s="330">
        <f t="shared" si="13"/>
        <v>151</v>
      </c>
      <c r="AD15" s="330">
        <f t="shared" si="14"/>
        <v>0</v>
      </c>
      <c r="AE15" s="330">
        <f t="shared" si="15"/>
        <v>0</v>
      </c>
      <c r="AF15" s="330">
        <f t="shared" si="16"/>
        <v>12</v>
      </c>
      <c r="AG15" s="330">
        <f t="shared" si="17"/>
        <v>0</v>
      </c>
      <c r="AH15" s="330">
        <f t="shared" si="18"/>
        <v>0</v>
      </c>
      <c r="AI15" s="300">
        <v>0</v>
      </c>
      <c r="AJ15" s="300">
        <v>0</v>
      </c>
      <c r="AK15" s="300">
        <v>0</v>
      </c>
      <c r="AL15" s="301">
        <f t="shared" ref="AL15:AL20" si="19">W15+Z15+AA15+AB15+AI15</f>
        <v>320</v>
      </c>
      <c r="AM15" s="301">
        <f t="shared" ref="AM15:AM20" si="20">X15+AC15+AD15+AE15+AJ15</f>
        <v>164</v>
      </c>
      <c r="AN15" s="301">
        <f>MAX(Y15+AF15+AG15+AH15+AK15,IF(ISERROR(VLOOKUP(CONCATENATE($B15,"t1"),Tasks!$B$4:$B$297,1,FALSE)),0,VLOOKUP(CONCATENATE($B15,"t1"),Tasks!$B$4:$T$297,19,FALSE)),IF(ISERROR(VLOOKUP(CONCATENATE($B15,"t2"),Tasks!$B$4:$B$297,1,FALSE)),0,VLOOKUP(CONCATENATE($B15,"t2"),Tasks!$B$4:$T$297,19,FALSE)),IF(ISERROR(VLOOKUP(CONCATENATE($B15,"t3"),Tasks!$B$4:$B$297,1,FALSE)),0,VLOOKUP(CONCATENATE($B15,"t3"),Tasks!$B$4:$T$297,19,FALSE)))</f>
        <v>20</v>
      </c>
      <c r="AO15">
        <f>MAX(VLOOKUP(AM15,Background!$A$3:$B$202,2),IF(ISERROR(VLOOKUP(CONCATENATE($B15,"t1"),Tasks!$B$4:$Z$297,22,FALSE)),1,VLOOKUP(CONCATENATE($B15,"t1"),Tasks!$B$4:$Z$297,22,FALSE)),IF(ISERROR(VLOOKUP(CONCATENATE($B15,"t2"),Tasks!$B$4:$Z$297,22,FALSE)),1,VLOOKUP(CONCATENATE($B15,"t2"),Tasks!$B$4:$Z$297,22,FALSE)),IF(ISERROR(VLOOKUP(CONCATENATE($B15,"t3"),Tasks!$B$4:$Z$297,22,FALSE)),1,VLOOKUP(CONCATENATE($B15,"t3"),Tasks!$B$4:$Z$297,22,FALSE)))</f>
        <v>3</v>
      </c>
      <c r="AP15" t="str">
        <f>IF(AO15&gt;VLOOKUP(AM15,Background!$A$3:$B$202,2),"Yes","No")</f>
        <v>No</v>
      </c>
      <c r="AQ15">
        <f t="shared" si="5"/>
        <v>1300</v>
      </c>
      <c r="AR15">
        <f t="shared" si="6"/>
        <v>65</v>
      </c>
      <c r="AS15">
        <f t="shared" si="7"/>
        <v>10</v>
      </c>
    </row>
    <row r="16" spans="1:45">
      <c r="A16" s="221">
        <f t="shared" si="8"/>
        <v>13</v>
      </c>
      <c r="B16" s="220" t="s">
        <v>274</v>
      </c>
      <c r="C16" s="36" t="s">
        <v>429</v>
      </c>
      <c r="D16" s="37" t="s">
        <v>427</v>
      </c>
      <c r="E16" s="35" t="s">
        <v>426</v>
      </c>
      <c r="F16" s="218" t="s">
        <v>273</v>
      </c>
      <c r="G16" s="219" t="s">
        <v>104</v>
      </c>
      <c r="H16" s="219" t="s">
        <v>104</v>
      </c>
      <c r="I16" s="339" t="s">
        <v>104</v>
      </c>
      <c r="J16" s="76">
        <f t="shared" si="9"/>
        <v>3</v>
      </c>
      <c r="K16" s="218" t="s">
        <v>275</v>
      </c>
      <c r="L16" s="219"/>
      <c r="M16" s="220"/>
      <c r="N16" s="36">
        <v>14</v>
      </c>
      <c r="O16" s="37">
        <v>200</v>
      </c>
      <c r="P16" s="37"/>
      <c r="Q16" s="37"/>
      <c r="R16" s="69"/>
      <c r="S16" s="69"/>
      <c r="T16" s="37"/>
      <c r="U16" s="35"/>
      <c r="W16" s="300">
        <f>O16+IF(ISERROR(VLOOKUP(CONCATENATE($B16,"t1"),Tasks!$B$4:$Y$297,23,FALSE)),0,VLOOKUP(CONCATENATE($B16,"t1"),Tasks!$B$4:$Y$297,23,FALSE))+IF(ISERROR(VLOOKUP(CONCATENATE($B16,"t2"),Tasks!$B$4:$Y$297,23,FALSE)),0,VLOOKUP(CONCATENATE($B16,"t2"),Tasks!$B$4:$Y$297,23,FALSE))+IF(ISERROR(VLOOKUP(CONCATENATE($B16,"t3"),Tasks!$B$4:$Y$297,23,FALSE)),0,VLOOKUP(CONCATENATE($B16,"t3"),Tasks!$B$4:$Y$297,23,FALSE))</f>
        <v>315</v>
      </c>
      <c r="X16" s="300">
        <f>N16+IF(ISERROR(VLOOKUP(CONCATENATE($B16,"t1"),Tasks!$B$4:$Y$297,24,FALSE)),0,VLOOKUP(CONCATENATE($B16,"t1"),Tasks!$B$4:$Y$297,24,FALSE))+IF(ISERROR(VLOOKUP(CONCATENATE($B16,"t2"),Tasks!$B$4:$Y$297,24,FALSE)),0,VLOOKUP(CONCATENATE($B16,"t2"),Tasks!$B$4:$Y$297,24,FALSE))+IF(ISERROR(VLOOKUP(CONCATENATE($B16,"t3"),Tasks!$B$4:$Y$297,24,FALSE)),0,VLOOKUP(CONCATENATE($B16,"t3"),Tasks!$B$4:$Y$297,24,FALSE))</f>
        <v>27</v>
      </c>
      <c r="Y16" s="300">
        <f>IF(ISERROR(VLOOKUP(CONCATENATE($B16,"t1"),Tasks!$B$4:$AA$297,26,FALSE)),0,VLOOKUP(CONCATENATE($B16,"t1"),Tasks!$B$4:$AA$297,26,FALSE))+IF(ISERROR(VLOOKUP(CONCATENATE($B16,"t2"),Tasks!$B$4:$AA$297,26,FALSE)),0,VLOOKUP(CONCATENATE($B16,"t2"),Tasks!$B$4:$AA$297,26,FALSE))+IF(ISERROR(VLOOKUP(CONCATENATE($B16,"t3"),Tasks!$B$4:$AA$297,26,FALSE)),0,VLOOKUP(CONCATENATE($B16,"t3"),Tasks!$B$4:$AA$297,26,FALSE))</f>
        <v>0</v>
      </c>
      <c r="Z16" s="330">
        <f t="shared" si="10"/>
        <v>320</v>
      </c>
      <c r="AA16" s="330">
        <f t="shared" si="11"/>
        <v>0</v>
      </c>
      <c r="AB16" s="330">
        <f t="shared" si="12"/>
        <v>0</v>
      </c>
      <c r="AC16" s="330">
        <f t="shared" si="13"/>
        <v>164</v>
      </c>
      <c r="AD16" s="330">
        <f t="shared" si="14"/>
        <v>0</v>
      </c>
      <c r="AE16" s="330">
        <f t="shared" si="15"/>
        <v>0</v>
      </c>
      <c r="AF16" s="330">
        <f t="shared" si="16"/>
        <v>20</v>
      </c>
      <c r="AG16" s="330">
        <f t="shared" si="17"/>
        <v>0</v>
      </c>
      <c r="AH16" s="330">
        <f t="shared" si="18"/>
        <v>0</v>
      </c>
      <c r="AI16" s="300">
        <v>0</v>
      </c>
      <c r="AJ16" s="300">
        <v>0</v>
      </c>
      <c r="AK16" s="300">
        <v>0</v>
      </c>
      <c r="AL16" s="301">
        <f t="shared" si="19"/>
        <v>635</v>
      </c>
      <c r="AM16" s="301">
        <f t="shared" si="20"/>
        <v>191</v>
      </c>
      <c r="AN16" s="301">
        <f>MAX(Y16+AF16+AG16+AH16+AK16,IF(ISERROR(VLOOKUP(CONCATENATE($B16,"t1"),Tasks!$B$4:$B$297,1,FALSE)),0,VLOOKUP(CONCATENATE($B16,"t1"),Tasks!$B$4:$T$297,19,FALSE)),IF(ISERROR(VLOOKUP(CONCATENATE($B16,"t2"),Tasks!$B$4:$B$297,1,FALSE)),0,VLOOKUP(CONCATENATE($B16,"t2"),Tasks!$B$4:$T$297,19,FALSE)),IF(ISERROR(VLOOKUP(CONCATENATE($B16,"t3"),Tasks!$B$4:$B$297,1,FALSE)),0,VLOOKUP(CONCATENATE($B16,"t3"),Tasks!$B$4:$T$297,19,FALSE)))</f>
        <v>20</v>
      </c>
      <c r="AO16">
        <f>MAX(VLOOKUP(AM16,Background!$A$3:$B$202,2),IF(ISERROR(VLOOKUP(CONCATENATE($B16,"t1"),Tasks!$B$4:$Z$297,22,FALSE)),1,VLOOKUP(CONCATENATE($B16,"t1"),Tasks!$B$4:$Z$297,22,FALSE)),IF(ISERROR(VLOOKUP(CONCATENATE($B16,"t2"),Tasks!$B$4:$Z$297,22,FALSE)),1,VLOOKUP(CONCATENATE($B16,"t2"),Tasks!$B$4:$Z$297,22,FALSE)),IF(ISERROR(VLOOKUP(CONCATENATE($B16,"t3"),Tasks!$B$4:$Z$297,22,FALSE)),1,VLOOKUP(CONCATENATE($B16,"t3"),Tasks!$B$4:$Z$297,22,FALSE)))</f>
        <v>4</v>
      </c>
      <c r="AP16" t="str">
        <f>IF(AO16&gt;VLOOKUP(AM16,Background!$A$3:$B$202,2),"Yes","No")</f>
        <v>No</v>
      </c>
      <c r="AQ16">
        <f t="shared" si="5"/>
        <v>200</v>
      </c>
      <c r="AR16">
        <f t="shared" si="6"/>
        <v>79</v>
      </c>
      <c r="AS16">
        <f t="shared" si="7"/>
        <v>10</v>
      </c>
    </row>
    <row r="17" spans="1:45">
      <c r="A17" s="221">
        <f t="shared" si="8"/>
        <v>14</v>
      </c>
      <c r="B17" s="220" t="s">
        <v>275</v>
      </c>
      <c r="C17" s="36" t="s">
        <v>429</v>
      </c>
      <c r="D17" s="37" t="s">
        <v>427</v>
      </c>
      <c r="E17" s="35" t="s">
        <v>426</v>
      </c>
      <c r="F17" s="218" t="s">
        <v>274</v>
      </c>
      <c r="G17" s="219" t="s">
        <v>104</v>
      </c>
      <c r="H17" s="219" t="s">
        <v>104</v>
      </c>
      <c r="I17" s="339" t="s">
        <v>104</v>
      </c>
      <c r="J17" s="76">
        <f t="shared" si="9"/>
        <v>4</v>
      </c>
      <c r="K17" s="218" t="s">
        <v>276</v>
      </c>
      <c r="L17" s="219"/>
      <c r="M17" s="220"/>
      <c r="N17" s="36"/>
      <c r="O17" s="37">
        <v>250</v>
      </c>
      <c r="P17" s="37">
        <v>10</v>
      </c>
      <c r="Q17" s="37"/>
      <c r="R17" s="69"/>
      <c r="S17" s="69"/>
      <c r="T17" s="37"/>
      <c r="U17" s="35"/>
      <c r="W17" s="300">
        <f>O17+IF(ISERROR(VLOOKUP(CONCATENATE($B17,"t1"),Tasks!$B$4:$Y$297,23,FALSE)),0,VLOOKUP(CONCATENATE($B17,"t1"),Tasks!$B$4:$Y$297,23,FALSE))+IF(ISERROR(VLOOKUP(CONCATENATE($B17,"t2"),Tasks!$B$4:$Y$297,23,FALSE)),0,VLOOKUP(CONCATENATE($B17,"t2"),Tasks!$B$4:$Y$297,23,FALSE))+IF(ISERROR(VLOOKUP(CONCATENATE($B17,"t3"),Tasks!$B$4:$Y$297,23,FALSE)),0,VLOOKUP(CONCATENATE($B17,"t3"),Tasks!$B$4:$Y$297,23,FALSE))</f>
        <v>235</v>
      </c>
      <c r="X17" s="300">
        <f>N17+IF(ISERROR(VLOOKUP(CONCATENATE($B17,"t1"),Tasks!$B$4:$Y$297,24,FALSE)),0,VLOOKUP(CONCATENATE($B17,"t1"),Tasks!$B$4:$Y$297,24,FALSE))+IF(ISERROR(VLOOKUP(CONCATENATE($B17,"t2"),Tasks!$B$4:$Y$297,24,FALSE)),0,VLOOKUP(CONCATENATE($B17,"t2"),Tasks!$B$4:$Y$297,24,FALSE))+IF(ISERROR(VLOOKUP(CONCATENATE($B17,"t3"),Tasks!$B$4:$Y$297,24,FALSE)),0,VLOOKUP(CONCATENATE($B17,"t3"),Tasks!$B$4:$Y$297,24,FALSE))</f>
        <v>0</v>
      </c>
      <c r="Y17" s="300">
        <f>IF(ISERROR(VLOOKUP(CONCATENATE($B17,"t1"),Tasks!$B$4:$AA$297,26,FALSE)),0,VLOOKUP(CONCATENATE($B17,"t1"),Tasks!$B$4:$AA$297,26,FALSE))+IF(ISERROR(VLOOKUP(CONCATENATE($B17,"t2"),Tasks!$B$4:$AA$297,26,FALSE)),0,VLOOKUP(CONCATENATE($B17,"t2"),Tasks!$B$4:$AA$297,26,FALSE))+IF(ISERROR(VLOOKUP(CONCATENATE($B17,"t3"),Tasks!$B$4:$AA$297,26,FALSE)),0,VLOOKUP(CONCATENATE($B17,"t3"),Tasks!$B$4:$AA$297,26,FALSE))</f>
        <v>0</v>
      </c>
      <c r="Z17" s="330">
        <f t="shared" si="10"/>
        <v>635</v>
      </c>
      <c r="AA17" s="330">
        <f t="shared" si="11"/>
        <v>0</v>
      </c>
      <c r="AB17" s="330">
        <f t="shared" si="12"/>
        <v>0</v>
      </c>
      <c r="AC17" s="330">
        <f t="shared" si="13"/>
        <v>191</v>
      </c>
      <c r="AD17" s="330">
        <f t="shared" si="14"/>
        <v>0</v>
      </c>
      <c r="AE17" s="330">
        <f t="shared" si="15"/>
        <v>0</v>
      </c>
      <c r="AF17" s="330">
        <f t="shared" si="16"/>
        <v>20</v>
      </c>
      <c r="AG17" s="330">
        <f t="shared" si="17"/>
        <v>0</v>
      </c>
      <c r="AH17" s="330">
        <f t="shared" si="18"/>
        <v>0</v>
      </c>
      <c r="AI17" s="300">
        <v>0</v>
      </c>
      <c r="AJ17" s="300">
        <v>0</v>
      </c>
      <c r="AK17" s="300">
        <v>0</v>
      </c>
      <c r="AL17" s="301">
        <f t="shared" si="19"/>
        <v>870</v>
      </c>
      <c r="AM17" s="301">
        <f t="shared" si="20"/>
        <v>191</v>
      </c>
      <c r="AN17" s="301">
        <f>MAX(Y17+AF17+AG17+AH17+AK17,IF(ISERROR(VLOOKUP(CONCATENATE($B17,"t1"),Tasks!$B$4:$B$297,1,FALSE)),0,VLOOKUP(CONCATENATE($B17,"t1"),Tasks!$B$4:$T$297,19,FALSE)),IF(ISERROR(VLOOKUP(CONCATENATE($B17,"t2"),Tasks!$B$4:$B$297,1,FALSE)),0,VLOOKUP(CONCATENATE($B17,"t2"),Tasks!$B$4:$T$297,19,FALSE)),IF(ISERROR(VLOOKUP(CONCATENATE($B17,"t3"),Tasks!$B$4:$B$297,1,FALSE)),0,VLOOKUP(CONCATENATE($B17,"t3"),Tasks!$B$4:$T$297,19,FALSE)))</f>
        <v>20</v>
      </c>
      <c r="AO17">
        <f>MAX(VLOOKUP(AM17,Background!$A$3:$B$202,2),IF(ISERROR(VLOOKUP(CONCATENATE($B17,"t1"),Tasks!$B$4:$Z$297,22,FALSE)),1,VLOOKUP(CONCATENATE($B17,"t1"),Tasks!$B$4:$Z$297,22,FALSE)),IF(ISERROR(VLOOKUP(CONCATENATE($B17,"t2"),Tasks!$B$4:$Z$297,22,FALSE)),1,VLOOKUP(CONCATENATE($B17,"t2"),Tasks!$B$4:$Z$297,22,FALSE)),IF(ISERROR(VLOOKUP(CONCATENATE($B17,"t3"),Tasks!$B$4:$Z$297,22,FALSE)),1,VLOOKUP(CONCATENATE($B17,"t3"),Tasks!$B$4:$Z$297,22,FALSE)))</f>
        <v>4</v>
      </c>
      <c r="AP17" t="str">
        <f>IF(AO17&gt;VLOOKUP(AM17,Background!$A$3:$B$202,2),"Yes","No")</f>
        <v>No</v>
      </c>
      <c r="AQ17">
        <f t="shared" si="5"/>
        <v>450</v>
      </c>
      <c r="AR17">
        <f t="shared" si="6"/>
        <v>0</v>
      </c>
      <c r="AS17">
        <f t="shared" si="7"/>
        <v>10</v>
      </c>
    </row>
    <row r="18" spans="1:45">
      <c r="A18" s="221">
        <f t="shared" si="8"/>
        <v>15</v>
      </c>
      <c r="B18" s="220" t="s">
        <v>276</v>
      </c>
      <c r="C18" s="36" t="s">
        <v>429</v>
      </c>
      <c r="D18" s="37" t="s">
        <v>427</v>
      </c>
      <c r="E18" s="35" t="s">
        <v>426</v>
      </c>
      <c r="F18" s="218" t="s">
        <v>275</v>
      </c>
      <c r="G18" s="219" t="s">
        <v>104</v>
      </c>
      <c r="H18" s="219" t="s">
        <v>104</v>
      </c>
      <c r="I18" s="339" t="s">
        <v>104</v>
      </c>
      <c r="J18" s="76">
        <f t="shared" si="9"/>
        <v>4</v>
      </c>
      <c r="K18" s="218" t="s">
        <v>277</v>
      </c>
      <c r="L18" s="219"/>
      <c r="M18" s="220"/>
      <c r="N18" s="36">
        <v>20</v>
      </c>
      <c r="O18" s="37">
        <v>500</v>
      </c>
      <c r="P18" s="37"/>
      <c r="Q18" s="37"/>
      <c r="R18" s="69"/>
      <c r="S18" s="69"/>
      <c r="T18" s="37"/>
      <c r="U18" s="35"/>
      <c r="W18" s="300">
        <f>O18+IF(ISERROR(VLOOKUP(CONCATENATE($B18,"t1"),Tasks!$B$4:$Y$297,23,FALSE)),0,VLOOKUP(CONCATENATE($B18,"t1"),Tasks!$B$4:$Y$297,23,FALSE))+IF(ISERROR(VLOOKUP(CONCATENATE($B18,"t2"),Tasks!$B$4:$Y$297,23,FALSE)),0,VLOOKUP(CONCATENATE($B18,"t2"),Tasks!$B$4:$Y$297,23,FALSE))+IF(ISERROR(VLOOKUP(CONCATENATE($B18,"t3"),Tasks!$B$4:$Y$297,23,FALSE)),0,VLOOKUP(CONCATENATE($B18,"t3"),Tasks!$B$4:$Y$297,23,FALSE))</f>
        <v>500</v>
      </c>
      <c r="X18" s="300">
        <f>N18+IF(ISERROR(VLOOKUP(CONCATENATE($B18,"t1"),Tasks!$B$4:$Y$297,24,FALSE)),0,VLOOKUP(CONCATENATE($B18,"t1"),Tasks!$B$4:$Y$297,24,FALSE))+IF(ISERROR(VLOOKUP(CONCATENATE($B18,"t2"),Tasks!$B$4:$Y$297,24,FALSE)),0,VLOOKUP(CONCATENATE($B18,"t2"),Tasks!$B$4:$Y$297,24,FALSE))+IF(ISERROR(VLOOKUP(CONCATENATE($B18,"t3"),Tasks!$B$4:$Y$297,24,FALSE)),0,VLOOKUP(CONCATENATE($B18,"t3"),Tasks!$B$4:$Y$297,24,FALSE))</f>
        <v>30</v>
      </c>
      <c r="Y18" s="300">
        <f>IF(ISERROR(VLOOKUP(CONCATENATE($B18,"t1"),Tasks!$B$4:$AA$297,26,FALSE)),0,VLOOKUP(CONCATENATE($B18,"t1"),Tasks!$B$4:$AA$297,26,FALSE))+IF(ISERROR(VLOOKUP(CONCATENATE($B18,"t2"),Tasks!$B$4:$AA$297,26,FALSE)),0,VLOOKUP(CONCATENATE($B18,"t2"),Tasks!$B$4:$AA$297,26,FALSE))+IF(ISERROR(VLOOKUP(CONCATENATE($B18,"t3"),Tasks!$B$4:$AA$297,26,FALSE)),0,VLOOKUP(CONCATENATE($B18,"t3"),Tasks!$B$4:$AA$297,26,FALSE))</f>
        <v>0</v>
      </c>
      <c r="Z18" s="330">
        <f t="shared" si="10"/>
        <v>870</v>
      </c>
      <c r="AA18" s="330">
        <f t="shared" si="11"/>
        <v>0</v>
      </c>
      <c r="AB18" s="330">
        <f t="shared" si="12"/>
        <v>0</v>
      </c>
      <c r="AC18" s="330">
        <f t="shared" si="13"/>
        <v>191</v>
      </c>
      <c r="AD18" s="330">
        <f t="shared" si="14"/>
        <v>0</v>
      </c>
      <c r="AE18" s="330">
        <f t="shared" si="15"/>
        <v>0</v>
      </c>
      <c r="AF18" s="330">
        <f t="shared" si="16"/>
        <v>20</v>
      </c>
      <c r="AG18" s="330">
        <f t="shared" si="17"/>
        <v>0</v>
      </c>
      <c r="AH18" s="330">
        <f t="shared" si="18"/>
        <v>0</v>
      </c>
      <c r="AI18" s="300">
        <v>0</v>
      </c>
      <c r="AJ18" s="300">
        <v>0</v>
      </c>
      <c r="AK18" s="300">
        <v>0</v>
      </c>
      <c r="AL18" s="301">
        <f t="shared" si="19"/>
        <v>1370</v>
      </c>
      <c r="AM18" s="301">
        <f t="shared" si="20"/>
        <v>221</v>
      </c>
      <c r="AN18" s="301">
        <f>MAX(Y18+AF18+AG18+AH18+AK18,IF(ISERROR(VLOOKUP(CONCATENATE($B18,"t1"),Tasks!$B$4:$B$297,1,FALSE)),0,VLOOKUP(CONCATENATE($B18,"t1"),Tasks!$B$4:$T$297,19,FALSE)),IF(ISERROR(VLOOKUP(CONCATENATE($B18,"t2"),Tasks!$B$4:$B$297,1,FALSE)),0,VLOOKUP(CONCATENATE($B18,"t2"),Tasks!$B$4:$T$297,19,FALSE)),IF(ISERROR(VLOOKUP(CONCATENATE($B18,"t3"),Tasks!$B$4:$B$297,1,FALSE)),0,VLOOKUP(CONCATENATE($B18,"t3"),Tasks!$B$4:$T$297,19,FALSE)))</f>
        <v>20</v>
      </c>
      <c r="AO18">
        <f>MAX(VLOOKUP(AM18,Background!$A$3:$B$202,2),IF(ISERROR(VLOOKUP(CONCATENATE($B18,"t1"),Tasks!$B$4:$Z$297,22,FALSE)),1,VLOOKUP(CONCATENATE($B18,"t1"),Tasks!$B$4:$Z$297,22,FALSE)),IF(ISERROR(VLOOKUP(CONCATENATE($B18,"t2"),Tasks!$B$4:$Z$297,22,FALSE)),1,VLOOKUP(CONCATENATE($B18,"t2"),Tasks!$B$4:$Z$297,22,FALSE)),IF(ISERROR(VLOOKUP(CONCATENATE($B18,"t3"),Tasks!$B$4:$Z$297,22,FALSE)),1,VLOOKUP(CONCATENATE($B18,"t3"),Tasks!$B$4:$Z$297,22,FALSE)))</f>
        <v>4</v>
      </c>
      <c r="AP18" t="str">
        <f>IF(AO18&gt;VLOOKUP(AM18,Background!$A$3:$B$202,2),"Yes","No")</f>
        <v>No</v>
      </c>
      <c r="AQ18">
        <f t="shared" si="5"/>
        <v>950</v>
      </c>
      <c r="AR18">
        <f t="shared" si="6"/>
        <v>20</v>
      </c>
      <c r="AS18">
        <f t="shared" si="7"/>
        <v>10</v>
      </c>
    </row>
    <row r="19" spans="1:45">
      <c r="A19" s="221">
        <f t="shared" si="8"/>
        <v>16</v>
      </c>
      <c r="B19" s="220" t="s">
        <v>277</v>
      </c>
      <c r="C19" s="36" t="s">
        <v>429</v>
      </c>
      <c r="D19" s="37" t="s">
        <v>427</v>
      </c>
      <c r="E19" s="35" t="s">
        <v>426</v>
      </c>
      <c r="F19" s="218" t="s">
        <v>276</v>
      </c>
      <c r="G19" s="219" t="s">
        <v>104</v>
      </c>
      <c r="H19" s="219" t="s">
        <v>104</v>
      </c>
      <c r="I19" s="339" t="s">
        <v>104</v>
      </c>
      <c r="J19" s="76">
        <f t="shared" si="9"/>
        <v>4</v>
      </c>
      <c r="K19" s="218" t="s">
        <v>278</v>
      </c>
      <c r="L19" s="219"/>
      <c r="M19" s="220"/>
      <c r="N19" s="36">
        <v>11</v>
      </c>
      <c r="O19" s="37">
        <v>250</v>
      </c>
      <c r="P19" s="37"/>
      <c r="Q19" s="37"/>
      <c r="R19" s="69"/>
      <c r="S19" s="69"/>
      <c r="T19" s="37"/>
      <c r="U19" s="35"/>
      <c r="W19" s="300">
        <f>O19+IF(ISERROR(VLOOKUP(CONCATENATE($B19,"t1"),Tasks!$B$4:$Y$297,23,FALSE)),0,VLOOKUP(CONCATENATE($B19,"t1"),Tasks!$B$4:$Y$297,23,FALSE))+IF(ISERROR(VLOOKUP(CONCATENATE($B19,"t2"),Tasks!$B$4:$Y$297,23,FALSE)),0,VLOOKUP(CONCATENATE($B19,"t2"),Tasks!$B$4:$Y$297,23,FALSE))+IF(ISERROR(VLOOKUP(CONCATENATE($B19,"t3"),Tasks!$B$4:$Y$297,23,FALSE)),0,VLOOKUP(CONCATENATE($B19,"t3"),Tasks!$B$4:$Y$297,23,FALSE))</f>
        <v>260</v>
      </c>
      <c r="X19" s="300">
        <f>N19+IF(ISERROR(VLOOKUP(CONCATENATE($B19,"t1"),Tasks!$B$4:$Y$297,24,FALSE)),0,VLOOKUP(CONCATENATE($B19,"t1"),Tasks!$B$4:$Y$297,24,FALSE))+IF(ISERROR(VLOOKUP(CONCATENATE($B19,"t2"),Tasks!$B$4:$Y$297,24,FALSE)),0,VLOOKUP(CONCATENATE($B19,"t2"),Tasks!$B$4:$Y$297,24,FALSE))+IF(ISERROR(VLOOKUP(CONCATENATE($B19,"t3"),Tasks!$B$4:$Y$297,24,FALSE)),0,VLOOKUP(CONCATENATE($B19,"t3"),Tasks!$B$4:$Y$297,24,FALSE))</f>
        <v>12</v>
      </c>
      <c r="Y19" s="300">
        <f>IF(ISERROR(VLOOKUP(CONCATENATE($B19,"t1"),Tasks!$B$4:$AA$297,26,FALSE)),0,VLOOKUP(CONCATENATE($B19,"t1"),Tasks!$B$4:$AA$297,26,FALSE))+IF(ISERROR(VLOOKUP(CONCATENATE($B19,"t2"),Tasks!$B$4:$AA$297,26,FALSE)),0,VLOOKUP(CONCATENATE($B19,"t2"),Tasks!$B$4:$AA$297,26,FALSE))+IF(ISERROR(VLOOKUP(CONCATENATE($B19,"t3"),Tasks!$B$4:$AA$297,26,FALSE)),0,VLOOKUP(CONCATENATE($B19,"t3"),Tasks!$B$4:$AA$297,26,FALSE))</f>
        <v>0</v>
      </c>
      <c r="Z19" s="330">
        <f t="shared" si="10"/>
        <v>1370</v>
      </c>
      <c r="AA19" s="330">
        <f t="shared" si="11"/>
        <v>0</v>
      </c>
      <c r="AB19" s="330">
        <f t="shared" si="12"/>
        <v>0</v>
      </c>
      <c r="AC19" s="330">
        <f t="shared" si="13"/>
        <v>221</v>
      </c>
      <c r="AD19" s="330">
        <f t="shared" si="14"/>
        <v>0</v>
      </c>
      <c r="AE19" s="330">
        <f t="shared" si="15"/>
        <v>0</v>
      </c>
      <c r="AF19" s="330">
        <f t="shared" si="16"/>
        <v>20</v>
      </c>
      <c r="AG19" s="330">
        <f t="shared" si="17"/>
        <v>0</v>
      </c>
      <c r="AH19" s="330">
        <f t="shared" si="18"/>
        <v>0</v>
      </c>
      <c r="AI19" s="300">
        <v>0</v>
      </c>
      <c r="AJ19" s="300">
        <v>0</v>
      </c>
      <c r="AK19" s="300">
        <v>0</v>
      </c>
      <c r="AL19" s="301">
        <f t="shared" si="19"/>
        <v>1630</v>
      </c>
      <c r="AM19" s="301">
        <f t="shared" si="20"/>
        <v>233</v>
      </c>
      <c r="AN19" s="301">
        <f>MAX(Y19+AF19+AG19+AH19+AK19,IF(ISERROR(VLOOKUP(CONCATENATE($B19,"t1"),Tasks!$B$4:$B$297,1,FALSE)),0,VLOOKUP(CONCATENATE($B19,"t1"),Tasks!$B$4:$T$297,19,FALSE)),IF(ISERROR(VLOOKUP(CONCATENATE($B19,"t2"),Tasks!$B$4:$B$297,1,FALSE)),0,VLOOKUP(CONCATENATE($B19,"t2"),Tasks!$B$4:$T$297,19,FALSE)),IF(ISERROR(VLOOKUP(CONCATENATE($B19,"t3"),Tasks!$B$4:$B$297,1,FALSE)),0,VLOOKUP(CONCATENATE($B19,"t3"),Tasks!$B$4:$T$297,19,FALSE)))</f>
        <v>20</v>
      </c>
      <c r="AO19">
        <f>MAX(VLOOKUP(AM19,Background!$A$3:$B$202,2),IF(ISERROR(VLOOKUP(CONCATENATE($B19,"t1"),Tasks!$B$4:$Z$297,22,FALSE)),1,VLOOKUP(CONCATENATE($B19,"t1"),Tasks!$B$4:$Z$297,22,FALSE)),IF(ISERROR(VLOOKUP(CONCATENATE($B19,"t2"),Tasks!$B$4:$Z$297,22,FALSE)),1,VLOOKUP(CONCATENATE($B19,"t2"),Tasks!$B$4:$Z$297,22,FALSE)),IF(ISERROR(VLOOKUP(CONCATENATE($B19,"t3"),Tasks!$B$4:$Z$297,22,FALSE)),1,VLOOKUP(CONCATENATE($B19,"t3"),Tasks!$B$4:$Z$297,22,FALSE)))</f>
        <v>4</v>
      </c>
      <c r="AP19" t="str">
        <f>IF(AO19&gt;VLOOKUP(AM19,Background!$A$3:$B$202,2),"Yes","No")</f>
        <v>No</v>
      </c>
      <c r="AQ19">
        <f t="shared" si="5"/>
        <v>1200</v>
      </c>
      <c r="AR19">
        <f t="shared" si="6"/>
        <v>31</v>
      </c>
      <c r="AS19">
        <f t="shared" si="7"/>
        <v>10</v>
      </c>
    </row>
    <row r="20" spans="1:45">
      <c r="A20" s="221">
        <f t="shared" si="8"/>
        <v>17</v>
      </c>
      <c r="B20" s="220" t="s">
        <v>278</v>
      </c>
      <c r="C20" s="36" t="s">
        <v>429</v>
      </c>
      <c r="D20" s="37" t="s">
        <v>427</v>
      </c>
      <c r="E20" s="35" t="s">
        <v>426</v>
      </c>
      <c r="F20" s="218" t="s">
        <v>277</v>
      </c>
      <c r="G20" s="219" t="s">
        <v>104</v>
      </c>
      <c r="H20" s="219" t="s">
        <v>104</v>
      </c>
      <c r="I20" s="339" t="s">
        <v>104</v>
      </c>
      <c r="J20" s="76">
        <f t="shared" si="9"/>
        <v>4</v>
      </c>
      <c r="K20" s="218" t="s">
        <v>279</v>
      </c>
      <c r="L20" s="219"/>
      <c r="M20" s="220"/>
      <c r="N20" s="36">
        <v>21</v>
      </c>
      <c r="O20" s="37">
        <v>200</v>
      </c>
      <c r="P20" s="37"/>
      <c r="Q20" s="37"/>
      <c r="R20" s="69"/>
      <c r="S20" s="69"/>
      <c r="T20" s="37"/>
      <c r="U20" s="35"/>
      <c r="W20" s="300">
        <f>O20+IF(ISERROR(VLOOKUP(CONCATENATE($B20,"t1"),Tasks!$B$4:$Y$297,23,FALSE)),0,VLOOKUP(CONCATENATE($B20,"t1"),Tasks!$B$4:$Y$297,23,FALSE))+IF(ISERROR(VLOOKUP(CONCATENATE($B20,"t2"),Tasks!$B$4:$Y$297,23,FALSE)),0,VLOOKUP(CONCATENATE($B20,"t2"),Tasks!$B$4:$Y$297,23,FALSE))+IF(ISERROR(VLOOKUP(CONCATENATE($B20,"t3"),Tasks!$B$4:$Y$297,23,FALSE)),0,VLOOKUP(CONCATENATE($B20,"t3"),Tasks!$B$4:$Y$297,23,FALSE))</f>
        <v>230</v>
      </c>
      <c r="X20" s="300">
        <f>N20+IF(ISERROR(VLOOKUP(CONCATENATE($B20,"t1"),Tasks!$B$4:$Y$297,24,FALSE)),0,VLOOKUP(CONCATENATE($B20,"t1"),Tasks!$B$4:$Y$297,24,FALSE))+IF(ISERROR(VLOOKUP(CONCATENATE($B20,"t2"),Tasks!$B$4:$Y$297,24,FALSE)),0,VLOOKUP(CONCATENATE($B20,"t2"),Tasks!$B$4:$Y$297,24,FALSE))+IF(ISERROR(VLOOKUP(CONCATENATE($B20,"t3"),Tasks!$B$4:$Y$297,24,FALSE)),0,VLOOKUP(CONCATENATE($B20,"t3"),Tasks!$B$4:$Y$297,24,FALSE))</f>
        <v>21</v>
      </c>
      <c r="Y20" s="300">
        <f>IF(ISERROR(VLOOKUP(CONCATENATE($B20,"t1"),Tasks!$B$4:$AA$297,26,FALSE)),0,VLOOKUP(CONCATENATE($B20,"t1"),Tasks!$B$4:$AA$297,26,FALSE))+IF(ISERROR(VLOOKUP(CONCATENATE($B20,"t2"),Tasks!$B$4:$AA$297,26,FALSE)),0,VLOOKUP(CONCATENATE($B20,"t2"),Tasks!$B$4:$AA$297,26,FALSE))+IF(ISERROR(VLOOKUP(CONCATENATE($B20,"t3"),Tasks!$B$4:$AA$297,26,FALSE)),0,VLOOKUP(CONCATENATE($B20,"t3"),Tasks!$B$4:$AA$297,26,FALSE))</f>
        <v>0</v>
      </c>
      <c r="Z20" s="330">
        <f t="shared" si="10"/>
        <v>1630</v>
      </c>
      <c r="AA20" s="330">
        <f t="shared" si="11"/>
        <v>0</v>
      </c>
      <c r="AB20" s="330">
        <f t="shared" si="12"/>
        <v>0</v>
      </c>
      <c r="AC20" s="330">
        <f t="shared" si="13"/>
        <v>233</v>
      </c>
      <c r="AD20" s="330">
        <f t="shared" si="14"/>
        <v>0</v>
      </c>
      <c r="AE20" s="330">
        <f t="shared" si="15"/>
        <v>0</v>
      </c>
      <c r="AF20" s="330">
        <f t="shared" si="16"/>
        <v>20</v>
      </c>
      <c r="AG20" s="330">
        <f t="shared" si="17"/>
        <v>0</v>
      </c>
      <c r="AH20" s="330">
        <f t="shared" si="18"/>
        <v>0</v>
      </c>
      <c r="AI20" s="300">
        <v>0</v>
      </c>
      <c r="AJ20" s="300">
        <v>0</v>
      </c>
      <c r="AK20" s="300">
        <v>0</v>
      </c>
      <c r="AL20" s="301">
        <f t="shared" si="19"/>
        <v>1860</v>
      </c>
      <c r="AM20" s="301">
        <f t="shared" si="20"/>
        <v>254</v>
      </c>
      <c r="AN20" s="301">
        <f>MAX(Y20+AF20+AG20+AH20+AK20,IF(ISERROR(VLOOKUP(CONCATENATE($B20,"t1"),Tasks!$B$4:$B$297,1,FALSE)),0,VLOOKUP(CONCATENATE($B20,"t1"),Tasks!$B$4:$T$297,19,FALSE)),IF(ISERROR(VLOOKUP(CONCATENATE($B20,"t2"),Tasks!$B$4:$B$297,1,FALSE)),0,VLOOKUP(CONCATENATE($B20,"t2"),Tasks!$B$4:$T$297,19,FALSE)),IF(ISERROR(VLOOKUP(CONCATENATE($B20,"t3"),Tasks!$B$4:$B$297,1,FALSE)),0,VLOOKUP(CONCATENATE($B20,"t3"),Tasks!$B$4:$T$297,19,FALSE)))</f>
        <v>45</v>
      </c>
      <c r="AO20">
        <f>MAX(VLOOKUP(AM20,Background!$A$3:$B$202,2),IF(ISERROR(VLOOKUP(CONCATENATE($B20,"t1"),Tasks!$B$4:$Z$297,22,FALSE)),1,VLOOKUP(CONCATENATE($B20,"t1"),Tasks!$B$4:$Z$297,22,FALSE)),IF(ISERROR(VLOOKUP(CONCATENATE($B20,"t2"),Tasks!$B$4:$Z$297,22,FALSE)),1,VLOOKUP(CONCATENATE($B20,"t2"),Tasks!$B$4:$Z$297,22,FALSE)),IF(ISERROR(VLOOKUP(CONCATENATE($B20,"t3"),Tasks!$B$4:$Z$297,22,FALSE)),1,VLOOKUP(CONCATENATE($B20,"t3"),Tasks!$B$4:$Z$297,22,FALSE)))</f>
        <v>4</v>
      </c>
      <c r="AP20" t="str">
        <f>IF(AO20&gt;VLOOKUP(AM20,Background!$A$3:$B$202,2),"Yes","No")</f>
        <v>No</v>
      </c>
      <c r="AQ20">
        <f t="shared" si="5"/>
        <v>1400</v>
      </c>
      <c r="AR20">
        <f t="shared" si="6"/>
        <v>52</v>
      </c>
      <c r="AS20">
        <f t="shared" si="7"/>
        <v>10</v>
      </c>
    </row>
    <row r="21" spans="1:45">
      <c r="A21" s="221">
        <f t="shared" si="8"/>
        <v>18</v>
      </c>
      <c r="B21" s="299" t="s">
        <v>279</v>
      </c>
      <c r="C21" s="36" t="s">
        <v>429</v>
      </c>
      <c r="D21" s="37" t="s">
        <v>427</v>
      </c>
      <c r="E21" s="35" t="s">
        <v>426</v>
      </c>
      <c r="F21" s="297" t="s">
        <v>278</v>
      </c>
      <c r="G21" s="298" t="s">
        <v>104</v>
      </c>
      <c r="H21" s="298" t="s">
        <v>104</v>
      </c>
      <c r="I21" s="339" t="s">
        <v>104</v>
      </c>
      <c r="J21" s="76">
        <f t="shared" si="9"/>
        <v>4</v>
      </c>
      <c r="K21" s="297"/>
      <c r="L21" s="298"/>
      <c r="M21" s="299"/>
      <c r="N21" s="36">
        <v>28</v>
      </c>
      <c r="O21" s="37"/>
      <c r="P21" s="37">
        <v>3</v>
      </c>
      <c r="Q21" s="37"/>
      <c r="R21" s="69"/>
      <c r="S21" s="69"/>
      <c r="T21" s="37"/>
      <c r="U21" s="35"/>
      <c r="W21" s="300">
        <f>O21+IF(ISERROR(VLOOKUP(CONCATENATE($B21,"t1"),Tasks!$B$4:$Y$297,23,FALSE)),0,VLOOKUP(CONCATENATE($B21,"t1"),Tasks!$B$4:$Y$297,23,FALSE))+IF(ISERROR(VLOOKUP(CONCATENATE($B21,"t2"),Tasks!$B$4:$Y$297,23,FALSE)),0,VLOOKUP(CONCATENATE($B21,"t2"),Tasks!$B$4:$Y$297,23,FALSE))+IF(ISERROR(VLOOKUP(CONCATENATE($B21,"t3"),Tasks!$B$4:$Y$297,23,FALSE)),0,VLOOKUP(CONCATENATE($B21,"t3"),Tasks!$B$4:$Y$297,23,FALSE))</f>
        <v>-2400</v>
      </c>
      <c r="X21" s="300">
        <f>N21+IF(ISERROR(VLOOKUP(CONCATENATE($B21,"t1"),Tasks!$B$4:$Y$297,24,FALSE)),0,VLOOKUP(CONCATENATE($B21,"t1"),Tasks!$B$4:$Y$297,24,FALSE))+IF(ISERROR(VLOOKUP(CONCATENATE($B21,"t2"),Tasks!$B$4:$Y$297,24,FALSE)),0,VLOOKUP(CONCATENATE($B21,"t2"),Tasks!$B$4:$Y$297,24,FALSE))+IF(ISERROR(VLOOKUP(CONCATENATE($B21,"t3"),Tasks!$B$4:$Y$297,24,FALSE)),0,VLOOKUP(CONCATENATE($B21,"t3"),Tasks!$B$4:$Y$297,24,FALSE))</f>
        <v>78</v>
      </c>
      <c r="Y21" s="300">
        <f>IF(ISERROR(VLOOKUP(CONCATENATE($B21,"t1"),Tasks!$B$4:$AA$297,26,FALSE)),0,VLOOKUP(CONCATENATE($B21,"t1"),Tasks!$B$4:$AA$297,26,FALSE))+IF(ISERROR(VLOOKUP(CONCATENATE($B21,"t2"),Tasks!$B$4:$AA$297,26,FALSE)),0,VLOOKUP(CONCATENATE($B21,"t2"),Tasks!$B$4:$AA$297,26,FALSE))+IF(ISERROR(VLOOKUP(CONCATENATE($B21,"t3"),Tasks!$B$4:$AA$297,26,FALSE)),0,VLOOKUP(CONCATENATE($B21,"t3"),Tasks!$B$4:$AA$297,26,FALSE))</f>
        <v>0</v>
      </c>
      <c r="Z21" s="330">
        <f t="shared" si="10"/>
        <v>1860</v>
      </c>
      <c r="AA21" s="330">
        <f t="shared" si="11"/>
        <v>0</v>
      </c>
      <c r="AB21" s="330">
        <f t="shared" si="12"/>
        <v>0</v>
      </c>
      <c r="AC21" s="330">
        <f t="shared" si="13"/>
        <v>254</v>
      </c>
      <c r="AD21" s="330">
        <f t="shared" si="14"/>
        <v>0</v>
      </c>
      <c r="AE21" s="330">
        <f t="shared" si="15"/>
        <v>0</v>
      </c>
      <c r="AF21" s="330">
        <f t="shared" si="16"/>
        <v>45</v>
      </c>
      <c r="AG21" s="330">
        <f t="shared" si="17"/>
        <v>0</v>
      </c>
      <c r="AH21" s="330">
        <f t="shared" si="18"/>
        <v>0</v>
      </c>
      <c r="AI21" s="300">
        <v>0</v>
      </c>
      <c r="AJ21" s="300">
        <v>0</v>
      </c>
      <c r="AK21" s="300">
        <v>0</v>
      </c>
      <c r="AL21" s="301">
        <f>W21+Z21+AA21+AB21+AI21</f>
        <v>-540</v>
      </c>
      <c r="AM21" s="301">
        <f>X21+AC21+AD21+AE21+AJ21</f>
        <v>332</v>
      </c>
      <c r="AN21" s="301">
        <f>MAX(Y21+AF21+AG21+AH21+AK21,IF(ISERROR(VLOOKUP(CONCATENATE($B21,"t1"),Tasks!$B$4:$B$297,1,FALSE)),0,VLOOKUP(CONCATENATE($B21,"t1"),Tasks!$B$4:$T$297,19,FALSE)),IF(ISERROR(VLOOKUP(CONCATENATE($B21,"t2"),Tasks!$B$4:$B$297,1,FALSE)),0,VLOOKUP(CONCATENATE($B21,"t2"),Tasks!$B$4:$T$297,19,FALSE)),IF(ISERROR(VLOOKUP(CONCATENATE($B21,"t3"),Tasks!$B$4:$B$297,1,FALSE)),0,VLOOKUP(CONCATENATE($B21,"t3"),Tasks!$B$4:$T$297,19,FALSE)))</f>
        <v>45</v>
      </c>
      <c r="AO21">
        <f>MAX(VLOOKUP(AM21,Background!$A$3:$B$202,2),IF(ISERROR(VLOOKUP(CONCATENATE($B21,"t1"),Tasks!$B$4:$Z$297,22,FALSE)),1,VLOOKUP(CONCATENATE($B21,"t1"),Tasks!$B$4:$Z$297,22,FALSE)),IF(ISERROR(VLOOKUP(CONCATENATE($B21,"t2"),Tasks!$B$4:$Z$297,22,FALSE)),1,VLOOKUP(CONCATENATE($B21,"t2"),Tasks!$B$4:$Z$297,22,FALSE)),IF(ISERROR(VLOOKUP(CONCATENATE($B21,"t3"),Tasks!$B$4:$Z$297,22,FALSE)),1,VLOOKUP(CONCATENATE($B21,"t3"),Tasks!$B$4:$Z$297,22,FALSE)))</f>
        <v>5</v>
      </c>
      <c r="AP21" t="str">
        <f>IF(AO21&gt;VLOOKUP(AM21,Background!$A$3:$B$202,2),"Yes","No")</f>
        <v>No</v>
      </c>
      <c r="AQ21">
        <f t="shared" si="5"/>
        <v>0</v>
      </c>
      <c r="AR21">
        <f t="shared" si="6"/>
        <v>80</v>
      </c>
      <c r="AS21">
        <f t="shared" si="7"/>
        <v>13</v>
      </c>
    </row>
    <row r="22" spans="1:45">
      <c r="A22" s="221">
        <f t="shared" si="8"/>
        <v>19</v>
      </c>
      <c r="B22" s="43"/>
      <c r="C22" s="36"/>
      <c r="D22" s="37"/>
      <c r="E22" s="35"/>
      <c r="F22" s="41"/>
      <c r="G22" s="42"/>
      <c r="H22" s="42"/>
      <c r="I22" s="42"/>
      <c r="J22" s="35"/>
      <c r="K22" s="41"/>
      <c r="L22" s="42"/>
      <c r="M22" s="43"/>
      <c r="N22" s="36"/>
      <c r="O22" s="37"/>
      <c r="P22" s="37"/>
      <c r="Q22" s="37"/>
      <c r="R22" s="69"/>
      <c r="S22" s="69"/>
      <c r="T22" s="37"/>
      <c r="U22" s="35"/>
    </row>
    <row r="23" spans="1:45">
      <c r="A23" s="221">
        <f t="shared" si="8"/>
        <v>20</v>
      </c>
      <c r="B23" s="43"/>
      <c r="C23" s="36"/>
      <c r="D23" s="37"/>
      <c r="E23" s="35"/>
      <c r="F23" s="41"/>
      <c r="G23" s="42"/>
      <c r="H23" s="42"/>
      <c r="I23" s="42"/>
      <c r="J23" s="35"/>
      <c r="K23" s="41"/>
      <c r="L23" s="42"/>
      <c r="M23" s="43"/>
      <c r="N23" s="36"/>
      <c r="O23" s="37"/>
      <c r="P23" s="37"/>
      <c r="Q23" s="37"/>
      <c r="R23" s="69"/>
      <c r="S23" s="69"/>
      <c r="T23" s="37"/>
      <c r="U23" s="35"/>
    </row>
    <row r="24" spans="1:45">
      <c r="A24" s="221">
        <f t="shared" si="8"/>
        <v>21</v>
      </c>
      <c r="B24" s="43"/>
      <c r="C24" s="36"/>
      <c r="D24" s="37"/>
      <c r="E24" s="35"/>
      <c r="F24" s="41"/>
      <c r="G24" s="42"/>
      <c r="H24" s="42"/>
      <c r="I24" s="42"/>
      <c r="J24" s="35"/>
      <c r="K24" s="41"/>
      <c r="L24" s="42"/>
      <c r="M24" s="43"/>
      <c r="N24" s="36"/>
      <c r="O24" s="37"/>
      <c r="P24" s="37"/>
      <c r="Q24" s="37"/>
      <c r="R24" s="69"/>
      <c r="S24" s="69"/>
      <c r="T24" s="37"/>
      <c r="U24" s="35"/>
    </row>
    <row r="25" spans="1:45">
      <c r="A25" s="221">
        <f t="shared" si="8"/>
        <v>22</v>
      </c>
      <c r="B25" s="43"/>
      <c r="C25" s="36"/>
      <c r="D25" s="37"/>
      <c r="E25" s="35"/>
      <c r="F25" s="41"/>
      <c r="G25" s="42"/>
      <c r="H25" s="42"/>
      <c r="I25" s="42"/>
      <c r="J25" s="35"/>
      <c r="K25" s="41"/>
      <c r="L25" s="42"/>
      <c r="M25" s="43"/>
      <c r="N25" s="36"/>
      <c r="O25" s="37"/>
      <c r="P25" s="37"/>
      <c r="Q25" s="37"/>
      <c r="R25" s="69"/>
      <c r="S25" s="69"/>
      <c r="T25" s="37"/>
      <c r="U25" s="35"/>
    </row>
    <row r="26" spans="1:45">
      <c r="A26" s="221">
        <f t="shared" si="8"/>
        <v>23</v>
      </c>
      <c r="B26" s="43"/>
      <c r="C26" s="36"/>
      <c r="D26" s="37"/>
      <c r="E26" s="35"/>
      <c r="F26" s="41"/>
      <c r="G26" s="42"/>
      <c r="H26" s="42"/>
      <c r="I26" s="42"/>
      <c r="J26" s="35"/>
      <c r="K26" s="41"/>
      <c r="L26" s="42"/>
      <c r="M26" s="43"/>
      <c r="N26" s="36"/>
      <c r="O26" s="37"/>
      <c r="P26" s="37"/>
      <c r="Q26" s="37"/>
      <c r="R26" s="69"/>
      <c r="S26" s="69"/>
      <c r="T26" s="37"/>
      <c r="U26" s="35"/>
    </row>
    <row r="27" spans="1:45">
      <c r="A27" s="221">
        <f t="shared" si="8"/>
        <v>24</v>
      </c>
      <c r="B27" s="43"/>
      <c r="C27" s="36"/>
      <c r="D27" s="37"/>
      <c r="E27" s="35"/>
      <c r="F27" s="41"/>
      <c r="G27" s="42"/>
      <c r="H27" s="42"/>
      <c r="I27" s="42"/>
      <c r="J27" s="35"/>
      <c r="K27" s="41"/>
      <c r="L27" s="42"/>
      <c r="M27" s="43"/>
      <c r="N27" s="36"/>
      <c r="O27" s="37"/>
      <c r="P27" s="37"/>
      <c r="Q27" s="37"/>
      <c r="R27" s="69"/>
      <c r="S27" s="69"/>
      <c r="T27" s="37"/>
      <c r="U27" s="35"/>
    </row>
    <row r="28" spans="1:45">
      <c r="A28" s="221">
        <f t="shared" si="8"/>
        <v>25</v>
      </c>
      <c r="B28" s="43"/>
      <c r="C28" s="36"/>
      <c r="D28" s="37"/>
      <c r="E28" s="35"/>
      <c r="F28" s="41"/>
      <c r="G28" s="42"/>
      <c r="H28" s="42"/>
      <c r="I28" s="42"/>
      <c r="J28" s="35"/>
      <c r="K28" s="41"/>
      <c r="L28" s="42"/>
      <c r="M28" s="43"/>
      <c r="N28" s="36"/>
      <c r="O28" s="37"/>
      <c r="P28" s="37"/>
      <c r="Q28" s="37"/>
      <c r="R28" s="69"/>
      <c r="S28" s="69"/>
      <c r="T28" s="37"/>
      <c r="U28" s="35"/>
    </row>
    <row r="29" spans="1:45">
      <c r="A29" s="221">
        <f t="shared" si="8"/>
        <v>26</v>
      </c>
      <c r="B29" s="43"/>
      <c r="C29" s="36"/>
      <c r="D29" s="37"/>
      <c r="E29" s="35"/>
      <c r="F29" s="41"/>
      <c r="G29" s="42"/>
      <c r="H29" s="42"/>
      <c r="I29" s="42"/>
      <c r="J29" s="35"/>
      <c r="K29" s="41"/>
      <c r="L29" s="42"/>
      <c r="M29" s="43"/>
      <c r="N29" s="36"/>
      <c r="O29" s="37"/>
      <c r="P29" s="37"/>
      <c r="Q29" s="37"/>
      <c r="R29" s="69"/>
      <c r="S29" s="69"/>
      <c r="T29" s="37"/>
      <c r="U29" s="35"/>
    </row>
    <row r="30" spans="1:45">
      <c r="A30" s="221">
        <f t="shared" si="8"/>
        <v>27</v>
      </c>
      <c r="B30" s="43"/>
      <c r="C30" s="36"/>
      <c r="D30" s="37"/>
      <c r="E30" s="35"/>
      <c r="F30" s="41"/>
      <c r="G30" s="42"/>
      <c r="H30" s="42"/>
      <c r="I30" s="42"/>
      <c r="J30" s="35"/>
      <c r="K30" s="41"/>
      <c r="L30" s="42"/>
      <c r="M30" s="43"/>
      <c r="N30" s="36"/>
      <c r="O30" s="37"/>
      <c r="P30" s="37"/>
      <c r="Q30" s="37"/>
      <c r="R30" s="69"/>
      <c r="S30" s="69"/>
      <c r="T30" s="37"/>
      <c r="U30" s="35"/>
    </row>
    <row r="31" spans="1:45">
      <c r="A31" s="221">
        <f t="shared" si="8"/>
        <v>28</v>
      </c>
      <c r="B31" s="43"/>
      <c r="C31" s="36"/>
      <c r="D31" s="37"/>
      <c r="E31" s="35"/>
      <c r="F31" s="41"/>
      <c r="G31" s="42"/>
      <c r="H31" s="42"/>
      <c r="I31" s="42"/>
      <c r="J31" s="35"/>
      <c r="K31" s="41"/>
      <c r="L31" s="42"/>
      <c r="M31" s="43"/>
      <c r="N31" s="36"/>
      <c r="O31" s="37"/>
      <c r="P31" s="37"/>
      <c r="Q31" s="37"/>
      <c r="R31" s="69"/>
      <c r="S31" s="69"/>
      <c r="T31" s="37"/>
      <c r="U31" s="35"/>
    </row>
    <row r="32" spans="1:45">
      <c r="A32" s="221">
        <f t="shared" si="8"/>
        <v>29</v>
      </c>
      <c r="B32" s="43"/>
      <c r="C32" s="36"/>
      <c r="D32" s="37"/>
      <c r="E32" s="35"/>
      <c r="F32" s="41"/>
      <c r="G32" s="42"/>
      <c r="H32" s="42"/>
      <c r="I32" s="42"/>
      <c r="J32" s="35"/>
      <c r="K32" s="41"/>
      <c r="L32" s="42"/>
      <c r="M32" s="43"/>
      <c r="N32" s="36"/>
      <c r="O32" s="37"/>
      <c r="P32" s="37"/>
      <c r="Q32" s="37"/>
      <c r="R32" s="69"/>
      <c r="S32" s="69"/>
      <c r="T32" s="37"/>
      <c r="U32" s="35"/>
    </row>
    <row r="33" spans="1:21">
      <c r="A33" s="221">
        <f t="shared" si="8"/>
        <v>30</v>
      </c>
      <c r="B33" s="43"/>
      <c r="C33" s="36"/>
      <c r="D33" s="37"/>
      <c r="E33" s="35"/>
      <c r="F33" s="41"/>
      <c r="G33" s="42"/>
      <c r="H33" s="42"/>
      <c r="I33" s="42"/>
      <c r="J33" s="35"/>
      <c r="K33" s="41"/>
      <c r="L33" s="42"/>
      <c r="M33" s="43"/>
      <c r="N33" s="36"/>
      <c r="O33" s="37"/>
      <c r="P33" s="37"/>
      <c r="Q33" s="37"/>
      <c r="R33" s="69"/>
      <c r="S33" s="69"/>
      <c r="T33" s="37"/>
      <c r="U33" s="35"/>
    </row>
    <row r="34" spans="1:21">
      <c r="A34" s="221">
        <f t="shared" si="8"/>
        <v>31</v>
      </c>
      <c r="B34" s="43"/>
      <c r="C34" s="36"/>
      <c r="D34" s="37"/>
      <c r="E34" s="35"/>
      <c r="F34" s="41"/>
      <c r="G34" s="42"/>
      <c r="H34" s="42"/>
      <c r="I34" s="42"/>
      <c r="J34" s="35"/>
      <c r="K34" s="41"/>
      <c r="L34" s="42"/>
      <c r="M34" s="43"/>
      <c r="N34" s="36"/>
      <c r="O34" s="37"/>
      <c r="P34" s="37"/>
      <c r="Q34" s="37"/>
      <c r="R34" s="69"/>
      <c r="S34" s="69"/>
      <c r="T34" s="37"/>
      <c r="U34" s="35"/>
    </row>
    <row r="35" spans="1:21">
      <c r="A35" s="221">
        <f t="shared" si="8"/>
        <v>32</v>
      </c>
      <c r="B35" s="43"/>
      <c r="C35" s="36"/>
      <c r="D35" s="37"/>
      <c r="E35" s="35"/>
      <c r="F35" s="41"/>
      <c r="G35" s="42"/>
      <c r="H35" s="42"/>
      <c r="I35" s="42"/>
      <c r="J35" s="35"/>
      <c r="K35" s="41"/>
      <c r="L35" s="42"/>
      <c r="M35" s="43"/>
      <c r="N35" s="36"/>
      <c r="O35" s="37"/>
      <c r="P35" s="37"/>
      <c r="Q35" s="37"/>
      <c r="R35" s="69"/>
      <c r="S35" s="69"/>
      <c r="T35" s="37"/>
      <c r="U35" s="35"/>
    </row>
    <row r="36" spans="1:21">
      <c r="A36" s="221">
        <f t="shared" si="8"/>
        <v>33</v>
      </c>
      <c r="B36" s="43"/>
      <c r="C36" s="36"/>
      <c r="D36" s="37"/>
      <c r="E36" s="35"/>
      <c r="F36" s="41"/>
      <c r="G36" s="42"/>
      <c r="H36" s="42"/>
      <c r="I36" s="42"/>
      <c r="J36" s="35"/>
      <c r="K36" s="41"/>
      <c r="L36" s="42"/>
      <c r="M36" s="43"/>
      <c r="N36" s="36"/>
      <c r="O36" s="37"/>
      <c r="P36" s="37"/>
      <c r="Q36" s="37"/>
      <c r="R36" s="69"/>
      <c r="S36" s="69"/>
      <c r="T36" s="37"/>
      <c r="U36" s="35"/>
    </row>
    <row r="37" spans="1:21">
      <c r="A37" s="221">
        <f t="shared" si="8"/>
        <v>34</v>
      </c>
      <c r="B37" s="43"/>
      <c r="C37" s="36"/>
      <c r="D37" s="37"/>
      <c r="E37" s="35"/>
      <c r="F37" s="41"/>
      <c r="G37" s="42"/>
      <c r="H37" s="42"/>
      <c r="I37" s="42"/>
      <c r="J37" s="35"/>
      <c r="K37" s="41"/>
      <c r="L37" s="42"/>
      <c r="M37" s="43"/>
      <c r="N37" s="36"/>
      <c r="O37" s="37"/>
      <c r="P37" s="37"/>
      <c r="Q37" s="37"/>
      <c r="R37" s="69"/>
      <c r="S37" s="69"/>
      <c r="T37" s="37"/>
      <c r="U37" s="35"/>
    </row>
    <row r="38" spans="1:21">
      <c r="A38" s="221">
        <f t="shared" si="8"/>
        <v>35</v>
      </c>
      <c r="B38" s="43"/>
      <c r="C38" s="36"/>
      <c r="D38" s="37"/>
      <c r="E38" s="35"/>
      <c r="F38" s="41"/>
      <c r="G38" s="42"/>
      <c r="H38" s="42"/>
      <c r="I38" s="42"/>
      <c r="J38" s="35"/>
      <c r="K38" s="41"/>
      <c r="L38" s="42"/>
      <c r="M38" s="43"/>
      <c r="N38" s="36"/>
      <c r="O38" s="37"/>
      <c r="P38" s="37"/>
      <c r="Q38" s="37"/>
      <c r="R38" s="69"/>
      <c r="S38" s="69"/>
      <c r="T38" s="37"/>
      <c r="U38" s="35"/>
    </row>
    <row r="39" spans="1:21">
      <c r="A39" s="221">
        <f t="shared" si="8"/>
        <v>36</v>
      </c>
      <c r="B39" s="43"/>
      <c r="C39" s="36"/>
      <c r="D39" s="37"/>
      <c r="E39" s="35"/>
      <c r="F39" s="41"/>
      <c r="G39" s="42"/>
      <c r="H39" s="42"/>
      <c r="I39" s="42"/>
      <c r="J39" s="35"/>
      <c r="K39" s="41"/>
      <c r="L39" s="42"/>
      <c r="M39" s="43"/>
      <c r="N39" s="36"/>
      <c r="O39" s="37"/>
      <c r="P39" s="37"/>
      <c r="Q39" s="37"/>
      <c r="R39" s="69"/>
      <c r="S39" s="69"/>
      <c r="T39" s="37"/>
      <c r="U39" s="35"/>
    </row>
    <row r="40" spans="1:21">
      <c r="A40" s="221">
        <f t="shared" si="8"/>
        <v>37</v>
      </c>
      <c r="B40" s="43"/>
      <c r="C40" s="36"/>
      <c r="D40" s="37"/>
      <c r="E40" s="35"/>
      <c r="F40" s="41"/>
      <c r="G40" s="42"/>
      <c r="H40" s="42"/>
      <c r="I40" s="42"/>
      <c r="J40" s="35"/>
      <c r="K40" s="41"/>
      <c r="L40" s="42"/>
      <c r="M40" s="43"/>
      <c r="N40" s="36"/>
      <c r="O40" s="37"/>
      <c r="P40" s="37"/>
      <c r="Q40" s="37"/>
      <c r="R40" s="69"/>
      <c r="S40" s="69"/>
      <c r="T40" s="37"/>
      <c r="U40" s="35"/>
    </row>
    <row r="41" spans="1:21">
      <c r="A41" s="221">
        <f t="shared" si="8"/>
        <v>38</v>
      </c>
      <c r="B41" s="43"/>
      <c r="C41" s="36"/>
      <c r="D41" s="37"/>
      <c r="E41" s="35"/>
      <c r="F41" s="41"/>
      <c r="G41" s="42"/>
      <c r="H41" s="42"/>
      <c r="I41" s="42"/>
      <c r="J41" s="35"/>
      <c r="K41" s="41"/>
      <c r="L41" s="42"/>
      <c r="M41" s="43"/>
      <c r="N41" s="36"/>
      <c r="O41" s="37"/>
      <c r="P41" s="37"/>
      <c r="Q41" s="37"/>
      <c r="R41" s="69"/>
      <c r="S41" s="69"/>
      <c r="T41" s="37"/>
      <c r="U41" s="35"/>
    </row>
    <row r="42" spans="1:21">
      <c r="A42" s="221">
        <f t="shared" si="8"/>
        <v>39</v>
      </c>
      <c r="B42" s="43"/>
      <c r="C42" s="36"/>
      <c r="D42" s="37"/>
      <c r="E42" s="35"/>
      <c r="F42" s="41"/>
      <c r="G42" s="42"/>
      <c r="H42" s="42"/>
      <c r="I42" s="42"/>
      <c r="J42" s="35"/>
      <c r="K42" s="41"/>
      <c r="L42" s="42"/>
      <c r="M42" s="43"/>
      <c r="N42" s="36"/>
      <c r="O42" s="37"/>
      <c r="P42" s="37"/>
      <c r="Q42" s="37"/>
      <c r="R42" s="69"/>
      <c r="S42" s="69"/>
      <c r="T42" s="37"/>
      <c r="U42" s="35"/>
    </row>
    <row r="43" spans="1:21">
      <c r="A43" s="221">
        <f t="shared" si="8"/>
        <v>40</v>
      </c>
      <c r="B43" s="43"/>
      <c r="C43" s="36"/>
      <c r="D43" s="37"/>
      <c r="E43" s="35"/>
      <c r="F43" s="41"/>
      <c r="G43" s="42"/>
      <c r="H43" s="42"/>
      <c r="I43" s="42"/>
      <c r="J43" s="35"/>
      <c r="K43" s="41"/>
      <c r="L43" s="42"/>
      <c r="M43" s="43"/>
      <c r="N43" s="36"/>
      <c r="O43" s="37"/>
      <c r="P43" s="37"/>
      <c r="Q43" s="37"/>
      <c r="R43" s="69"/>
      <c r="S43" s="69"/>
      <c r="T43" s="37"/>
      <c r="U43" s="35"/>
    </row>
    <row r="44" spans="1:21">
      <c r="A44" s="221">
        <f t="shared" si="8"/>
        <v>41</v>
      </c>
      <c r="B44" s="43"/>
      <c r="C44" s="36"/>
      <c r="D44" s="37"/>
      <c r="E44" s="35"/>
      <c r="F44" s="41"/>
      <c r="G44" s="42"/>
      <c r="H44" s="42"/>
      <c r="I44" s="42"/>
      <c r="J44" s="35"/>
      <c r="K44" s="41"/>
      <c r="L44" s="42"/>
      <c r="M44" s="43"/>
      <c r="N44" s="36"/>
      <c r="O44" s="37"/>
      <c r="P44" s="37"/>
      <c r="Q44" s="37"/>
      <c r="R44" s="69"/>
      <c r="S44" s="69"/>
      <c r="T44" s="37"/>
      <c r="U44" s="35"/>
    </row>
    <row r="45" spans="1:21">
      <c r="A45" s="221">
        <f t="shared" si="8"/>
        <v>42</v>
      </c>
      <c r="B45" s="43"/>
      <c r="C45" s="36"/>
      <c r="D45" s="37"/>
      <c r="E45" s="35"/>
      <c r="F45" s="41"/>
      <c r="G45" s="42"/>
      <c r="H45" s="42"/>
      <c r="I45" s="42"/>
      <c r="J45" s="35"/>
      <c r="K45" s="41"/>
      <c r="L45" s="42"/>
      <c r="M45" s="43"/>
      <c r="N45" s="36"/>
      <c r="O45" s="37"/>
      <c r="P45" s="37"/>
      <c r="Q45" s="37"/>
      <c r="R45" s="69"/>
      <c r="S45" s="69"/>
      <c r="T45" s="37"/>
      <c r="U45" s="35"/>
    </row>
    <row r="46" spans="1:21">
      <c r="A46" s="221">
        <f t="shared" si="8"/>
        <v>43</v>
      </c>
      <c r="B46" s="43"/>
      <c r="C46" s="36"/>
      <c r="D46" s="37"/>
      <c r="E46" s="35"/>
      <c r="F46" s="41"/>
      <c r="G46" s="42"/>
      <c r="H46" s="42"/>
      <c r="I46" s="42"/>
      <c r="J46" s="35"/>
      <c r="K46" s="41"/>
      <c r="L46" s="42"/>
      <c r="M46" s="43"/>
      <c r="N46" s="36"/>
      <c r="O46" s="37"/>
      <c r="P46" s="37"/>
      <c r="Q46" s="37"/>
      <c r="R46" s="69"/>
      <c r="S46" s="69"/>
      <c r="T46" s="37"/>
      <c r="U46" s="35"/>
    </row>
    <row r="47" spans="1:21">
      <c r="A47" s="221">
        <f t="shared" si="8"/>
        <v>44</v>
      </c>
      <c r="B47" s="43"/>
      <c r="C47" s="36"/>
      <c r="D47" s="37"/>
      <c r="E47" s="35"/>
      <c r="F47" s="41"/>
      <c r="G47" s="42"/>
      <c r="H47" s="42"/>
      <c r="I47" s="42"/>
      <c r="J47" s="35"/>
      <c r="K47" s="41"/>
      <c r="L47" s="42"/>
      <c r="M47" s="43"/>
      <c r="N47" s="36"/>
      <c r="O47" s="37"/>
      <c r="P47" s="37"/>
      <c r="Q47" s="37"/>
      <c r="R47" s="69"/>
      <c r="S47" s="69"/>
      <c r="T47" s="37"/>
      <c r="U47" s="35"/>
    </row>
    <row r="48" spans="1:21">
      <c r="A48" s="221">
        <f t="shared" si="8"/>
        <v>45</v>
      </c>
      <c r="B48" s="43"/>
      <c r="C48" s="36"/>
      <c r="D48" s="37"/>
      <c r="E48" s="35"/>
      <c r="F48" s="41"/>
      <c r="G48" s="42"/>
      <c r="H48" s="42"/>
      <c r="I48" s="42"/>
      <c r="J48" s="35"/>
      <c r="K48" s="41"/>
      <c r="L48" s="42"/>
      <c r="M48" s="43"/>
      <c r="N48" s="36"/>
      <c r="O48" s="37"/>
      <c r="P48" s="37"/>
      <c r="Q48" s="37"/>
      <c r="R48" s="69"/>
      <c r="S48" s="69"/>
      <c r="T48" s="37"/>
      <c r="U48" s="35"/>
    </row>
    <row r="49" spans="1:21">
      <c r="A49" s="221">
        <f t="shared" si="8"/>
        <v>46</v>
      </c>
      <c r="B49" s="43"/>
      <c r="C49" s="36"/>
      <c r="D49" s="37"/>
      <c r="E49" s="35"/>
      <c r="F49" s="41"/>
      <c r="G49" s="42"/>
      <c r="H49" s="42"/>
      <c r="I49" s="42"/>
      <c r="J49" s="35"/>
      <c r="K49" s="41"/>
      <c r="L49" s="42"/>
      <c r="M49" s="43"/>
      <c r="N49" s="36"/>
      <c r="O49" s="37"/>
      <c r="P49" s="37"/>
      <c r="Q49" s="37"/>
      <c r="R49" s="69"/>
      <c r="S49" s="69"/>
      <c r="T49" s="37"/>
      <c r="U49" s="35"/>
    </row>
    <row r="50" spans="1:21">
      <c r="A50" s="221">
        <f t="shared" si="8"/>
        <v>47</v>
      </c>
      <c r="B50" s="43"/>
      <c r="C50" s="36"/>
      <c r="D50" s="37"/>
      <c r="E50" s="35"/>
      <c r="F50" s="41"/>
      <c r="G50" s="42"/>
      <c r="H50" s="42"/>
      <c r="I50" s="42"/>
      <c r="J50" s="35"/>
      <c r="K50" s="41"/>
      <c r="L50" s="42"/>
      <c r="M50" s="43"/>
      <c r="N50" s="36"/>
      <c r="O50" s="37"/>
      <c r="P50" s="37"/>
      <c r="Q50" s="37"/>
      <c r="R50" s="69"/>
      <c r="S50" s="69"/>
      <c r="T50" s="37"/>
      <c r="U50" s="35"/>
    </row>
    <row r="51" spans="1:21">
      <c r="A51" s="221">
        <f t="shared" si="8"/>
        <v>48</v>
      </c>
      <c r="B51" s="43"/>
      <c r="C51" s="36"/>
      <c r="D51" s="37"/>
      <c r="E51" s="35"/>
      <c r="F51" s="41"/>
      <c r="G51" s="42"/>
      <c r="H51" s="42"/>
      <c r="I51" s="42"/>
      <c r="J51" s="35"/>
      <c r="K51" s="41"/>
      <c r="L51" s="42"/>
      <c r="M51" s="43"/>
      <c r="N51" s="36"/>
      <c r="O51" s="37"/>
      <c r="P51" s="37"/>
      <c r="Q51" s="37"/>
      <c r="R51" s="69"/>
      <c r="S51" s="69"/>
      <c r="T51" s="37"/>
      <c r="U51" s="35"/>
    </row>
    <row r="52" spans="1:21">
      <c r="A52" s="221">
        <f t="shared" si="8"/>
        <v>49</v>
      </c>
      <c r="B52" s="43"/>
      <c r="C52" s="36"/>
      <c r="D52" s="37"/>
      <c r="E52" s="35"/>
      <c r="F52" s="41"/>
      <c r="G52" s="42"/>
      <c r="H52" s="42"/>
      <c r="I52" s="42"/>
      <c r="J52" s="35"/>
      <c r="K52" s="41"/>
      <c r="L52" s="42"/>
      <c r="M52" s="43"/>
      <c r="N52" s="36"/>
      <c r="O52" s="37"/>
      <c r="P52" s="37"/>
      <c r="Q52" s="37"/>
      <c r="R52" s="69"/>
      <c r="S52" s="69"/>
      <c r="T52" s="37"/>
      <c r="U52" s="35"/>
    </row>
    <row r="53" spans="1:21">
      <c r="A53" s="221">
        <f t="shared" si="8"/>
        <v>50</v>
      </c>
      <c r="B53" s="43"/>
      <c r="C53" s="36"/>
      <c r="D53" s="37"/>
      <c r="E53" s="35"/>
      <c r="F53" s="41"/>
      <c r="G53" s="42"/>
      <c r="H53" s="42"/>
      <c r="I53" s="42"/>
      <c r="J53" s="35"/>
      <c r="K53" s="41"/>
      <c r="L53" s="42"/>
      <c r="M53" s="43"/>
      <c r="N53" s="36"/>
      <c r="O53" s="37"/>
      <c r="P53" s="37"/>
      <c r="Q53" s="37"/>
      <c r="R53" s="69"/>
      <c r="S53" s="69"/>
      <c r="T53" s="37"/>
      <c r="U53" s="35"/>
    </row>
    <row r="54" spans="1:21">
      <c r="A54" s="221">
        <f t="shared" si="8"/>
        <v>51</v>
      </c>
      <c r="B54" s="43"/>
      <c r="C54" s="36"/>
      <c r="D54" s="37"/>
      <c r="E54" s="35"/>
      <c r="F54" s="41"/>
      <c r="G54" s="42"/>
      <c r="H54" s="42"/>
      <c r="I54" s="42"/>
      <c r="J54" s="35"/>
      <c r="K54" s="41"/>
      <c r="L54" s="42"/>
      <c r="M54" s="43"/>
      <c r="N54" s="36"/>
      <c r="O54" s="37"/>
      <c r="P54" s="37"/>
      <c r="Q54" s="37"/>
      <c r="R54" s="69"/>
      <c r="S54" s="69"/>
      <c r="T54" s="37"/>
      <c r="U54" s="35"/>
    </row>
    <row r="55" spans="1:21">
      <c r="A55" s="221">
        <f t="shared" si="8"/>
        <v>52</v>
      </c>
      <c r="B55" s="43"/>
      <c r="C55" s="36"/>
      <c r="D55" s="37"/>
      <c r="E55" s="35"/>
      <c r="F55" s="41"/>
      <c r="G55" s="42"/>
      <c r="H55" s="42"/>
      <c r="I55" s="42"/>
      <c r="J55" s="35"/>
      <c r="K55" s="41"/>
      <c r="L55" s="42"/>
      <c r="M55" s="43"/>
      <c r="N55" s="36"/>
      <c r="O55" s="37"/>
      <c r="P55" s="37"/>
      <c r="Q55" s="37"/>
      <c r="R55" s="69"/>
      <c r="S55" s="69"/>
      <c r="T55" s="37"/>
      <c r="U55" s="35"/>
    </row>
    <row r="56" spans="1:21">
      <c r="A56" s="221">
        <f t="shared" si="8"/>
        <v>53</v>
      </c>
      <c r="B56" s="43"/>
      <c r="C56" s="36"/>
      <c r="D56" s="37"/>
      <c r="E56" s="35"/>
      <c r="F56" s="41"/>
      <c r="G56" s="42"/>
      <c r="H56" s="42"/>
      <c r="I56" s="42"/>
      <c r="J56" s="35"/>
      <c r="K56" s="41"/>
      <c r="L56" s="42"/>
      <c r="M56" s="43"/>
      <c r="N56" s="36"/>
      <c r="O56" s="37"/>
      <c r="P56" s="37"/>
      <c r="Q56" s="37"/>
      <c r="R56" s="69"/>
      <c r="S56" s="69"/>
      <c r="T56" s="37"/>
      <c r="U56" s="35"/>
    </row>
    <row r="57" spans="1:21">
      <c r="A57" s="221">
        <f t="shared" si="8"/>
        <v>54</v>
      </c>
      <c r="B57" s="43"/>
      <c r="C57" s="36"/>
      <c r="D57" s="37"/>
      <c r="E57" s="35"/>
      <c r="F57" s="41"/>
      <c r="G57" s="42"/>
      <c r="H57" s="42"/>
      <c r="I57" s="42"/>
      <c r="J57" s="35"/>
      <c r="K57" s="41"/>
      <c r="L57" s="42"/>
      <c r="M57" s="43"/>
      <c r="N57" s="36"/>
      <c r="O57" s="37"/>
      <c r="P57" s="37"/>
      <c r="Q57" s="37"/>
      <c r="R57" s="69"/>
      <c r="S57" s="69"/>
      <c r="T57" s="37"/>
      <c r="U57" s="35"/>
    </row>
    <row r="58" spans="1:21">
      <c r="A58" s="221">
        <f t="shared" si="8"/>
        <v>55</v>
      </c>
      <c r="B58" s="43"/>
      <c r="C58" s="36"/>
      <c r="D58" s="37"/>
      <c r="E58" s="35"/>
      <c r="F58" s="41"/>
      <c r="G58" s="42"/>
      <c r="H58" s="42"/>
      <c r="I58" s="42"/>
      <c r="J58" s="35"/>
      <c r="K58" s="41"/>
      <c r="L58" s="42"/>
      <c r="M58" s="43"/>
      <c r="N58" s="36"/>
      <c r="O58" s="37"/>
      <c r="P58" s="37"/>
      <c r="Q58" s="37"/>
      <c r="R58" s="69"/>
      <c r="S58" s="69"/>
      <c r="T58" s="37"/>
      <c r="U58" s="35"/>
    </row>
    <row r="59" spans="1:21">
      <c r="A59" s="221">
        <f t="shared" si="8"/>
        <v>56</v>
      </c>
      <c r="B59" s="43"/>
      <c r="C59" s="36"/>
      <c r="D59" s="37"/>
      <c r="E59" s="35"/>
      <c r="F59" s="41"/>
      <c r="G59" s="42"/>
      <c r="H59" s="42"/>
      <c r="I59" s="42"/>
      <c r="J59" s="35"/>
      <c r="K59" s="41"/>
      <c r="L59" s="42"/>
      <c r="M59" s="43"/>
      <c r="N59" s="36"/>
      <c r="O59" s="37"/>
      <c r="P59" s="37"/>
      <c r="Q59" s="37"/>
      <c r="R59" s="69"/>
      <c r="S59" s="69"/>
      <c r="T59" s="37"/>
      <c r="U59" s="35"/>
    </row>
    <row r="60" spans="1:21">
      <c r="A60" s="221">
        <f t="shared" si="8"/>
        <v>57</v>
      </c>
      <c r="B60" s="43"/>
      <c r="C60" s="36"/>
      <c r="D60" s="37"/>
      <c r="E60" s="35"/>
      <c r="F60" s="41"/>
      <c r="G60" s="42"/>
      <c r="H60" s="42"/>
      <c r="I60" s="42"/>
      <c r="J60" s="35"/>
      <c r="K60" s="41"/>
      <c r="L60" s="42"/>
      <c r="M60" s="43"/>
      <c r="N60" s="36"/>
      <c r="O60" s="37"/>
      <c r="P60" s="37"/>
      <c r="Q60" s="37"/>
      <c r="R60" s="69"/>
      <c r="S60" s="69"/>
      <c r="T60" s="37"/>
      <c r="U60" s="35"/>
    </row>
    <row r="61" spans="1:21">
      <c r="A61" s="221">
        <f t="shared" si="8"/>
        <v>58</v>
      </c>
      <c r="B61" s="43"/>
      <c r="C61" s="36"/>
      <c r="D61" s="37"/>
      <c r="E61" s="35"/>
      <c r="F61" s="41"/>
      <c r="G61" s="42"/>
      <c r="H61" s="42"/>
      <c r="I61" s="42"/>
      <c r="J61" s="35"/>
      <c r="K61" s="41"/>
      <c r="L61" s="42"/>
      <c r="M61" s="43"/>
      <c r="N61" s="36"/>
      <c r="O61" s="37"/>
      <c r="P61" s="37"/>
      <c r="Q61" s="37"/>
      <c r="R61" s="69"/>
      <c r="S61" s="69"/>
      <c r="T61" s="37"/>
      <c r="U61" s="35"/>
    </row>
    <row r="62" spans="1:21">
      <c r="A62" s="221">
        <f t="shared" si="8"/>
        <v>59</v>
      </c>
      <c r="B62" s="43"/>
      <c r="C62" s="36"/>
      <c r="D62" s="37"/>
      <c r="E62" s="35"/>
      <c r="F62" s="41"/>
      <c r="G62" s="42"/>
      <c r="H62" s="42"/>
      <c r="I62" s="42"/>
      <c r="J62" s="35"/>
      <c r="K62" s="41"/>
      <c r="L62" s="42"/>
      <c r="M62" s="43"/>
      <c r="N62" s="36"/>
      <c r="O62" s="37"/>
      <c r="P62" s="37"/>
      <c r="Q62" s="37"/>
      <c r="R62" s="69"/>
      <c r="S62" s="69"/>
      <c r="T62" s="37"/>
      <c r="U62" s="35"/>
    </row>
    <row r="63" spans="1:21">
      <c r="A63" s="221">
        <f t="shared" si="8"/>
        <v>60</v>
      </c>
      <c r="B63" s="43"/>
      <c r="C63" s="36"/>
      <c r="D63" s="37"/>
      <c r="E63" s="35"/>
      <c r="F63" s="41"/>
      <c r="G63" s="42"/>
      <c r="H63" s="42"/>
      <c r="I63" s="42"/>
      <c r="J63" s="35"/>
      <c r="K63" s="41"/>
      <c r="L63" s="42"/>
      <c r="M63" s="43"/>
      <c r="N63" s="36"/>
      <c r="O63" s="37"/>
      <c r="P63" s="37"/>
      <c r="Q63" s="37"/>
      <c r="R63" s="69"/>
      <c r="S63" s="69"/>
      <c r="T63" s="37"/>
      <c r="U63" s="35"/>
    </row>
    <row r="64" spans="1:21">
      <c r="A64" s="221">
        <f t="shared" ref="A64:A127" si="21">IF(ISNUMBER(A63),A63,0)+1</f>
        <v>61</v>
      </c>
      <c r="B64" s="43"/>
      <c r="C64" s="36"/>
      <c r="D64" s="37"/>
      <c r="E64" s="35"/>
      <c r="F64" s="41"/>
      <c r="G64" s="42"/>
      <c r="H64" s="42"/>
      <c r="I64" s="42"/>
      <c r="J64" s="35"/>
      <c r="K64" s="41"/>
      <c r="L64" s="42"/>
      <c r="M64" s="43"/>
      <c r="N64" s="36"/>
      <c r="O64" s="37"/>
      <c r="P64" s="37"/>
      <c r="Q64" s="37"/>
      <c r="R64" s="69"/>
      <c r="S64" s="69"/>
      <c r="T64" s="37"/>
      <c r="U64" s="35"/>
    </row>
    <row r="65" spans="1:21">
      <c r="A65" s="221">
        <f t="shared" si="21"/>
        <v>62</v>
      </c>
      <c r="B65" s="43"/>
      <c r="C65" s="36"/>
      <c r="D65" s="37"/>
      <c r="E65" s="35"/>
      <c r="F65" s="41"/>
      <c r="G65" s="42"/>
      <c r="H65" s="42"/>
      <c r="I65" s="42"/>
      <c r="J65" s="35"/>
      <c r="K65" s="41"/>
      <c r="L65" s="42"/>
      <c r="M65" s="43"/>
      <c r="N65" s="36"/>
      <c r="O65" s="37"/>
      <c r="P65" s="37"/>
      <c r="Q65" s="37"/>
      <c r="R65" s="69"/>
      <c r="S65" s="69"/>
      <c r="T65" s="37"/>
      <c r="U65" s="35"/>
    </row>
    <row r="66" spans="1:21">
      <c r="A66" s="221">
        <f t="shared" si="21"/>
        <v>63</v>
      </c>
      <c r="B66" s="43"/>
      <c r="C66" s="36"/>
      <c r="D66" s="37"/>
      <c r="E66" s="35"/>
      <c r="F66" s="41"/>
      <c r="G66" s="42"/>
      <c r="H66" s="42"/>
      <c r="I66" s="42"/>
      <c r="J66" s="35"/>
      <c r="K66" s="41"/>
      <c r="L66" s="42"/>
      <c r="M66" s="43"/>
      <c r="N66" s="36"/>
      <c r="O66" s="37"/>
      <c r="P66" s="37"/>
      <c r="Q66" s="37"/>
      <c r="R66" s="69"/>
      <c r="S66" s="69"/>
      <c r="T66" s="37"/>
      <c r="U66" s="35"/>
    </row>
    <row r="67" spans="1:21">
      <c r="A67" s="221">
        <f t="shared" si="21"/>
        <v>64</v>
      </c>
      <c r="B67" s="43"/>
      <c r="C67" s="36"/>
      <c r="D67" s="37"/>
      <c r="E67" s="35"/>
      <c r="F67" s="41"/>
      <c r="G67" s="42"/>
      <c r="H67" s="42"/>
      <c r="I67" s="42"/>
      <c r="J67" s="35"/>
      <c r="K67" s="41"/>
      <c r="L67" s="42"/>
      <c r="M67" s="43"/>
      <c r="N67" s="36"/>
      <c r="O67" s="37"/>
      <c r="P67" s="37"/>
      <c r="Q67" s="37"/>
      <c r="R67" s="69"/>
      <c r="S67" s="69"/>
      <c r="T67" s="37"/>
      <c r="U67" s="35"/>
    </row>
    <row r="68" spans="1:21">
      <c r="A68" s="221">
        <f t="shared" si="21"/>
        <v>65</v>
      </c>
      <c r="B68" s="43"/>
      <c r="C68" s="36"/>
      <c r="D68" s="37"/>
      <c r="E68" s="35"/>
      <c r="F68" s="41"/>
      <c r="G68" s="42"/>
      <c r="H68" s="42"/>
      <c r="I68" s="42"/>
      <c r="J68" s="35"/>
      <c r="K68" s="41"/>
      <c r="L68" s="42"/>
      <c r="M68" s="43"/>
      <c r="N68" s="36"/>
      <c r="O68" s="37"/>
      <c r="P68" s="37"/>
      <c r="Q68" s="37"/>
      <c r="R68" s="69"/>
      <c r="S68" s="69"/>
      <c r="T68" s="37"/>
      <c r="U68" s="35"/>
    </row>
    <row r="69" spans="1:21">
      <c r="A69" s="221">
        <f t="shared" si="21"/>
        <v>66</v>
      </c>
      <c r="B69" s="43"/>
      <c r="C69" s="36"/>
      <c r="D69" s="37"/>
      <c r="E69" s="35"/>
      <c r="F69" s="41"/>
      <c r="G69" s="42"/>
      <c r="H69" s="42"/>
      <c r="I69" s="42"/>
      <c r="J69" s="35"/>
      <c r="K69" s="41"/>
      <c r="L69" s="42"/>
      <c r="M69" s="43"/>
      <c r="N69" s="36"/>
      <c r="O69" s="37"/>
      <c r="P69" s="37"/>
      <c r="Q69" s="37"/>
      <c r="R69" s="69"/>
      <c r="S69" s="69"/>
      <c r="T69" s="37"/>
      <c r="U69" s="35"/>
    </row>
    <row r="70" spans="1:21">
      <c r="A70" s="221">
        <f t="shared" si="21"/>
        <v>67</v>
      </c>
      <c r="B70" s="43"/>
      <c r="C70" s="36"/>
      <c r="D70" s="37"/>
      <c r="E70" s="35"/>
      <c r="F70" s="41"/>
      <c r="G70" s="42"/>
      <c r="H70" s="42"/>
      <c r="I70" s="42"/>
      <c r="J70" s="35"/>
      <c r="K70" s="41"/>
      <c r="L70" s="42"/>
      <c r="M70" s="43"/>
      <c r="N70" s="36"/>
      <c r="O70" s="37"/>
      <c r="P70" s="37"/>
      <c r="Q70" s="37"/>
      <c r="R70" s="69"/>
      <c r="S70" s="69"/>
      <c r="T70" s="37"/>
      <c r="U70" s="35"/>
    </row>
    <row r="71" spans="1:21">
      <c r="A71" s="221">
        <f t="shared" si="21"/>
        <v>68</v>
      </c>
      <c r="B71" s="43"/>
      <c r="C71" s="36"/>
      <c r="D71" s="37"/>
      <c r="E71" s="35"/>
      <c r="F71" s="41"/>
      <c r="G71" s="42"/>
      <c r="H71" s="42"/>
      <c r="I71" s="42"/>
      <c r="J71" s="35"/>
      <c r="K71" s="41"/>
      <c r="L71" s="42"/>
      <c r="M71" s="43"/>
      <c r="N71" s="36"/>
      <c r="O71" s="37"/>
      <c r="P71" s="37"/>
      <c r="Q71" s="37"/>
      <c r="R71" s="69"/>
      <c r="S71" s="69"/>
      <c r="T71" s="37"/>
      <c r="U71" s="35"/>
    </row>
    <row r="72" spans="1:21">
      <c r="A72" s="221">
        <f t="shared" si="21"/>
        <v>69</v>
      </c>
      <c r="B72" s="43"/>
      <c r="C72" s="36"/>
      <c r="D72" s="37"/>
      <c r="E72" s="35"/>
      <c r="F72" s="41"/>
      <c r="G72" s="42"/>
      <c r="H72" s="42"/>
      <c r="I72" s="42"/>
      <c r="J72" s="35"/>
      <c r="K72" s="41"/>
      <c r="L72" s="42"/>
      <c r="M72" s="43"/>
      <c r="N72" s="36"/>
      <c r="O72" s="37"/>
      <c r="P72" s="37"/>
      <c r="Q72" s="37"/>
      <c r="R72" s="69"/>
      <c r="S72" s="69"/>
      <c r="T72" s="37"/>
      <c r="U72" s="35"/>
    </row>
    <row r="73" spans="1:21">
      <c r="A73" s="221">
        <f t="shared" si="21"/>
        <v>70</v>
      </c>
      <c r="B73" s="43"/>
      <c r="C73" s="36"/>
      <c r="D73" s="37"/>
      <c r="E73" s="35"/>
      <c r="F73" s="41"/>
      <c r="G73" s="42"/>
      <c r="H73" s="42"/>
      <c r="I73" s="42"/>
      <c r="J73" s="35"/>
      <c r="K73" s="41"/>
      <c r="L73" s="42"/>
      <c r="M73" s="43"/>
      <c r="N73" s="36"/>
      <c r="O73" s="37"/>
      <c r="P73" s="37"/>
      <c r="Q73" s="37"/>
      <c r="R73" s="69"/>
      <c r="S73" s="69"/>
      <c r="T73" s="37"/>
      <c r="U73" s="35"/>
    </row>
    <row r="74" spans="1:21">
      <c r="A74" s="221">
        <f t="shared" si="21"/>
        <v>71</v>
      </c>
      <c r="B74" s="43"/>
      <c r="C74" s="36"/>
      <c r="D74" s="37"/>
      <c r="E74" s="35"/>
      <c r="F74" s="41"/>
      <c r="G74" s="42"/>
      <c r="H74" s="42"/>
      <c r="I74" s="42"/>
      <c r="J74" s="35"/>
      <c r="K74" s="41"/>
      <c r="L74" s="42"/>
      <c r="M74" s="43"/>
      <c r="N74" s="36"/>
      <c r="O74" s="37"/>
      <c r="P74" s="37"/>
      <c r="Q74" s="37"/>
      <c r="R74" s="69"/>
      <c r="S74" s="69"/>
      <c r="T74" s="37"/>
      <c r="U74" s="35"/>
    </row>
    <row r="75" spans="1:21">
      <c r="A75" s="221">
        <f t="shared" si="21"/>
        <v>72</v>
      </c>
      <c r="B75" s="43"/>
      <c r="C75" s="36"/>
      <c r="D75" s="37"/>
      <c r="E75" s="35"/>
      <c r="F75" s="41"/>
      <c r="G75" s="42"/>
      <c r="H75" s="42"/>
      <c r="I75" s="42"/>
      <c r="J75" s="35"/>
      <c r="K75" s="41"/>
      <c r="L75" s="42"/>
      <c r="M75" s="43"/>
      <c r="N75" s="36"/>
      <c r="O75" s="37"/>
      <c r="P75" s="37"/>
      <c r="Q75" s="37"/>
      <c r="R75" s="69"/>
      <c r="S75" s="69"/>
      <c r="T75" s="37"/>
      <c r="U75" s="35"/>
    </row>
    <row r="76" spans="1:21">
      <c r="A76" s="221">
        <f t="shared" si="21"/>
        <v>73</v>
      </c>
      <c r="B76" s="43"/>
      <c r="C76" s="36"/>
      <c r="D76" s="37"/>
      <c r="E76" s="35"/>
      <c r="F76" s="41"/>
      <c r="G76" s="42"/>
      <c r="H76" s="42"/>
      <c r="I76" s="42"/>
      <c r="J76" s="35"/>
      <c r="K76" s="41"/>
      <c r="L76" s="42"/>
      <c r="M76" s="43"/>
      <c r="N76" s="36"/>
      <c r="O76" s="37"/>
      <c r="P76" s="37"/>
      <c r="Q76" s="37"/>
      <c r="R76" s="69"/>
      <c r="S76" s="69"/>
      <c r="T76" s="37"/>
      <c r="U76" s="35"/>
    </row>
    <row r="77" spans="1:21">
      <c r="A77" s="221">
        <f t="shared" si="21"/>
        <v>74</v>
      </c>
      <c r="B77" s="43"/>
      <c r="C77" s="36"/>
      <c r="D77" s="37"/>
      <c r="E77" s="35"/>
      <c r="F77" s="41"/>
      <c r="G77" s="42"/>
      <c r="H77" s="42"/>
      <c r="I77" s="42"/>
      <c r="J77" s="35"/>
      <c r="K77" s="41"/>
      <c r="L77" s="42"/>
      <c r="M77" s="43"/>
      <c r="N77" s="36"/>
      <c r="O77" s="37"/>
      <c r="P77" s="37"/>
      <c r="Q77" s="37"/>
      <c r="R77" s="69"/>
      <c r="S77" s="69"/>
      <c r="T77" s="37"/>
      <c r="U77" s="35"/>
    </row>
    <row r="78" spans="1:21">
      <c r="A78" s="221">
        <f t="shared" si="21"/>
        <v>75</v>
      </c>
      <c r="B78" s="43"/>
      <c r="C78" s="36"/>
      <c r="D78" s="37"/>
      <c r="E78" s="35"/>
      <c r="F78" s="41"/>
      <c r="G78" s="42"/>
      <c r="H78" s="42"/>
      <c r="I78" s="42"/>
      <c r="J78" s="35"/>
      <c r="K78" s="41"/>
      <c r="L78" s="42"/>
      <c r="M78" s="43"/>
      <c r="N78" s="36"/>
      <c r="O78" s="37"/>
      <c r="P78" s="37"/>
      <c r="Q78" s="37"/>
      <c r="R78" s="69"/>
      <c r="S78" s="69"/>
      <c r="T78" s="37"/>
      <c r="U78" s="35"/>
    </row>
    <row r="79" spans="1:21">
      <c r="A79" s="221">
        <f t="shared" si="21"/>
        <v>76</v>
      </c>
      <c r="B79" s="43"/>
      <c r="C79" s="36"/>
      <c r="D79" s="37"/>
      <c r="E79" s="35"/>
      <c r="F79" s="41"/>
      <c r="G79" s="42"/>
      <c r="H79" s="42"/>
      <c r="I79" s="42"/>
      <c r="J79" s="35"/>
      <c r="K79" s="41"/>
      <c r="L79" s="42"/>
      <c r="M79" s="43"/>
      <c r="N79" s="36"/>
      <c r="O79" s="37"/>
      <c r="P79" s="37"/>
      <c r="Q79" s="37"/>
      <c r="R79" s="69"/>
      <c r="S79" s="69"/>
      <c r="T79" s="37"/>
      <c r="U79" s="35"/>
    </row>
    <row r="80" spans="1:21">
      <c r="A80" s="221">
        <f t="shared" si="21"/>
        <v>77</v>
      </c>
      <c r="B80" s="43"/>
      <c r="C80" s="36"/>
      <c r="D80" s="37"/>
      <c r="E80" s="35"/>
      <c r="F80" s="41"/>
      <c r="G80" s="42"/>
      <c r="H80" s="42"/>
      <c r="I80" s="42"/>
      <c r="J80" s="35"/>
      <c r="K80" s="41"/>
      <c r="L80" s="42"/>
      <c r="M80" s="43"/>
      <c r="N80" s="36"/>
      <c r="O80" s="37"/>
      <c r="P80" s="37"/>
      <c r="Q80" s="37"/>
      <c r="R80" s="69"/>
      <c r="S80" s="69"/>
      <c r="T80" s="37"/>
      <c r="U80" s="35"/>
    </row>
    <row r="81" spans="1:21">
      <c r="A81" s="221">
        <f t="shared" si="21"/>
        <v>78</v>
      </c>
      <c r="B81" s="43"/>
      <c r="C81" s="36"/>
      <c r="D81" s="37"/>
      <c r="E81" s="35"/>
      <c r="F81" s="41"/>
      <c r="G81" s="42"/>
      <c r="H81" s="42"/>
      <c r="I81" s="42"/>
      <c r="J81" s="35"/>
      <c r="K81" s="41"/>
      <c r="L81" s="42"/>
      <c r="M81" s="43"/>
      <c r="N81" s="36"/>
      <c r="O81" s="37"/>
      <c r="P81" s="37"/>
      <c r="Q81" s="37"/>
      <c r="R81" s="69"/>
      <c r="S81" s="69"/>
      <c r="T81" s="37"/>
      <c r="U81" s="35"/>
    </row>
    <row r="82" spans="1:21">
      <c r="A82" s="221">
        <f t="shared" si="21"/>
        <v>79</v>
      </c>
      <c r="B82" s="43"/>
      <c r="C82" s="36"/>
      <c r="D82" s="37"/>
      <c r="E82" s="35"/>
      <c r="F82" s="41"/>
      <c r="G82" s="42"/>
      <c r="H82" s="42"/>
      <c r="I82" s="42"/>
      <c r="J82" s="35"/>
      <c r="K82" s="41"/>
      <c r="L82" s="42"/>
      <c r="M82" s="43"/>
      <c r="N82" s="36"/>
      <c r="O82" s="37"/>
      <c r="P82" s="37"/>
      <c r="Q82" s="37"/>
      <c r="R82" s="69"/>
      <c r="S82" s="69"/>
      <c r="T82" s="37"/>
      <c r="U82" s="35"/>
    </row>
    <row r="83" spans="1:21">
      <c r="A83" s="221">
        <f t="shared" si="21"/>
        <v>80</v>
      </c>
      <c r="B83" s="43"/>
      <c r="C83" s="36"/>
      <c r="D83" s="37"/>
      <c r="E83" s="35"/>
      <c r="F83" s="41"/>
      <c r="G83" s="42"/>
      <c r="H83" s="42"/>
      <c r="I83" s="42"/>
      <c r="J83" s="35"/>
      <c r="K83" s="41"/>
      <c r="L83" s="42"/>
      <c r="M83" s="43"/>
      <c r="N83" s="36"/>
      <c r="O83" s="37"/>
      <c r="P83" s="37"/>
      <c r="Q83" s="37"/>
      <c r="R83" s="69"/>
      <c r="S83" s="69"/>
      <c r="T83" s="37"/>
      <c r="U83" s="35"/>
    </row>
    <row r="84" spans="1:21">
      <c r="A84" s="221">
        <f t="shared" si="21"/>
        <v>81</v>
      </c>
      <c r="B84" s="43"/>
      <c r="C84" s="36"/>
      <c r="D84" s="37"/>
      <c r="E84" s="35"/>
      <c r="F84" s="41"/>
      <c r="G84" s="42"/>
      <c r="H84" s="42"/>
      <c r="I84" s="42"/>
      <c r="J84" s="35"/>
      <c r="K84" s="41"/>
      <c r="L84" s="42"/>
      <c r="M84" s="43"/>
      <c r="N84" s="36"/>
      <c r="O84" s="37"/>
      <c r="P84" s="37"/>
      <c r="Q84" s="37"/>
      <c r="R84" s="69"/>
      <c r="S84" s="69"/>
      <c r="T84" s="37"/>
      <c r="U84" s="35"/>
    </row>
    <row r="85" spans="1:21">
      <c r="A85" s="221">
        <f t="shared" si="21"/>
        <v>82</v>
      </c>
      <c r="B85" s="43"/>
      <c r="C85" s="36"/>
      <c r="D85" s="37"/>
      <c r="E85" s="35"/>
      <c r="F85" s="41"/>
      <c r="G85" s="42"/>
      <c r="H85" s="42"/>
      <c r="I85" s="42"/>
      <c r="J85" s="35"/>
      <c r="K85" s="41"/>
      <c r="L85" s="42"/>
      <c r="M85" s="43"/>
      <c r="N85" s="36"/>
      <c r="O85" s="37"/>
      <c r="P85" s="37"/>
      <c r="Q85" s="37"/>
      <c r="R85" s="69"/>
      <c r="S85" s="69"/>
      <c r="T85" s="37"/>
      <c r="U85" s="35"/>
    </row>
    <row r="86" spans="1:21">
      <c r="A86" s="221">
        <f t="shared" si="21"/>
        <v>83</v>
      </c>
      <c r="B86" s="43"/>
      <c r="C86" s="36"/>
      <c r="D86" s="37"/>
      <c r="E86" s="35"/>
      <c r="F86" s="41"/>
      <c r="G86" s="42"/>
      <c r="H86" s="42"/>
      <c r="I86" s="42"/>
      <c r="J86" s="35"/>
      <c r="K86" s="41"/>
      <c r="L86" s="42"/>
      <c r="M86" s="43"/>
      <c r="N86" s="36"/>
      <c r="O86" s="37"/>
      <c r="P86" s="37"/>
      <c r="Q86" s="37"/>
      <c r="R86" s="69"/>
      <c r="S86" s="69"/>
      <c r="T86" s="37"/>
      <c r="U86" s="35"/>
    </row>
    <row r="87" spans="1:21">
      <c r="A87" s="221">
        <f t="shared" si="21"/>
        <v>84</v>
      </c>
      <c r="B87" s="43"/>
      <c r="C87" s="36"/>
      <c r="D87" s="37"/>
      <c r="E87" s="35"/>
      <c r="F87" s="41"/>
      <c r="G87" s="42"/>
      <c r="H87" s="42"/>
      <c r="I87" s="42"/>
      <c r="J87" s="35"/>
      <c r="K87" s="41"/>
      <c r="L87" s="42"/>
      <c r="M87" s="43"/>
      <c r="N87" s="36"/>
      <c r="O87" s="37"/>
      <c r="P87" s="37"/>
      <c r="Q87" s="37"/>
      <c r="R87" s="69"/>
      <c r="S87" s="69"/>
      <c r="T87" s="37"/>
      <c r="U87" s="35"/>
    </row>
    <row r="88" spans="1:21">
      <c r="A88" s="221">
        <f t="shared" si="21"/>
        <v>85</v>
      </c>
      <c r="B88" s="43"/>
      <c r="C88" s="36"/>
      <c r="D88" s="37"/>
      <c r="E88" s="35"/>
      <c r="F88" s="41"/>
      <c r="G88" s="42"/>
      <c r="H88" s="42"/>
      <c r="I88" s="42"/>
      <c r="J88" s="35"/>
      <c r="K88" s="41"/>
      <c r="L88" s="42"/>
      <c r="M88" s="43"/>
      <c r="N88" s="36"/>
      <c r="O88" s="37"/>
      <c r="P88" s="37"/>
      <c r="Q88" s="37"/>
      <c r="R88" s="69"/>
      <c r="S88" s="69"/>
      <c r="T88" s="37"/>
      <c r="U88" s="35"/>
    </row>
    <row r="89" spans="1:21">
      <c r="A89" s="221">
        <f t="shared" si="21"/>
        <v>86</v>
      </c>
      <c r="B89" s="43"/>
      <c r="C89" s="36"/>
      <c r="D89" s="37"/>
      <c r="E89" s="35"/>
      <c r="F89" s="41"/>
      <c r="G89" s="42"/>
      <c r="H89" s="42"/>
      <c r="I89" s="42"/>
      <c r="J89" s="35"/>
      <c r="K89" s="41"/>
      <c r="L89" s="42"/>
      <c r="M89" s="43"/>
      <c r="N89" s="36"/>
      <c r="O89" s="37"/>
      <c r="P89" s="37"/>
      <c r="Q89" s="37"/>
      <c r="R89" s="69"/>
      <c r="S89" s="69"/>
      <c r="T89" s="37"/>
      <c r="U89" s="35"/>
    </row>
    <row r="90" spans="1:21">
      <c r="A90" s="221">
        <f t="shared" si="21"/>
        <v>87</v>
      </c>
      <c r="B90" s="43"/>
      <c r="C90" s="36"/>
      <c r="D90" s="37"/>
      <c r="E90" s="35"/>
      <c r="F90" s="41"/>
      <c r="G90" s="42"/>
      <c r="H90" s="42"/>
      <c r="I90" s="42"/>
      <c r="J90" s="35"/>
      <c r="K90" s="41"/>
      <c r="L90" s="42"/>
      <c r="M90" s="43"/>
      <c r="N90" s="36"/>
      <c r="O90" s="37"/>
      <c r="P90" s="37"/>
      <c r="Q90" s="37"/>
      <c r="R90" s="69"/>
      <c r="S90" s="69"/>
      <c r="T90" s="37"/>
      <c r="U90" s="35"/>
    </row>
    <row r="91" spans="1:21">
      <c r="A91" s="221">
        <f t="shared" si="21"/>
        <v>88</v>
      </c>
      <c r="B91" s="43"/>
      <c r="C91" s="36"/>
      <c r="D91" s="37"/>
      <c r="E91" s="35"/>
      <c r="F91" s="41"/>
      <c r="G91" s="42"/>
      <c r="H91" s="42"/>
      <c r="I91" s="42"/>
      <c r="J91" s="35"/>
      <c r="K91" s="41"/>
      <c r="L91" s="42"/>
      <c r="M91" s="43"/>
      <c r="N91" s="36"/>
      <c r="O91" s="37"/>
      <c r="P91" s="37"/>
      <c r="Q91" s="37"/>
      <c r="R91" s="69"/>
      <c r="S91" s="69"/>
      <c r="T91" s="37"/>
      <c r="U91" s="35"/>
    </row>
    <row r="92" spans="1:21">
      <c r="A92" s="221">
        <f t="shared" si="21"/>
        <v>89</v>
      </c>
      <c r="B92" s="43"/>
      <c r="C92" s="36"/>
      <c r="D92" s="37"/>
      <c r="E92" s="35"/>
      <c r="F92" s="41"/>
      <c r="G92" s="42"/>
      <c r="H92" s="42"/>
      <c r="I92" s="42"/>
      <c r="J92" s="35"/>
      <c r="K92" s="41"/>
      <c r="L92" s="42"/>
      <c r="M92" s="43"/>
      <c r="N92" s="36"/>
      <c r="O92" s="37"/>
      <c r="P92" s="37"/>
      <c r="Q92" s="37"/>
      <c r="R92" s="69"/>
      <c r="S92" s="69"/>
      <c r="T92" s="37"/>
      <c r="U92" s="35"/>
    </row>
    <row r="93" spans="1:21">
      <c r="A93" s="221">
        <f t="shared" si="21"/>
        <v>90</v>
      </c>
      <c r="B93" s="43"/>
      <c r="C93" s="36"/>
      <c r="D93" s="37"/>
      <c r="E93" s="35"/>
      <c r="F93" s="41"/>
      <c r="G93" s="42"/>
      <c r="H93" s="42"/>
      <c r="I93" s="42"/>
      <c r="J93" s="35"/>
      <c r="K93" s="41"/>
      <c r="L93" s="42"/>
      <c r="M93" s="43"/>
      <c r="N93" s="36"/>
      <c r="O93" s="37"/>
      <c r="P93" s="37"/>
      <c r="Q93" s="37"/>
      <c r="R93" s="69"/>
      <c r="S93" s="69"/>
      <c r="T93" s="37"/>
      <c r="U93" s="35"/>
    </row>
    <row r="94" spans="1:21">
      <c r="A94" s="221">
        <f t="shared" si="21"/>
        <v>91</v>
      </c>
      <c r="B94" s="43"/>
      <c r="C94" s="36"/>
      <c r="D94" s="37"/>
      <c r="E94" s="35"/>
      <c r="F94" s="41"/>
      <c r="G94" s="42"/>
      <c r="H94" s="42"/>
      <c r="I94" s="42"/>
      <c r="J94" s="35"/>
      <c r="K94" s="41"/>
      <c r="L94" s="42"/>
      <c r="M94" s="43"/>
      <c r="N94" s="36"/>
      <c r="O94" s="37"/>
      <c r="P94" s="37"/>
      <c r="Q94" s="37"/>
      <c r="R94" s="69"/>
      <c r="S94" s="69"/>
      <c r="T94" s="37"/>
      <c r="U94" s="35"/>
    </row>
    <row r="95" spans="1:21">
      <c r="A95" s="221">
        <f t="shared" si="21"/>
        <v>92</v>
      </c>
      <c r="B95" s="43"/>
      <c r="C95" s="36"/>
      <c r="D95" s="37"/>
      <c r="E95" s="35"/>
      <c r="F95" s="41"/>
      <c r="G95" s="42"/>
      <c r="H95" s="42"/>
      <c r="I95" s="42"/>
      <c r="J95" s="35"/>
      <c r="K95" s="41"/>
      <c r="L95" s="42"/>
      <c r="M95" s="43"/>
      <c r="N95" s="36"/>
      <c r="O95" s="37"/>
      <c r="P95" s="37"/>
      <c r="Q95" s="37"/>
      <c r="R95" s="69"/>
      <c r="S95" s="69"/>
      <c r="T95" s="37"/>
      <c r="U95" s="35"/>
    </row>
    <row r="96" spans="1:21">
      <c r="A96" s="221">
        <f t="shared" si="21"/>
        <v>93</v>
      </c>
      <c r="B96" s="43"/>
      <c r="C96" s="36"/>
      <c r="D96" s="37"/>
      <c r="E96" s="35"/>
      <c r="F96" s="41"/>
      <c r="G96" s="42"/>
      <c r="H96" s="42"/>
      <c r="I96" s="42"/>
      <c r="J96" s="35"/>
      <c r="K96" s="41"/>
      <c r="L96" s="42"/>
      <c r="M96" s="43"/>
      <c r="N96" s="36"/>
      <c r="O96" s="37"/>
      <c r="P96" s="37"/>
      <c r="Q96" s="37"/>
      <c r="R96" s="69"/>
      <c r="S96" s="69"/>
      <c r="T96" s="37"/>
      <c r="U96" s="35"/>
    </row>
    <row r="97" spans="1:21">
      <c r="A97" s="221">
        <f t="shared" si="21"/>
        <v>94</v>
      </c>
      <c r="B97" s="43"/>
      <c r="C97" s="36"/>
      <c r="D97" s="37"/>
      <c r="E97" s="35"/>
      <c r="F97" s="41"/>
      <c r="G97" s="42"/>
      <c r="H97" s="42"/>
      <c r="I97" s="42"/>
      <c r="J97" s="35"/>
      <c r="K97" s="41"/>
      <c r="L97" s="42"/>
      <c r="M97" s="43"/>
      <c r="N97" s="36"/>
      <c r="O97" s="37"/>
      <c r="P97" s="37"/>
      <c r="Q97" s="37"/>
      <c r="R97" s="69"/>
      <c r="S97" s="69"/>
      <c r="T97" s="37"/>
      <c r="U97" s="35"/>
    </row>
    <row r="98" spans="1:21">
      <c r="A98" s="221">
        <f t="shared" si="21"/>
        <v>95</v>
      </c>
      <c r="B98" s="43"/>
      <c r="C98" s="36"/>
      <c r="D98" s="37"/>
      <c r="E98" s="35"/>
      <c r="F98" s="41"/>
      <c r="G98" s="42"/>
      <c r="H98" s="42"/>
      <c r="I98" s="42"/>
      <c r="J98" s="35"/>
      <c r="K98" s="41"/>
      <c r="L98" s="42"/>
      <c r="M98" s="43"/>
      <c r="N98" s="36"/>
      <c r="O98" s="37"/>
      <c r="P98" s="37"/>
      <c r="Q98" s="37"/>
      <c r="R98" s="69"/>
      <c r="S98" s="69"/>
      <c r="T98" s="37"/>
      <c r="U98" s="35"/>
    </row>
    <row r="99" spans="1:21">
      <c r="A99" s="221">
        <f t="shared" si="21"/>
        <v>96</v>
      </c>
      <c r="B99" s="43"/>
      <c r="C99" s="36"/>
      <c r="D99" s="37"/>
      <c r="E99" s="35"/>
      <c r="F99" s="41"/>
      <c r="G99" s="42"/>
      <c r="H99" s="42"/>
      <c r="I99" s="42"/>
      <c r="J99" s="35"/>
      <c r="K99" s="41"/>
      <c r="L99" s="42"/>
      <c r="M99" s="43"/>
      <c r="N99" s="36"/>
      <c r="O99" s="37"/>
      <c r="P99" s="37"/>
      <c r="Q99" s="37"/>
      <c r="R99" s="69"/>
      <c r="S99" s="69"/>
      <c r="T99" s="37"/>
      <c r="U99" s="35"/>
    </row>
    <row r="100" spans="1:21">
      <c r="A100" s="221">
        <f t="shared" si="21"/>
        <v>97</v>
      </c>
      <c r="B100" s="43"/>
      <c r="C100" s="36"/>
      <c r="D100" s="37"/>
      <c r="E100" s="35"/>
      <c r="F100" s="41"/>
      <c r="G100" s="42"/>
      <c r="H100" s="42"/>
      <c r="I100" s="42"/>
      <c r="J100" s="35"/>
      <c r="K100" s="41"/>
      <c r="L100" s="42"/>
      <c r="M100" s="43"/>
      <c r="N100" s="36"/>
      <c r="O100" s="37"/>
      <c r="P100" s="37"/>
      <c r="Q100" s="37"/>
      <c r="R100" s="69"/>
      <c r="S100" s="69"/>
      <c r="T100" s="37"/>
      <c r="U100" s="35"/>
    </row>
    <row r="101" spans="1:21">
      <c r="A101" s="221">
        <f t="shared" si="21"/>
        <v>98</v>
      </c>
      <c r="B101" s="43"/>
      <c r="C101" s="36"/>
      <c r="D101" s="37"/>
      <c r="E101" s="35"/>
      <c r="F101" s="41"/>
      <c r="G101" s="42"/>
      <c r="H101" s="42"/>
      <c r="I101" s="42"/>
      <c r="J101" s="35"/>
      <c r="K101" s="41"/>
      <c r="L101" s="42"/>
      <c r="M101" s="43"/>
      <c r="N101" s="36"/>
      <c r="O101" s="37"/>
      <c r="P101" s="37"/>
      <c r="Q101" s="37"/>
      <c r="R101" s="69"/>
      <c r="S101" s="69"/>
      <c r="T101" s="37"/>
      <c r="U101" s="35"/>
    </row>
    <row r="102" spans="1:21">
      <c r="A102" s="221">
        <f t="shared" si="21"/>
        <v>99</v>
      </c>
      <c r="B102" s="43"/>
      <c r="C102" s="36"/>
      <c r="D102" s="37"/>
      <c r="E102" s="35"/>
      <c r="F102" s="41"/>
      <c r="G102" s="42"/>
      <c r="H102" s="42"/>
      <c r="I102" s="42"/>
      <c r="J102" s="35"/>
      <c r="K102" s="41"/>
      <c r="L102" s="42"/>
      <c r="M102" s="43"/>
      <c r="N102" s="36"/>
      <c r="O102" s="37"/>
      <c r="P102" s="37"/>
      <c r="Q102" s="37"/>
      <c r="R102" s="69"/>
      <c r="S102" s="69"/>
      <c r="T102" s="37"/>
      <c r="U102" s="35"/>
    </row>
    <row r="103" spans="1:21">
      <c r="A103" s="221">
        <f t="shared" si="21"/>
        <v>100</v>
      </c>
      <c r="B103" s="43"/>
      <c r="C103" s="36"/>
      <c r="D103" s="37"/>
      <c r="E103" s="35"/>
      <c r="F103" s="41"/>
      <c r="G103" s="42"/>
      <c r="H103" s="42"/>
      <c r="I103" s="42"/>
      <c r="J103" s="35"/>
      <c r="K103" s="41"/>
      <c r="L103" s="42"/>
      <c r="M103" s="43"/>
      <c r="N103" s="36"/>
      <c r="O103" s="37"/>
      <c r="P103" s="37"/>
      <c r="Q103" s="37"/>
      <c r="R103" s="69"/>
      <c r="S103" s="69"/>
      <c r="T103" s="37"/>
      <c r="U103" s="35"/>
    </row>
    <row r="104" spans="1:21">
      <c r="A104" s="221">
        <f t="shared" si="21"/>
        <v>101</v>
      </c>
      <c r="B104" s="43"/>
      <c r="C104" s="36"/>
      <c r="D104" s="37"/>
      <c r="E104" s="35"/>
      <c r="F104" s="41"/>
      <c r="G104" s="42"/>
      <c r="H104" s="42"/>
      <c r="I104" s="42"/>
      <c r="J104" s="35"/>
      <c r="K104" s="41"/>
      <c r="L104" s="42"/>
      <c r="M104" s="43"/>
      <c r="N104" s="36"/>
      <c r="O104" s="37"/>
      <c r="P104" s="37"/>
      <c r="Q104" s="37"/>
      <c r="R104" s="69"/>
      <c r="S104" s="69"/>
      <c r="T104" s="37"/>
      <c r="U104" s="35"/>
    </row>
    <row r="105" spans="1:21">
      <c r="A105" s="221">
        <f t="shared" si="21"/>
        <v>102</v>
      </c>
      <c r="B105" s="43"/>
      <c r="C105" s="36"/>
      <c r="D105" s="37"/>
      <c r="E105" s="35"/>
      <c r="F105" s="41"/>
      <c r="G105" s="42"/>
      <c r="H105" s="42"/>
      <c r="I105" s="42"/>
      <c r="J105" s="35"/>
      <c r="K105" s="41"/>
      <c r="L105" s="42"/>
      <c r="M105" s="43"/>
      <c r="N105" s="36"/>
      <c r="O105" s="37"/>
      <c r="P105" s="37"/>
      <c r="Q105" s="37"/>
      <c r="R105" s="69"/>
      <c r="S105" s="69"/>
      <c r="T105" s="37"/>
      <c r="U105" s="35"/>
    </row>
    <row r="106" spans="1:21">
      <c r="A106" s="221">
        <f t="shared" si="21"/>
        <v>103</v>
      </c>
      <c r="B106" s="43"/>
      <c r="C106" s="36"/>
      <c r="D106" s="37"/>
      <c r="E106" s="35"/>
      <c r="F106" s="41"/>
      <c r="G106" s="42"/>
      <c r="H106" s="42"/>
      <c r="I106" s="42"/>
      <c r="J106" s="35"/>
      <c r="K106" s="41"/>
      <c r="L106" s="42"/>
      <c r="M106" s="43"/>
      <c r="N106" s="36"/>
      <c r="O106" s="37"/>
      <c r="P106" s="37"/>
      <c r="Q106" s="37"/>
      <c r="R106" s="69"/>
      <c r="S106" s="69"/>
      <c r="T106" s="37"/>
      <c r="U106" s="35"/>
    </row>
    <row r="107" spans="1:21">
      <c r="A107" s="221">
        <f t="shared" si="21"/>
        <v>104</v>
      </c>
      <c r="B107" s="43"/>
      <c r="C107" s="36"/>
      <c r="D107" s="37"/>
      <c r="E107" s="35"/>
      <c r="F107" s="41"/>
      <c r="G107" s="42"/>
      <c r="H107" s="42"/>
      <c r="I107" s="42"/>
      <c r="J107" s="35"/>
      <c r="K107" s="41"/>
      <c r="L107" s="42"/>
      <c r="M107" s="43"/>
      <c r="N107" s="36"/>
      <c r="O107" s="37"/>
      <c r="P107" s="37"/>
      <c r="Q107" s="37"/>
      <c r="R107" s="69"/>
      <c r="S107" s="69"/>
      <c r="T107" s="37"/>
      <c r="U107" s="35"/>
    </row>
    <row r="108" spans="1:21">
      <c r="A108" s="221">
        <f t="shared" si="21"/>
        <v>105</v>
      </c>
      <c r="B108" s="43"/>
      <c r="C108" s="36"/>
      <c r="D108" s="37"/>
      <c r="E108" s="35"/>
      <c r="F108" s="41"/>
      <c r="G108" s="42"/>
      <c r="H108" s="42"/>
      <c r="I108" s="42"/>
      <c r="J108" s="35"/>
      <c r="K108" s="41"/>
      <c r="L108" s="42"/>
      <c r="M108" s="43"/>
      <c r="N108" s="36"/>
      <c r="O108" s="37"/>
      <c r="P108" s="37"/>
      <c r="Q108" s="37"/>
      <c r="R108" s="69"/>
      <c r="S108" s="69"/>
      <c r="T108" s="37"/>
      <c r="U108" s="35"/>
    </row>
    <row r="109" spans="1:21">
      <c r="A109" s="221">
        <f t="shared" si="21"/>
        <v>106</v>
      </c>
      <c r="B109" s="43"/>
      <c r="C109" s="36"/>
      <c r="D109" s="37"/>
      <c r="E109" s="35"/>
      <c r="F109" s="41"/>
      <c r="G109" s="42"/>
      <c r="H109" s="42"/>
      <c r="I109" s="42"/>
      <c r="J109" s="35"/>
      <c r="K109" s="41"/>
      <c r="L109" s="42"/>
      <c r="M109" s="43"/>
      <c r="N109" s="36"/>
      <c r="O109" s="37"/>
      <c r="P109" s="37"/>
      <c r="Q109" s="37"/>
      <c r="R109" s="69"/>
      <c r="S109" s="69"/>
      <c r="T109" s="37"/>
      <c r="U109" s="35"/>
    </row>
    <row r="110" spans="1:21">
      <c r="A110" s="221">
        <f t="shared" si="21"/>
        <v>107</v>
      </c>
      <c r="B110" s="43"/>
      <c r="C110" s="36"/>
      <c r="D110" s="37"/>
      <c r="E110" s="35"/>
      <c r="F110" s="41"/>
      <c r="G110" s="42"/>
      <c r="H110" s="42"/>
      <c r="I110" s="42"/>
      <c r="J110" s="35"/>
      <c r="K110" s="41"/>
      <c r="L110" s="42"/>
      <c r="M110" s="43"/>
      <c r="N110" s="36"/>
      <c r="O110" s="37"/>
      <c r="P110" s="37"/>
      <c r="Q110" s="37"/>
      <c r="R110" s="69"/>
      <c r="S110" s="69"/>
      <c r="T110" s="37"/>
      <c r="U110" s="35"/>
    </row>
    <row r="111" spans="1:21">
      <c r="A111" s="221">
        <f t="shared" si="21"/>
        <v>108</v>
      </c>
      <c r="B111" s="43"/>
      <c r="C111" s="36"/>
      <c r="D111" s="37"/>
      <c r="E111" s="35"/>
      <c r="F111" s="41"/>
      <c r="G111" s="42"/>
      <c r="H111" s="42"/>
      <c r="I111" s="42"/>
      <c r="J111" s="35"/>
      <c r="K111" s="41"/>
      <c r="L111" s="42"/>
      <c r="M111" s="43"/>
      <c r="N111" s="36"/>
      <c r="O111" s="37"/>
      <c r="P111" s="37"/>
      <c r="Q111" s="37"/>
      <c r="R111" s="69"/>
      <c r="S111" s="69"/>
      <c r="T111" s="37"/>
      <c r="U111" s="35"/>
    </row>
    <row r="112" spans="1:21">
      <c r="A112" s="221">
        <f t="shared" si="21"/>
        <v>109</v>
      </c>
      <c r="B112" s="43"/>
      <c r="C112" s="36"/>
      <c r="D112" s="37"/>
      <c r="E112" s="35"/>
      <c r="F112" s="41"/>
      <c r="G112" s="42"/>
      <c r="H112" s="42"/>
      <c r="I112" s="42"/>
      <c r="J112" s="35"/>
      <c r="K112" s="41"/>
      <c r="L112" s="42"/>
      <c r="M112" s="43"/>
      <c r="N112" s="36"/>
      <c r="O112" s="37"/>
      <c r="P112" s="37"/>
      <c r="Q112" s="37"/>
      <c r="R112" s="69"/>
      <c r="S112" s="69"/>
      <c r="T112" s="37"/>
      <c r="U112" s="35"/>
    </row>
    <row r="113" spans="1:21">
      <c r="A113" s="221">
        <f t="shared" si="21"/>
        <v>110</v>
      </c>
      <c r="B113" s="43"/>
      <c r="C113" s="36"/>
      <c r="D113" s="37"/>
      <c r="E113" s="35"/>
      <c r="F113" s="41"/>
      <c r="G113" s="42"/>
      <c r="H113" s="42"/>
      <c r="I113" s="42"/>
      <c r="J113" s="35"/>
      <c r="K113" s="41"/>
      <c r="L113" s="42"/>
      <c r="M113" s="43"/>
      <c r="N113" s="36"/>
      <c r="O113" s="37"/>
      <c r="P113" s="37"/>
      <c r="Q113" s="37"/>
      <c r="R113" s="69"/>
      <c r="S113" s="69"/>
      <c r="T113" s="37"/>
      <c r="U113" s="35"/>
    </row>
    <row r="114" spans="1:21">
      <c r="A114" s="221">
        <f t="shared" si="21"/>
        <v>111</v>
      </c>
      <c r="B114" s="43"/>
      <c r="C114" s="36"/>
      <c r="D114" s="37"/>
      <c r="E114" s="35"/>
      <c r="F114" s="41"/>
      <c r="G114" s="42"/>
      <c r="H114" s="42"/>
      <c r="I114" s="42"/>
      <c r="J114" s="35"/>
      <c r="K114" s="41"/>
      <c r="L114" s="42"/>
      <c r="M114" s="43"/>
      <c r="N114" s="36"/>
      <c r="O114" s="37"/>
      <c r="P114" s="37"/>
      <c r="Q114" s="37"/>
      <c r="R114" s="69"/>
      <c r="S114" s="69"/>
      <c r="T114" s="37"/>
      <c r="U114" s="35"/>
    </row>
    <row r="115" spans="1:21">
      <c r="A115" s="221">
        <f t="shared" si="21"/>
        <v>112</v>
      </c>
      <c r="B115" s="43"/>
      <c r="C115" s="36"/>
      <c r="D115" s="37"/>
      <c r="E115" s="35"/>
      <c r="F115" s="41"/>
      <c r="G115" s="42"/>
      <c r="H115" s="42"/>
      <c r="I115" s="42"/>
      <c r="J115" s="35"/>
      <c r="K115" s="41"/>
      <c r="L115" s="42"/>
      <c r="M115" s="43"/>
      <c r="N115" s="36"/>
      <c r="O115" s="37"/>
      <c r="P115" s="37"/>
      <c r="Q115" s="37"/>
      <c r="R115" s="69"/>
      <c r="S115" s="69"/>
      <c r="T115" s="37"/>
      <c r="U115" s="35"/>
    </row>
    <row r="116" spans="1:21">
      <c r="A116" s="221">
        <f t="shared" si="21"/>
        <v>113</v>
      </c>
      <c r="B116" s="43"/>
      <c r="C116" s="36"/>
      <c r="D116" s="37"/>
      <c r="E116" s="35"/>
      <c r="F116" s="41"/>
      <c r="G116" s="42"/>
      <c r="H116" s="42"/>
      <c r="I116" s="42"/>
      <c r="J116" s="35"/>
      <c r="K116" s="41"/>
      <c r="L116" s="42"/>
      <c r="M116" s="43"/>
      <c r="N116" s="36"/>
      <c r="O116" s="37"/>
      <c r="P116" s="37"/>
      <c r="Q116" s="37"/>
      <c r="R116" s="69"/>
      <c r="S116" s="69"/>
      <c r="T116" s="37"/>
      <c r="U116" s="35"/>
    </row>
    <row r="117" spans="1:21">
      <c r="A117" s="221">
        <f t="shared" si="21"/>
        <v>114</v>
      </c>
      <c r="B117" s="43"/>
      <c r="C117" s="36"/>
      <c r="D117" s="37"/>
      <c r="E117" s="35"/>
      <c r="F117" s="41"/>
      <c r="G117" s="42"/>
      <c r="H117" s="42"/>
      <c r="I117" s="42"/>
      <c r="J117" s="35"/>
      <c r="K117" s="41"/>
      <c r="L117" s="42"/>
      <c r="M117" s="43"/>
      <c r="N117" s="36"/>
      <c r="O117" s="37"/>
      <c r="P117" s="37"/>
      <c r="Q117" s="37"/>
      <c r="R117" s="69"/>
      <c r="S117" s="69"/>
      <c r="T117" s="37"/>
      <c r="U117" s="35"/>
    </row>
    <row r="118" spans="1:21">
      <c r="A118" s="221">
        <f t="shared" si="21"/>
        <v>115</v>
      </c>
      <c r="B118" s="43"/>
      <c r="C118" s="36"/>
      <c r="D118" s="37"/>
      <c r="E118" s="35"/>
      <c r="F118" s="41"/>
      <c r="G118" s="42"/>
      <c r="H118" s="42"/>
      <c r="I118" s="42"/>
      <c r="J118" s="35"/>
      <c r="K118" s="41"/>
      <c r="L118" s="42"/>
      <c r="M118" s="43"/>
      <c r="N118" s="36"/>
      <c r="O118" s="37"/>
      <c r="P118" s="37"/>
      <c r="Q118" s="37"/>
      <c r="R118" s="69"/>
      <c r="S118" s="69"/>
      <c r="T118" s="37"/>
      <c r="U118" s="35"/>
    </row>
    <row r="119" spans="1:21">
      <c r="A119" s="221">
        <f t="shared" si="21"/>
        <v>116</v>
      </c>
      <c r="B119" s="43"/>
      <c r="C119" s="36"/>
      <c r="D119" s="37"/>
      <c r="E119" s="35"/>
      <c r="F119" s="41"/>
      <c r="G119" s="42"/>
      <c r="H119" s="42"/>
      <c r="I119" s="42"/>
      <c r="J119" s="35"/>
      <c r="K119" s="41"/>
      <c r="L119" s="42"/>
      <c r="M119" s="43"/>
      <c r="N119" s="36"/>
      <c r="O119" s="37"/>
      <c r="P119" s="37"/>
      <c r="Q119" s="37"/>
      <c r="R119" s="69"/>
      <c r="S119" s="69"/>
      <c r="T119" s="37"/>
      <c r="U119" s="35"/>
    </row>
    <row r="120" spans="1:21">
      <c r="A120" s="221">
        <f t="shared" si="21"/>
        <v>117</v>
      </c>
      <c r="B120" s="43"/>
      <c r="C120" s="36"/>
      <c r="D120" s="37"/>
      <c r="E120" s="35"/>
      <c r="F120" s="41"/>
      <c r="G120" s="42"/>
      <c r="H120" s="42"/>
      <c r="I120" s="42"/>
      <c r="J120" s="35"/>
      <c r="K120" s="41"/>
      <c r="L120" s="42"/>
      <c r="M120" s="43"/>
      <c r="N120" s="36"/>
      <c r="O120" s="37"/>
      <c r="P120" s="37"/>
      <c r="Q120" s="37"/>
      <c r="R120" s="69"/>
      <c r="S120" s="69"/>
      <c r="T120" s="37"/>
      <c r="U120" s="35"/>
    </row>
    <row r="121" spans="1:21">
      <c r="A121" s="221">
        <f t="shared" si="21"/>
        <v>118</v>
      </c>
      <c r="B121" s="43"/>
      <c r="C121" s="36"/>
      <c r="D121" s="37"/>
      <c r="E121" s="35"/>
      <c r="F121" s="41"/>
      <c r="G121" s="42"/>
      <c r="H121" s="42"/>
      <c r="I121" s="42"/>
      <c r="J121" s="35"/>
      <c r="K121" s="41"/>
      <c r="L121" s="42"/>
      <c r="M121" s="43"/>
      <c r="N121" s="36"/>
      <c r="O121" s="37"/>
      <c r="P121" s="37"/>
      <c r="Q121" s="37"/>
      <c r="R121" s="69"/>
      <c r="S121" s="69"/>
      <c r="T121" s="37"/>
      <c r="U121" s="35"/>
    </row>
    <row r="122" spans="1:21">
      <c r="A122" s="221">
        <f t="shared" si="21"/>
        <v>119</v>
      </c>
      <c r="B122" s="43"/>
      <c r="C122" s="36"/>
      <c r="D122" s="37"/>
      <c r="E122" s="35"/>
      <c r="F122" s="41"/>
      <c r="G122" s="42"/>
      <c r="H122" s="42"/>
      <c r="I122" s="42"/>
      <c r="J122" s="35"/>
      <c r="K122" s="41"/>
      <c r="L122" s="42"/>
      <c r="M122" s="43"/>
      <c r="N122" s="36"/>
      <c r="O122" s="37"/>
      <c r="P122" s="37"/>
      <c r="Q122" s="37"/>
      <c r="R122" s="69"/>
      <c r="S122" s="69"/>
      <c r="T122" s="37"/>
      <c r="U122" s="35"/>
    </row>
    <row r="123" spans="1:21">
      <c r="A123" s="221">
        <f t="shared" si="21"/>
        <v>120</v>
      </c>
      <c r="B123" s="43"/>
      <c r="C123" s="36"/>
      <c r="D123" s="37"/>
      <c r="E123" s="35"/>
      <c r="F123" s="41"/>
      <c r="G123" s="42"/>
      <c r="H123" s="42"/>
      <c r="I123" s="42"/>
      <c r="J123" s="35"/>
      <c r="K123" s="41"/>
      <c r="L123" s="42"/>
      <c r="M123" s="43"/>
      <c r="N123" s="36"/>
      <c r="O123" s="37"/>
      <c r="P123" s="37"/>
      <c r="Q123" s="37"/>
      <c r="R123" s="69"/>
      <c r="S123" s="69"/>
      <c r="T123" s="37"/>
      <c r="U123" s="35"/>
    </row>
    <row r="124" spans="1:21">
      <c r="A124" s="221">
        <f t="shared" si="21"/>
        <v>121</v>
      </c>
      <c r="B124" s="43"/>
      <c r="C124" s="36"/>
      <c r="D124" s="37"/>
      <c r="E124" s="35"/>
      <c r="F124" s="41"/>
      <c r="G124" s="42"/>
      <c r="H124" s="42"/>
      <c r="I124" s="42"/>
      <c r="J124" s="35"/>
      <c r="K124" s="41"/>
      <c r="L124" s="42"/>
      <c r="M124" s="43"/>
      <c r="N124" s="36"/>
      <c r="O124" s="37"/>
      <c r="P124" s="37"/>
      <c r="Q124" s="37"/>
      <c r="R124" s="69"/>
      <c r="S124" s="69"/>
      <c r="T124" s="37"/>
      <c r="U124" s="35"/>
    </row>
    <row r="125" spans="1:21">
      <c r="A125" s="221">
        <f t="shared" si="21"/>
        <v>122</v>
      </c>
      <c r="B125" s="43"/>
      <c r="C125" s="36"/>
      <c r="D125" s="37"/>
      <c r="E125" s="35"/>
      <c r="F125" s="41"/>
      <c r="G125" s="42"/>
      <c r="H125" s="42"/>
      <c r="I125" s="42"/>
      <c r="J125" s="35"/>
      <c r="K125" s="41"/>
      <c r="L125" s="42"/>
      <c r="M125" s="43"/>
      <c r="N125" s="36"/>
      <c r="O125" s="37"/>
      <c r="P125" s="37"/>
      <c r="Q125" s="37"/>
      <c r="R125" s="69"/>
      <c r="S125" s="69"/>
      <c r="T125" s="37"/>
      <c r="U125" s="35"/>
    </row>
    <row r="126" spans="1:21">
      <c r="A126" s="221">
        <f t="shared" si="21"/>
        <v>123</v>
      </c>
      <c r="B126" s="43"/>
      <c r="C126" s="36"/>
      <c r="D126" s="37"/>
      <c r="E126" s="35"/>
      <c r="F126" s="41"/>
      <c r="G126" s="42"/>
      <c r="H126" s="42"/>
      <c r="I126" s="42"/>
      <c r="J126" s="35"/>
      <c r="K126" s="41"/>
      <c r="L126" s="42"/>
      <c r="M126" s="43"/>
      <c r="N126" s="36"/>
      <c r="O126" s="37"/>
      <c r="P126" s="37"/>
      <c r="Q126" s="37"/>
      <c r="R126" s="69"/>
      <c r="S126" s="69"/>
      <c r="T126" s="37"/>
      <c r="U126" s="35"/>
    </row>
    <row r="127" spans="1:21">
      <c r="A127" s="221">
        <f t="shared" si="21"/>
        <v>124</v>
      </c>
      <c r="B127" s="43"/>
      <c r="C127" s="36"/>
      <c r="D127" s="37"/>
      <c r="E127" s="35"/>
      <c r="F127" s="41"/>
      <c r="G127" s="42"/>
      <c r="H127" s="42"/>
      <c r="I127" s="42"/>
      <c r="J127" s="35"/>
      <c r="K127" s="41"/>
      <c r="L127" s="42"/>
      <c r="M127" s="43"/>
      <c r="N127" s="36"/>
      <c r="O127" s="37"/>
      <c r="P127" s="37"/>
      <c r="Q127" s="37"/>
      <c r="R127" s="69"/>
      <c r="S127" s="69"/>
      <c r="T127" s="37"/>
      <c r="U127" s="35"/>
    </row>
    <row r="128" spans="1:21">
      <c r="A128" s="221">
        <f t="shared" ref="A128:A191" si="22">IF(ISNUMBER(A127),A127,0)+1</f>
        <v>125</v>
      </c>
      <c r="B128" s="43"/>
      <c r="C128" s="36"/>
      <c r="D128" s="37"/>
      <c r="E128" s="35"/>
      <c r="F128" s="41"/>
      <c r="G128" s="42"/>
      <c r="H128" s="42"/>
      <c r="I128" s="42"/>
      <c r="J128" s="35"/>
      <c r="K128" s="41"/>
      <c r="L128" s="42"/>
      <c r="M128" s="43"/>
      <c r="N128" s="36"/>
      <c r="O128" s="37"/>
      <c r="P128" s="37"/>
      <c r="Q128" s="37"/>
      <c r="R128" s="69"/>
      <c r="S128" s="69"/>
      <c r="T128" s="37"/>
      <c r="U128" s="35"/>
    </row>
    <row r="129" spans="1:21">
      <c r="A129" s="221">
        <f t="shared" si="22"/>
        <v>126</v>
      </c>
      <c r="B129" s="43"/>
      <c r="C129" s="36"/>
      <c r="D129" s="37"/>
      <c r="E129" s="35"/>
      <c r="F129" s="41"/>
      <c r="G129" s="42"/>
      <c r="H129" s="42"/>
      <c r="I129" s="42"/>
      <c r="J129" s="35"/>
      <c r="K129" s="41"/>
      <c r="L129" s="42"/>
      <c r="M129" s="43"/>
      <c r="N129" s="36"/>
      <c r="O129" s="37"/>
      <c r="P129" s="37"/>
      <c r="Q129" s="37"/>
      <c r="R129" s="69"/>
      <c r="S129" s="69"/>
      <c r="T129" s="37"/>
      <c r="U129" s="35"/>
    </row>
    <row r="130" spans="1:21">
      <c r="A130" s="221">
        <f t="shared" si="22"/>
        <v>127</v>
      </c>
      <c r="B130" s="43"/>
      <c r="C130" s="36"/>
      <c r="D130" s="37"/>
      <c r="E130" s="35"/>
      <c r="F130" s="41"/>
      <c r="G130" s="42"/>
      <c r="H130" s="42"/>
      <c r="I130" s="42"/>
      <c r="J130" s="35"/>
      <c r="K130" s="41"/>
      <c r="L130" s="42"/>
      <c r="M130" s="43"/>
      <c r="N130" s="36"/>
      <c r="O130" s="37"/>
      <c r="P130" s="37"/>
      <c r="Q130" s="37"/>
      <c r="R130" s="69"/>
      <c r="S130" s="69"/>
      <c r="T130" s="37"/>
      <c r="U130" s="35"/>
    </row>
    <row r="131" spans="1:21">
      <c r="A131" s="221">
        <f t="shared" si="22"/>
        <v>128</v>
      </c>
      <c r="B131" s="43"/>
      <c r="C131" s="36"/>
      <c r="D131" s="37"/>
      <c r="E131" s="35"/>
      <c r="F131" s="41"/>
      <c r="G131" s="42"/>
      <c r="H131" s="42"/>
      <c r="I131" s="42"/>
      <c r="J131" s="35"/>
      <c r="K131" s="41"/>
      <c r="L131" s="42"/>
      <c r="M131" s="43"/>
      <c r="N131" s="36"/>
      <c r="O131" s="37"/>
      <c r="P131" s="37"/>
      <c r="Q131" s="37"/>
      <c r="R131" s="69"/>
      <c r="S131" s="69"/>
      <c r="T131" s="37"/>
      <c r="U131" s="35"/>
    </row>
    <row r="132" spans="1:21">
      <c r="A132" s="221">
        <f t="shared" si="22"/>
        <v>129</v>
      </c>
      <c r="B132" s="43"/>
      <c r="C132" s="36"/>
      <c r="D132" s="37"/>
      <c r="E132" s="35"/>
      <c r="F132" s="41"/>
      <c r="G132" s="42"/>
      <c r="H132" s="42"/>
      <c r="I132" s="42"/>
      <c r="J132" s="35"/>
      <c r="K132" s="41"/>
      <c r="L132" s="42"/>
      <c r="M132" s="43"/>
      <c r="N132" s="36"/>
      <c r="O132" s="37"/>
      <c r="P132" s="37"/>
      <c r="Q132" s="37"/>
      <c r="R132" s="69"/>
      <c r="S132" s="69"/>
      <c r="T132" s="37"/>
      <c r="U132" s="35"/>
    </row>
    <row r="133" spans="1:21">
      <c r="A133" s="221">
        <f t="shared" si="22"/>
        <v>130</v>
      </c>
      <c r="B133" s="43"/>
      <c r="C133" s="36"/>
      <c r="D133" s="37"/>
      <c r="E133" s="35"/>
      <c r="F133" s="41"/>
      <c r="G133" s="42"/>
      <c r="H133" s="42"/>
      <c r="I133" s="42"/>
      <c r="J133" s="35"/>
      <c r="K133" s="41"/>
      <c r="L133" s="42"/>
      <c r="M133" s="43"/>
      <c r="N133" s="36"/>
      <c r="O133" s="37"/>
      <c r="P133" s="37"/>
      <c r="Q133" s="37"/>
      <c r="R133" s="69"/>
      <c r="S133" s="69"/>
      <c r="T133" s="37"/>
      <c r="U133" s="35"/>
    </row>
    <row r="134" spans="1:21">
      <c r="A134" s="221">
        <f t="shared" si="22"/>
        <v>131</v>
      </c>
      <c r="B134" s="43"/>
      <c r="C134" s="36"/>
      <c r="D134" s="37"/>
      <c r="E134" s="35"/>
      <c r="F134" s="41"/>
      <c r="G134" s="42"/>
      <c r="H134" s="42"/>
      <c r="I134" s="42"/>
      <c r="J134" s="35"/>
      <c r="K134" s="41"/>
      <c r="L134" s="42"/>
      <c r="M134" s="43"/>
      <c r="N134" s="36"/>
      <c r="O134" s="37"/>
      <c r="P134" s="37"/>
      <c r="Q134" s="37"/>
      <c r="R134" s="69"/>
      <c r="S134" s="69"/>
      <c r="T134" s="37"/>
      <c r="U134" s="35"/>
    </row>
    <row r="135" spans="1:21">
      <c r="A135" s="221">
        <f t="shared" si="22"/>
        <v>132</v>
      </c>
      <c r="B135" s="43"/>
      <c r="C135" s="36"/>
      <c r="D135" s="37"/>
      <c r="E135" s="35"/>
      <c r="F135" s="41"/>
      <c r="G135" s="42"/>
      <c r="H135" s="42"/>
      <c r="I135" s="42"/>
      <c r="J135" s="35"/>
      <c r="K135" s="41"/>
      <c r="L135" s="42"/>
      <c r="M135" s="43"/>
      <c r="N135" s="36"/>
      <c r="O135" s="37"/>
      <c r="P135" s="37"/>
      <c r="Q135" s="37"/>
      <c r="R135" s="69"/>
      <c r="S135" s="69"/>
      <c r="T135" s="37"/>
      <c r="U135" s="35"/>
    </row>
    <row r="136" spans="1:21">
      <c r="A136" s="221">
        <f t="shared" si="22"/>
        <v>133</v>
      </c>
      <c r="B136" s="43"/>
      <c r="C136" s="36"/>
      <c r="D136" s="37"/>
      <c r="E136" s="35"/>
      <c r="F136" s="41"/>
      <c r="G136" s="42"/>
      <c r="H136" s="42"/>
      <c r="I136" s="42"/>
      <c r="J136" s="35"/>
      <c r="K136" s="41"/>
      <c r="L136" s="42"/>
      <c r="M136" s="43"/>
      <c r="N136" s="36"/>
      <c r="O136" s="37"/>
      <c r="P136" s="37"/>
      <c r="Q136" s="37"/>
      <c r="R136" s="69"/>
      <c r="S136" s="69"/>
      <c r="T136" s="37"/>
      <c r="U136" s="35"/>
    </row>
    <row r="137" spans="1:21">
      <c r="A137" s="221">
        <f t="shared" si="22"/>
        <v>134</v>
      </c>
      <c r="B137" s="43"/>
      <c r="C137" s="36"/>
      <c r="D137" s="37"/>
      <c r="E137" s="35"/>
      <c r="F137" s="41"/>
      <c r="G137" s="42"/>
      <c r="H137" s="42"/>
      <c r="I137" s="42"/>
      <c r="J137" s="35"/>
      <c r="K137" s="41"/>
      <c r="L137" s="42"/>
      <c r="M137" s="43"/>
      <c r="N137" s="36"/>
      <c r="O137" s="37"/>
      <c r="P137" s="37"/>
      <c r="Q137" s="37"/>
      <c r="R137" s="69"/>
      <c r="S137" s="69"/>
      <c r="T137" s="37"/>
      <c r="U137" s="35"/>
    </row>
    <row r="138" spans="1:21">
      <c r="A138" s="221">
        <f t="shared" si="22"/>
        <v>135</v>
      </c>
      <c r="B138" s="43"/>
      <c r="C138" s="36"/>
      <c r="D138" s="37"/>
      <c r="E138" s="35"/>
      <c r="F138" s="41"/>
      <c r="G138" s="42"/>
      <c r="H138" s="42"/>
      <c r="I138" s="42"/>
      <c r="J138" s="35"/>
      <c r="K138" s="41"/>
      <c r="L138" s="42"/>
      <c r="M138" s="43"/>
      <c r="N138" s="36"/>
      <c r="O138" s="37"/>
      <c r="P138" s="37"/>
      <c r="Q138" s="37"/>
      <c r="R138" s="69"/>
      <c r="S138" s="69"/>
      <c r="T138" s="37"/>
      <c r="U138" s="35"/>
    </row>
    <row r="139" spans="1:21">
      <c r="A139" s="221">
        <f t="shared" si="22"/>
        <v>136</v>
      </c>
      <c r="B139" s="43"/>
      <c r="C139" s="36"/>
      <c r="D139" s="37"/>
      <c r="E139" s="35"/>
      <c r="F139" s="41"/>
      <c r="G139" s="42"/>
      <c r="H139" s="42"/>
      <c r="I139" s="42"/>
      <c r="J139" s="35"/>
      <c r="K139" s="41"/>
      <c r="L139" s="42"/>
      <c r="M139" s="43"/>
      <c r="N139" s="36"/>
      <c r="O139" s="37"/>
      <c r="P139" s="37"/>
      <c r="Q139" s="37"/>
      <c r="R139" s="69"/>
      <c r="S139" s="69"/>
      <c r="T139" s="37"/>
      <c r="U139" s="35"/>
    </row>
    <row r="140" spans="1:21">
      <c r="A140" s="221">
        <f t="shared" si="22"/>
        <v>137</v>
      </c>
      <c r="B140" s="43"/>
      <c r="C140" s="36"/>
      <c r="D140" s="37"/>
      <c r="E140" s="35"/>
      <c r="F140" s="41"/>
      <c r="G140" s="42"/>
      <c r="H140" s="42"/>
      <c r="I140" s="42"/>
      <c r="J140" s="35"/>
      <c r="K140" s="41"/>
      <c r="L140" s="42"/>
      <c r="M140" s="43"/>
      <c r="N140" s="36"/>
      <c r="O140" s="37"/>
      <c r="P140" s="37"/>
      <c r="Q140" s="37"/>
      <c r="R140" s="69"/>
      <c r="S140" s="69"/>
      <c r="T140" s="37"/>
      <c r="U140" s="35"/>
    </row>
    <row r="141" spans="1:21">
      <c r="A141" s="221">
        <f t="shared" si="22"/>
        <v>138</v>
      </c>
      <c r="B141" s="43"/>
      <c r="C141" s="36"/>
      <c r="D141" s="37"/>
      <c r="E141" s="35"/>
      <c r="F141" s="41"/>
      <c r="G141" s="42"/>
      <c r="H141" s="42"/>
      <c r="I141" s="42"/>
      <c r="J141" s="35"/>
      <c r="K141" s="41"/>
      <c r="L141" s="42"/>
      <c r="M141" s="43"/>
      <c r="N141" s="36"/>
      <c r="O141" s="37"/>
      <c r="P141" s="37"/>
      <c r="Q141" s="37"/>
      <c r="R141" s="69"/>
      <c r="S141" s="69"/>
      <c r="T141" s="37"/>
      <c r="U141" s="35"/>
    </row>
    <row r="142" spans="1:21">
      <c r="A142" s="221">
        <f t="shared" si="22"/>
        <v>139</v>
      </c>
      <c r="B142" s="43"/>
      <c r="C142" s="36"/>
      <c r="D142" s="37"/>
      <c r="E142" s="35"/>
      <c r="F142" s="41"/>
      <c r="G142" s="42"/>
      <c r="H142" s="42"/>
      <c r="I142" s="42"/>
      <c r="J142" s="35"/>
      <c r="K142" s="41"/>
      <c r="L142" s="42"/>
      <c r="M142" s="43"/>
      <c r="N142" s="36"/>
      <c r="O142" s="37"/>
      <c r="P142" s="37"/>
      <c r="Q142" s="37"/>
      <c r="R142" s="69"/>
      <c r="S142" s="69"/>
      <c r="T142" s="37"/>
      <c r="U142" s="35"/>
    </row>
    <row r="143" spans="1:21">
      <c r="A143" s="221">
        <f t="shared" si="22"/>
        <v>140</v>
      </c>
      <c r="B143" s="43"/>
      <c r="C143" s="36"/>
      <c r="D143" s="37"/>
      <c r="E143" s="35"/>
      <c r="F143" s="41"/>
      <c r="G143" s="42"/>
      <c r="H143" s="42"/>
      <c r="I143" s="42"/>
      <c r="J143" s="35"/>
      <c r="K143" s="41"/>
      <c r="L143" s="42"/>
      <c r="M143" s="43"/>
      <c r="N143" s="36"/>
      <c r="O143" s="37"/>
      <c r="P143" s="37"/>
      <c r="Q143" s="37"/>
      <c r="R143" s="69"/>
      <c r="S143" s="69"/>
      <c r="T143" s="37"/>
      <c r="U143" s="35"/>
    </row>
    <row r="144" spans="1:21">
      <c r="A144" s="221">
        <f t="shared" si="22"/>
        <v>141</v>
      </c>
      <c r="B144" s="43"/>
      <c r="C144" s="36"/>
      <c r="D144" s="37"/>
      <c r="E144" s="35"/>
      <c r="F144" s="41"/>
      <c r="G144" s="42"/>
      <c r="H144" s="42"/>
      <c r="I144" s="42"/>
      <c r="J144" s="35"/>
      <c r="K144" s="41"/>
      <c r="L144" s="42"/>
      <c r="M144" s="43"/>
      <c r="N144" s="36"/>
      <c r="O144" s="37"/>
      <c r="P144" s="37"/>
      <c r="Q144" s="37"/>
      <c r="R144" s="69"/>
      <c r="S144" s="69"/>
      <c r="T144" s="37"/>
      <c r="U144" s="35"/>
    </row>
    <row r="145" spans="1:21">
      <c r="A145" s="221">
        <f t="shared" si="22"/>
        <v>142</v>
      </c>
      <c r="B145" s="43"/>
      <c r="C145" s="36"/>
      <c r="D145" s="37"/>
      <c r="E145" s="35"/>
      <c r="F145" s="41"/>
      <c r="G145" s="42"/>
      <c r="H145" s="42"/>
      <c r="I145" s="42"/>
      <c r="J145" s="35"/>
      <c r="K145" s="41"/>
      <c r="L145" s="42"/>
      <c r="M145" s="43"/>
      <c r="N145" s="36"/>
      <c r="O145" s="37"/>
      <c r="P145" s="37"/>
      <c r="Q145" s="37"/>
      <c r="R145" s="69"/>
      <c r="S145" s="69"/>
      <c r="T145" s="37"/>
      <c r="U145" s="35"/>
    </row>
    <row r="146" spans="1:21">
      <c r="A146" s="221">
        <f t="shared" si="22"/>
        <v>143</v>
      </c>
      <c r="B146" s="43"/>
      <c r="C146" s="36"/>
      <c r="D146" s="37"/>
      <c r="E146" s="35"/>
      <c r="F146" s="41"/>
      <c r="G146" s="42"/>
      <c r="H146" s="42"/>
      <c r="I146" s="42"/>
      <c r="J146" s="35"/>
      <c r="K146" s="41"/>
      <c r="L146" s="42"/>
      <c r="M146" s="43"/>
      <c r="N146" s="36"/>
      <c r="O146" s="37"/>
      <c r="P146" s="37"/>
      <c r="Q146" s="37"/>
      <c r="R146" s="69"/>
      <c r="S146" s="69"/>
      <c r="T146" s="37"/>
      <c r="U146" s="35"/>
    </row>
    <row r="147" spans="1:21">
      <c r="A147" s="221">
        <f t="shared" si="22"/>
        <v>144</v>
      </c>
      <c r="B147" s="43"/>
      <c r="C147" s="36"/>
      <c r="D147" s="37"/>
      <c r="E147" s="35"/>
      <c r="F147" s="41"/>
      <c r="G147" s="42"/>
      <c r="H147" s="42"/>
      <c r="I147" s="42"/>
      <c r="J147" s="35"/>
      <c r="K147" s="41"/>
      <c r="L147" s="42"/>
      <c r="M147" s="43"/>
      <c r="N147" s="36"/>
      <c r="O147" s="37"/>
      <c r="P147" s="37"/>
      <c r="Q147" s="37"/>
      <c r="R147" s="69"/>
      <c r="S147" s="69"/>
      <c r="T147" s="37"/>
      <c r="U147" s="35"/>
    </row>
    <row r="148" spans="1:21">
      <c r="A148" s="221">
        <f t="shared" si="22"/>
        <v>145</v>
      </c>
      <c r="B148" s="43"/>
      <c r="C148" s="36"/>
      <c r="D148" s="37"/>
      <c r="E148" s="35"/>
      <c r="F148" s="41"/>
      <c r="G148" s="42"/>
      <c r="H148" s="42"/>
      <c r="I148" s="42"/>
      <c r="J148" s="35"/>
      <c r="K148" s="41"/>
      <c r="L148" s="42"/>
      <c r="M148" s="43"/>
      <c r="N148" s="36"/>
      <c r="O148" s="37"/>
      <c r="P148" s="37"/>
      <c r="Q148" s="37"/>
      <c r="R148" s="69"/>
      <c r="S148" s="69"/>
      <c r="T148" s="37"/>
      <c r="U148" s="35"/>
    </row>
    <row r="149" spans="1:21">
      <c r="A149" s="221">
        <f t="shared" si="22"/>
        <v>146</v>
      </c>
      <c r="B149" s="43"/>
      <c r="C149" s="36"/>
      <c r="D149" s="37"/>
      <c r="E149" s="35"/>
      <c r="F149" s="41"/>
      <c r="G149" s="42"/>
      <c r="H149" s="42"/>
      <c r="I149" s="42"/>
      <c r="J149" s="35"/>
      <c r="K149" s="41"/>
      <c r="L149" s="42"/>
      <c r="M149" s="43"/>
      <c r="N149" s="36"/>
      <c r="O149" s="37"/>
      <c r="P149" s="37"/>
      <c r="Q149" s="37"/>
      <c r="R149" s="69"/>
      <c r="S149" s="69"/>
      <c r="T149" s="37"/>
      <c r="U149" s="35"/>
    </row>
    <row r="150" spans="1:21">
      <c r="A150" s="221">
        <f t="shared" si="22"/>
        <v>147</v>
      </c>
      <c r="B150" s="43"/>
      <c r="C150" s="36"/>
      <c r="D150" s="37"/>
      <c r="E150" s="35"/>
      <c r="F150" s="41"/>
      <c r="G150" s="42"/>
      <c r="H150" s="42"/>
      <c r="I150" s="42"/>
      <c r="J150" s="35"/>
      <c r="K150" s="41"/>
      <c r="L150" s="42"/>
      <c r="M150" s="43"/>
      <c r="N150" s="36"/>
      <c r="O150" s="37"/>
      <c r="P150" s="37"/>
      <c r="Q150" s="37"/>
      <c r="R150" s="69"/>
      <c r="S150" s="69"/>
      <c r="T150" s="37"/>
      <c r="U150" s="35"/>
    </row>
    <row r="151" spans="1:21">
      <c r="A151" s="221">
        <f t="shared" si="22"/>
        <v>148</v>
      </c>
      <c r="B151" s="43"/>
      <c r="C151" s="36"/>
      <c r="D151" s="37"/>
      <c r="E151" s="35"/>
      <c r="F151" s="41"/>
      <c r="G151" s="42"/>
      <c r="H151" s="42"/>
      <c r="I151" s="42"/>
      <c r="J151" s="35"/>
      <c r="K151" s="41"/>
      <c r="L151" s="42"/>
      <c r="M151" s="43"/>
      <c r="N151" s="36"/>
      <c r="O151" s="37"/>
      <c r="P151" s="37"/>
      <c r="Q151" s="37"/>
      <c r="R151" s="69"/>
      <c r="S151" s="69"/>
      <c r="T151" s="37"/>
      <c r="U151" s="35"/>
    </row>
    <row r="152" spans="1:21">
      <c r="A152" s="221">
        <f t="shared" si="22"/>
        <v>149</v>
      </c>
      <c r="B152" s="43"/>
      <c r="C152" s="36"/>
      <c r="D152" s="37"/>
      <c r="E152" s="35"/>
      <c r="F152" s="41"/>
      <c r="G152" s="42"/>
      <c r="H152" s="42"/>
      <c r="I152" s="42"/>
      <c r="J152" s="35"/>
      <c r="K152" s="41"/>
      <c r="L152" s="42"/>
      <c r="M152" s="43"/>
      <c r="N152" s="36"/>
      <c r="O152" s="37"/>
      <c r="P152" s="37"/>
      <c r="Q152" s="37"/>
      <c r="R152" s="69"/>
      <c r="S152" s="69"/>
      <c r="T152" s="37"/>
      <c r="U152" s="35"/>
    </row>
    <row r="153" spans="1:21">
      <c r="A153" s="221">
        <f t="shared" si="22"/>
        <v>150</v>
      </c>
      <c r="B153" s="43"/>
      <c r="C153" s="36"/>
      <c r="D153" s="37"/>
      <c r="E153" s="35"/>
      <c r="F153" s="41"/>
      <c r="G153" s="42"/>
      <c r="H153" s="42"/>
      <c r="I153" s="42"/>
      <c r="J153" s="35"/>
      <c r="K153" s="41"/>
      <c r="L153" s="42"/>
      <c r="M153" s="43"/>
      <c r="N153" s="36"/>
      <c r="O153" s="37"/>
      <c r="P153" s="37"/>
      <c r="Q153" s="37"/>
      <c r="R153" s="69"/>
      <c r="S153" s="69"/>
      <c r="T153" s="37"/>
      <c r="U153" s="35"/>
    </row>
    <row r="154" spans="1:21">
      <c r="A154" s="221">
        <f t="shared" si="22"/>
        <v>151</v>
      </c>
      <c r="B154" s="43"/>
      <c r="C154" s="36"/>
      <c r="D154" s="37"/>
      <c r="E154" s="35"/>
      <c r="F154" s="41"/>
      <c r="G154" s="42"/>
      <c r="H154" s="42"/>
      <c r="I154" s="42"/>
      <c r="J154" s="35"/>
      <c r="K154" s="41"/>
      <c r="L154" s="42"/>
      <c r="M154" s="43"/>
      <c r="N154" s="36"/>
      <c r="O154" s="37"/>
      <c r="P154" s="37"/>
      <c r="Q154" s="37"/>
      <c r="R154" s="69"/>
      <c r="S154" s="69"/>
      <c r="T154" s="37"/>
      <c r="U154" s="35"/>
    </row>
    <row r="155" spans="1:21">
      <c r="A155" s="221">
        <f t="shared" si="22"/>
        <v>152</v>
      </c>
      <c r="B155" s="43"/>
      <c r="C155" s="36"/>
      <c r="D155" s="37"/>
      <c r="E155" s="35"/>
      <c r="F155" s="41"/>
      <c r="G155" s="42"/>
      <c r="H155" s="42"/>
      <c r="I155" s="42"/>
      <c r="J155" s="35"/>
      <c r="K155" s="41"/>
      <c r="L155" s="42"/>
      <c r="M155" s="43"/>
      <c r="N155" s="36"/>
      <c r="O155" s="37"/>
      <c r="P155" s="37"/>
      <c r="Q155" s="37"/>
      <c r="R155" s="69"/>
      <c r="S155" s="69"/>
      <c r="T155" s="37"/>
      <c r="U155" s="35"/>
    </row>
    <row r="156" spans="1:21">
      <c r="A156" s="221">
        <f t="shared" si="22"/>
        <v>153</v>
      </c>
      <c r="B156" s="43"/>
      <c r="C156" s="36"/>
      <c r="D156" s="37"/>
      <c r="E156" s="35"/>
      <c r="F156" s="41"/>
      <c r="G156" s="42"/>
      <c r="H156" s="42"/>
      <c r="I156" s="42"/>
      <c r="J156" s="35"/>
      <c r="K156" s="41"/>
      <c r="L156" s="42"/>
      <c r="M156" s="43"/>
      <c r="N156" s="36"/>
      <c r="O156" s="37"/>
      <c r="P156" s="37"/>
      <c r="Q156" s="37"/>
      <c r="R156" s="69"/>
      <c r="S156" s="69"/>
      <c r="T156" s="37"/>
      <c r="U156" s="35"/>
    </row>
    <row r="157" spans="1:21">
      <c r="A157" s="221">
        <f t="shared" si="22"/>
        <v>154</v>
      </c>
      <c r="B157" s="43"/>
      <c r="C157" s="36"/>
      <c r="D157" s="37"/>
      <c r="E157" s="35"/>
      <c r="F157" s="41"/>
      <c r="G157" s="42"/>
      <c r="H157" s="42"/>
      <c r="I157" s="42"/>
      <c r="J157" s="35"/>
      <c r="K157" s="41"/>
      <c r="L157" s="42"/>
      <c r="M157" s="43"/>
      <c r="N157" s="36"/>
      <c r="O157" s="37"/>
      <c r="P157" s="37"/>
      <c r="Q157" s="37"/>
      <c r="R157" s="69"/>
      <c r="S157" s="69"/>
      <c r="T157" s="37"/>
      <c r="U157" s="35"/>
    </row>
    <row r="158" spans="1:21">
      <c r="A158" s="221">
        <f t="shared" si="22"/>
        <v>155</v>
      </c>
      <c r="B158" s="43"/>
      <c r="C158" s="36"/>
      <c r="D158" s="37"/>
      <c r="E158" s="35"/>
      <c r="F158" s="41"/>
      <c r="G158" s="42"/>
      <c r="H158" s="42"/>
      <c r="I158" s="42"/>
      <c r="J158" s="35"/>
      <c r="K158" s="41"/>
      <c r="L158" s="42"/>
      <c r="M158" s="43"/>
      <c r="N158" s="36"/>
      <c r="O158" s="37"/>
      <c r="P158" s="37"/>
      <c r="Q158" s="37"/>
      <c r="R158" s="69"/>
      <c r="S158" s="69"/>
      <c r="T158" s="37"/>
      <c r="U158" s="35"/>
    </row>
    <row r="159" spans="1:21">
      <c r="A159" s="221">
        <f t="shared" si="22"/>
        <v>156</v>
      </c>
      <c r="B159" s="43"/>
      <c r="C159" s="36"/>
      <c r="D159" s="37"/>
      <c r="E159" s="35"/>
      <c r="F159" s="41"/>
      <c r="G159" s="42"/>
      <c r="H159" s="42"/>
      <c r="I159" s="42"/>
      <c r="J159" s="35"/>
      <c r="K159" s="41"/>
      <c r="L159" s="42"/>
      <c r="M159" s="43"/>
      <c r="N159" s="36"/>
      <c r="O159" s="37"/>
      <c r="P159" s="37"/>
      <c r="Q159" s="37"/>
      <c r="R159" s="69"/>
      <c r="S159" s="69"/>
      <c r="T159" s="37"/>
      <c r="U159" s="35"/>
    </row>
    <row r="160" spans="1:21">
      <c r="A160" s="221">
        <f t="shared" si="22"/>
        <v>157</v>
      </c>
      <c r="B160" s="43"/>
      <c r="C160" s="36"/>
      <c r="D160" s="37"/>
      <c r="E160" s="35"/>
      <c r="F160" s="41"/>
      <c r="G160" s="42"/>
      <c r="H160" s="42"/>
      <c r="I160" s="42"/>
      <c r="J160" s="35"/>
      <c r="K160" s="41"/>
      <c r="L160" s="42"/>
      <c r="M160" s="43"/>
      <c r="N160" s="36"/>
      <c r="O160" s="37"/>
      <c r="P160" s="37"/>
      <c r="Q160" s="37"/>
      <c r="R160" s="69"/>
      <c r="S160" s="69"/>
      <c r="T160" s="37"/>
      <c r="U160" s="35"/>
    </row>
    <row r="161" spans="1:21">
      <c r="A161" s="221">
        <f t="shared" si="22"/>
        <v>158</v>
      </c>
      <c r="B161" s="43"/>
      <c r="C161" s="36"/>
      <c r="D161" s="37"/>
      <c r="E161" s="35"/>
      <c r="F161" s="41"/>
      <c r="G161" s="42"/>
      <c r="H161" s="42"/>
      <c r="I161" s="42"/>
      <c r="J161" s="35"/>
      <c r="K161" s="41"/>
      <c r="L161" s="42"/>
      <c r="M161" s="43"/>
      <c r="N161" s="36"/>
      <c r="O161" s="37"/>
      <c r="P161" s="37"/>
      <c r="Q161" s="37"/>
      <c r="R161" s="69"/>
      <c r="S161" s="69"/>
      <c r="T161" s="37"/>
      <c r="U161" s="35"/>
    </row>
    <row r="162" spans="1:21">
      <c r="A162" s="221">
        <f t="shared" si="22"/>
        <v>159</v>
      </c>
      <c r="B162" s="43"/>
      <c r="C162" s="36"/>
      <c r="D162" s="37"/>
      <c r="E162" s="35"/>
      <c r="F162" s="41"/>
      <c r="G162" s="42"/>
      <c r="H162" s="42"/>
      <c r="I162" s="42"/>
      <c r="J162" s="35"/>
      <c r="K162" s="41"/>
      <c r="L162" s="42"/>
      <c r="M162" s="43"/>
      <c r="N162" s="36"/>
      <c r="O162" s="37"/>
      <c r="P162" s="37"/>
      <c r="Q162" s="37"/>
      <c r="R162" s="69"/>
      <c r="S162" s="69"/>
      <c r="T162" s="37"/>
      <c r="U162" s="35"/>
    </row>
    <row r="163" spans="1:21">
      <c r="A163" s="221">
        <f t="shared" si="22"/>
        <v>160</v>
      </c>
      <c r="B163" s="43"/>
      <c r="C163" s="36"/>
      <c r="D163" s="37"/>
      <c r="E163" s="35"/>
      <c r="F163" s="41"/>
      <c r="G163" s="42"/>
      <c r="H163" s="42"/>
      <c r="I163" s="42"/>
      <c r="J163" s="35"/>
      <c r="K163" s="41"/>
      <c r="L163" s="42"/>
      <c r="M163" s="43"/>
      <c r="N163" s="36"/>
      <c r="O163" s="37"/>
      <c r="P163" s="37"/>
      <c r="Q163" s="37"/>
      <c r="R163" s="69"/>
      <c r="S163" s="69"/>
      <c r="T163" s="37"/>
      <c r="U163" s="35"/>
    </row>
    <row r="164" spans="1:21">
      <c r="A164" s="221">
        <f t="shared" si="22"/>
        <v>161</v>
      </c>
      <c r="B164" s="43"/>
      <c r="C164" s="36"/>
      <c r="D164" s="37"/>
      <c r="E164" s="35"/>
      <c r="F164" s="41"/>
      <c r="G164" s="42"/>
      <c r="H164" s="42"/>
      <c r="I164" s="42"/>
      <c r="J164" s="35"/>
      <c r="K164" s="41"/>
      <c r="L164" s="42"/>
      <c r="M164" s="43"/>
      <c r="N164" s="36"/>
      <c r="O164" s="37"/>
      <c r="P164" s="37"/>
      <c r="Q164" s="37"/>
      <c r="R164" s="69"/>
      <c r="S164" s="69"/>
      <c r="T164" s="37"/>
      <c r="U164" s="35"/>
    </row>
    <row r="165" spans="1:21">
      <c r="A165" s="221">
        <f t="shared" si="22"/>
        <v>162</v>
      </c>
      <c r="B165" s="43"/>
      <c r="C165" s="36"/>
      <c r="D165" s="37"/>
      <c r="E165" s="35"/>
      <c r="F165" s="41"/>
      <c r="G165" s="42"/>
      <c r="H165" s="42"/>
      <c r="I165" s="42"/>
      <c r="J165" s="35"/>
      <c r="K165" s="41"/>
      <c r="L165" s="42"/>
      <c r="M165" s="43"/>
      <c r="N165" s="36"/>
      <c r="O165" s="37"/>
      <c r="P165" s="37"/>
      <c r="Q165" s="37"/>
      <c r="R165" s="69"/>
      <c r="S165" s="69"/>
      <c r="T165" s="37"/>
      <c r="U165" s="35"/>
    </row>
    <row r="166" spans="1:21">
      <c r="A166" s="221">
        <f t="shared" si="22"/>
        <v>163</v>
      </c>
      <c r="B166" s="43"/>
      <c r="C166" s="36"/>
      <c r="D166" s="37"/>
      <c r="E166" s="35"/>
      <c r="F166" s="41"/>
      <c r="G166" s="42"/>
      <c r="H166" s="42"/>
      <c r="I166" s="42"/>
      <c r="J166" s="35"/>
      <c r="K166" s="41"/>
      <c r="L166" s="42"/>
      <c r="M166" s="43"/>
      <c r="N166" s="36"/>
      <c r="O166" s="37"/>
      <c r="P166" s="37"/>
      <c r="Q166" s="37"/>
      <c r="R166" s="69"/>
      <c r="S166" s="69"/>
      <c r="T166" s="37"/>
      <c r="U166" s="35"/>
    </row>
    <row r="167" spans="1:21">
      <c r="A167" s="221">
        <f t="shared" si="22"/>
        <v>164</v>
      </c>
      <c r="B167" s="43"/>
      <c r="C167" s="36"/>
      <c r="D167" s="37"/>
      <c r="E167" s="35"/>
      <c r="F167" s="41"/>
      <c r="G167" s="42"/>
      <c r="H167" s="42"/>
      <c r="I167" s="42"/>
      <c r="J167" s="35"/>
      <c r="K167" s="41"/>
      <c r="L167" s="42"/>
      <c r="M167" s="43"/>
      <c r="N167" s="36"/>
      <c r="O167" s="37"/>
      <c r="P167" s="37"/>
      <c r="Q167" s="37"/>
      <c r="R167" s="69"/>
      <c r="S167" s="69"/>
      <c r="T167" s="37"/>
      <c r="U167" s="35"/>
    </row>
    <row r="168" spans="1:21">
      <c r="A168" s="221">
        <f t="shared" si="22"/>
        <v>165</v>
      </c>
      <c r="B168" s="43"/>
      <c r="C168" s="36"/>
      <c r="D168" s="37"/>
      <c r="E168" s="35"/>
      <c r="F168" s="41"/>
      <c r="G168" s="42"/>
      <c r="H168" s="42"/>
      <c r="I168" s="42"/>
      <c r="J168" s="35"/>
      <c r="K168" s="41"/>
      <c r="L168" s="42"/>
      <c r="M168" s="43"/>
      <c r="N168" s="36"/>
      <c r="O168" s="37"/>
      <c r="P168" s="37"/>
      <c r="Q168" s="37"/>
      <c r="R168" s="69"/>
      <c r="S168" s="69"/>
      <c r="T168" s="37"/>
      <c r="U168" s="35"/>
    </row>
    <row r="169" spans="1:21">
      <c r="A169" s="221">
        <f t="shared" si="22"/>
        <v>166</v>
      </c>
      <c r="B169" s="43"/>
      <c r="C169" s="36"/>
      <c r="D169" s="37"/>
      <c r="E169" s="35"/>
      <c r="F169" s="41"/>
      <c r="G169" s="42"/>
      <c r="H169" s="42"/>
      <c r="I169" s="42"/>
      <c r="J169" s="35"/>
      <c r="K169" s="41"/>
      <c r="L169" s="42"/>
      <c r="M169" s="43"/>
      <c r="N169" s="36"/>
      <c r="O169" s="37"/>
      <c r="P169" s="37"/>
      <c r="Q169" s="37"/>
      <c r="R169" s="69"/>
      <c r="S169" s="69"/>
      <c r="T169" s="37"/>
      <c r="U169" s="35"/>
    </row>
    <row r="170" spans="1:21">
      <c r="A170" s="221">
        <f t="shared" si="22"/>
        <v>167</v>
      </c>
      <c r="B170" s="43"/>
      <c r="C170" s="36"/>
      <c r="D170" s="37"/>
      <c r="E170" s="35"/>
      <c r="F170" s="41"/>
      <c r="G170" s="42"/>
      <c r="H170" s="42"/>
      <c r="I170" s="42"/>
      <c r="J170" s="35"/>
      <c r="K170" s="41"/>
      <c r="L170" s="42"/>
      <c r="M170" s="43"/>
      <c r="N170" s="36"/>
      <c r="O170" s="37"/>
      <c r="P170" s="37"/>
      <c r="Q170" s="37"/>
      <c r="R170" s="69"/>
      <c r="S170" s="69"/>
      <c r="T170" s="37"/>
      <c r="U170" s="35"/>
    </row>
    <row r="171" spans="1:21">
      <c r="A171" s="221">
        <f t="shared" si="22"/>
        <v>168</v>
      </c>
      <c r="B171" s="43"/>
      <c r="C171" s="36"/>
      <c r="D171" s="37"/>
      <c r="E171" s="35"/>
      <c r="F171" s="41"/>
      <c r="G171" s="42"/>
      <c r="H171" s="42"/>
      <c r="I171" s="42"/>
      <c r="J171" s="35"/>
      <c r="K171" s="41"/>
      <c r="L171" s="42"/>
      <c r="M171" s="43"/>
      <c r="N171" s="36"/>
      <c r="O171" s="37"/>
      <c r="P171" s="37"/>
      <c r="Q171" s="37"/>
      <c r="R171" s="69"/>
      <c r="S171" s="69"/>
      <c r="T171" s="37"/>
      <c r="U171" s="35"/>
    </row>
    <row r="172" spans="1:21">
      <c r="A172" s="221">
        <f t="shared" si="22"/>
        <v>169</v>
      </c>
      <c r="B172" s="43"/>
      <c r="C172" s="36"/>
      <c r="D172" s="37"/>
      <c r="E172" s="35"/>
      <c r="F172" s="41"/>
      <c r="G172" s="42"/>
      <c r="H172" s="42"/>
      <c r="I172" s="42"/>
      <c r="J172" s="35"/>
      <c r="K172" s="41"/>
      <c r="L172" s="42"/>
      <c r="M172" s="43"/>
      <c r="N172" s="36"/>
      <c r="O172" s="37"/>
      <c r="P172" s="37"/>
      <c r="Q172" s="37"/>
      <c r="R172" s="69"/>
      <c r="S172" s="69"/>
      <c r="T172" s="37"/>
      <c r="U172" s="35"/>
    </row>
    <row r="173" spans="1:21">
      <c r="A173" s="221">
        <f t="shared" si="22"/>
        <v>170</v>
      </c>
      <c r="B173" s="43"/>
      <c r="C173" s="36"/>
      <c r="D173" s="37"/>
      <c r="E173" s="35"/>
      <c r="F173" s="41"/>
      <c r="G173" s="42"/>
      <c r="H173" s="42"/>
      <c r="I173" s="42"/>
      <c r="J173" s="35"/>
      <c r="K173" s="41"/>
      <c r="L173" s="42"/>
      <c r="M173" s="43"/>
      <c r="N173" s="36"/>
      <c r="O173" s="37"/>
      <c r="P173" s="37"/>
      <c r="Q173" s="37"/>
      <c r="R173" s="69"/>
      <c r="S173" s="69"/>
      <c r="T173" s="37"/>
      <c r="U173" s="35"/>
    </row>
    <row r="174" spans="1:21">
      <c r="A174" s="221">
        <f t="shared" si="22"/>
        <v>171</v>
      </c>
      <c r="B174" s="43"/>
      <c r="C174" s="36"/>
      <c r="D174" s="37"/>
      <c r="E174" s="35"/>
      <c r="F174" s="41"/>
      <c r="G174" s="42"/>
      <c r="H174" s="42"/>
      <c r="I174" s="42"/>
      <c r="J174" s="35"/>
      <c r="K174" s="41"/>
      <c r="L174" s="42"/>
      <c r="M174" s="43"/>
      <c r="N174" s="36"/>
      <c r="O174" s="37"/>
      <c r="P174" s="37"/>
      <c r="Q174" s="37"/>
      <c r="R174" s="69"/>
      <c r="S174" s="69"/>
      <c r="T174" s="37"/>
      <c r="U174" s="35"/>
    </row>
    <row r="175" spans="1:21">
      <c r="A175" s="221">
        <f t="shared" si="22"/>
        <v>172</v>
      </c>
      <c r="B175" s="43"/>
      <c r="C175" s="36"/>
      <c r="D175" s="37"/>
      <c r="E175" s="35"/>
      <c r="F175" s="41"/>
      <c r="G175" s="42"/>
      <c r="H175" s="42"/>
      <c r="I175" s="42"/>
      <c r="J175" s="35"/>
      <c r="K175" s="41"/>
      <c r="L175" s="42"/>
      <c r="M175" s="43"/>
      <c r="N175" s="36"/>
      <c r="O175" s="37"/>
      <c r="P175" s="37"/>
      <c r="Q175" s="37"/>
      <c r="R175" s="69"/>
      <c r="S175" s="69"/>
      <c r="T175" s="37"/>
      <c r="U175" s="35"/>
    </row>
    <row r="176" spans="1:21">
      <c r="A176" s="221">
        <f t="shared" si="22"/>
        <v>173</v>
      </c>
      <c r="B176" s="43"/>
      <c r="C176" s="36"/>
      <c r="D176" s="37"/>
      <c r="E176" s="35"/>
      <c r="F176" s="41"/>
      <c r="G176" s="42"/>
      <c r="H176" s="42"/>
      <c r="I176" s="42"/>
      <c r="J176" s="35"/>
      <c r="K176" s="41"/>
      <c r="L176" s="42"/>
      <c r="M176" s="43"/>
      <c r="N176" s="36"/>
      <c r="O176" s="37"/>
      <c r="P176" s="37"/>
      <c r="Q176" s="37"/>
      <c r="R176" s="69"/>
      <c r="S176" s="69"/>
      <c r="T176" s="37"/>
      <c r="U176" s="35"/>
    </row>
    <row r="177" spans="1:21">
      <c r="A177" s="221">
        <f t="shared" si="22"/>
        <v>174</v>
      </c>
      <c r="B177" s="43"/>
      <c r="C177" s="36"/>
      <c r="D177" s="37"/>
      <c r="E177" s="35"/>
      <c r="F177" s="41"/>
      <c r="G177" s="42"/>
      <c r="H177" s="42"/>
      <c r="I177" s="42"/>
      <c r="J177" s="35"/>
      <c r="K177" s="41"/>
      <c r="L177" s="42"/>
      <c r="M177" s="43"/>
      <c r="N177" s="36"/>
      <c r="O177" s="37"/>
      <c r="P177" s="37"/>
      <c r="Q177" s="37"/>
      <c r="R177" s="69"/>
      <c r="S177" s="69"/>
      <c r="T177" s="37"/>
      <c r="U177" s="35"/>
    </row>
    <row r="178" spans="1:21">
      <c r="A178" s="221">
        <f t="shared" si="22"/>
        <v>175</v>
      </c>
      <c r="B178" s="43"/>
      <c r="C178" s="36"/>
      <c r="D178" s="37"/>
      <c r="E178" s="35"/>
      <c r="F178" s="41"/>
      <c r="G178" s="42"/>
      <c r="H178" s="42"/>
      <c r="I178" s="42"/>
      <c r="J178" s="35"/>
      <c r="K178" s="41"/>
      <c r="L178" s="42"/>
      <c r="M178" s="43"/>
      <c r="N178" s="36"/>
      <c r="O178" s="37"/>
      <c r="P178" s="37"/>
      <c r="Q178" s="37"/>
      <c r="R178" s="69"/>
      <c r="S178" s="69"/>
      <c r="T178" s="37"/>
      <c r="U178" s="35"/>
    </row>
    <row r="179" spans="1:21">
      <c r="A179" s="221">
        <f t="shared" si="22"/>
        <v>176</v>
      </c>
      <c r="B179" s="43"/>
      <c r="C179" s="36"/>
      <c r="D179" s="37"/>
      <c r="E179" s="35"/>
      <c r="F179" s="41"/>
      <c r="G179" s="42"/>
      <c r="H179" s="42"/>
      <c r="I179" s="42"/>
      <c r="J179" s="35"/>
      <c r="K179" s="41"/>
      <c r="L179" s="42"/>
      <c r="M179" s="43"/>
      <c r="N179" s="36"/>
      <c r="O179" s="37"/>
      <c r="P179" s="37"/>
      <c r="Q179" s="37"/>
      <c r="R179" s="69"/>
      <c r="S179" s="69"/>
      <c r="T179" s="37"/>
      <c r="U179" s="35"/>
    </row>
    <row r="180" spans="1:21">
      <c r="A180" s="221">
        <f t="shared" si="22"/>
        <v>177</v>
      </c>
      <c r="B180" s="43"/>
      <c r="C180" s="36"/>
      <c r="D180" s="37"/>
      <c r="E180" s="35"/>
      <c r="F180" s="41"/>
      <c r="G180" s="42"/>
      <c r="H180" s="42"/>
      <c r="I180" s="42"/>
      <c r="J180" s="35"/>
      <c r="K180" s="41"/>
      <c r="L180" s="42"/>
      <c r="M180" s="43"/>
      <c r="N180" s="36"/>
      <c r="O180" s="37"/>
      <c r="P180" s="37"/>
      <c r="Q180" s="37"/>
      <c r="R180" s="69"/>
      <c r="S180" s="69"/>
      <c r="T180" s="37"/>
      <c r="U180" s="35"/>
    </row>
    <row r="181" spans="1:21">
      <c r="A181" s="221">
        <f t="shared" si="22"/>
        <v>178</v>
      </c>
      <c r="B181" s="43"/>
      <c r="C181" s="36"/>
      <c r="D181" s="37"/>
      <c r="E181" s="35"/>
      <c r="F181" s="41"/>
      <c r="G181" s="42"/>
      <c r="H181" s="42"/>
      <c r="I181" s="42"/>
      <c r="J181" s="35"/>
      <c r="K181" s="41"/>
      <c r="L181" s="42"/>
      <c r="M181" s="43"/>
      <c r="N181" s="36"/>
      <c r="O181" s="37"/>
      <c r="P181" s="37"/>
      <c r="Q181" s="37"/>
      <c r="R181" s="69"/>
      <c r="S181" s="69"/>
      <c r="T181" s="37"/>
      <c r="U181" s="35"/>
    </row>
    <row r="182" spans="1:21">
      <c r="A182" s="221">
        <f t="shared" si="22"/>
        <v>179</v>
      </c>
      <c r="B182" s="43"/>
      <c r="C182" s="36"/>
      <c r="D182" s="37"/>
      <c r="E182" s="35"/>
      <c r="F182" s="41"/>
      <c r="G182" s="42"/>
      <c r="H182" s="42"/>
      <c r="I182" s="42"/>
      <c r="J182" s="35"/>
      <c r="K182" s="41"/>
      <c r="L182" s="42"/>
      <c r="M182" s="43"/>
      <c r="N182" s="36"/>
      <c r="O182" s="37"/>
      <c r="P182" s="37"/>
      <c r="Q182" s="37"/>
      <c r="R182" s="69"/>
      <c r="S182" s="69"/>
      <c r="T182" s="37"/>
      <c r="U182" s="35"/>
    </row>
    <row r="183" spans="1:21">
      <c r="A183" s="221">
        <f t="shared" si="22"/>
        <v>180</v>
      </c>
      <c r="B183" s="43"/>
      <c r="C183" s="36"/>
      <c r="D183" s="37"/>
      <c r="E183" s="35"/>
      <c r="F183" s="41"/>
      <c r="G183" s="42"/>
      <c r="H183" s="42"/>
      <c r="I183" s="42"/>
      <c r="J183" s="35"/>
      <c r="K183" s="41"/>
      <c r="L183" s="42"/>
      <c r="M183" s="43"/>
      <c r="N183" s="36"/>
      <c r="O183" s="37"/>
      <c r="P183" s="37"/>
      <c r="Q183" s="37"/>
      <c r="R183" s="69"/>
      <c r="S183" s="69"/>
      <c r="T183" s="37"/>
      <c r="U183" s="35"/>
    </row>
    <row r="184" spans="1:21">
      <c r="A184" s="221">
        <f t="shared" si="22"/>
        <v>181</v>
      </c>
      <c r="B184" s="43"/>
      <c r="C184" s="36"/>
      <c r="D184" s="37"/>
      <c r="E184" s="35"/>
      <c r="F184" s="41"/>
      <c r="G184" s="42"/>
      <c r="H184" s="42"/>
      <c r="I184" s="42"/>
      <c r="J184" s="35"/>
      <c r="K184" s="41"/>
      <c r="L184" s="42"/>
      <c r="M184" s="43"/>
      <c r="N184" s="36"/>
      <c r="O184" s="37"/>
      <c r="P184" s="37"/>
      <c r="Q184" s="37"/>
      <c r="R184" s="69"/>
      <c r="S184" s="69"/>
      <c r="T184" s="37"/>
      <c r="U184" s="35"/>
    </row>
    <row r="185" spans="1:21">
      <c r="A185" s="221">
        <f t="shared" si="22"/>
        <v>182</v>
      </c>
      <c r="B185" s="43"/>
      <c r="C185" s="36"/>
      <c r="D185" s="37"/>
      <c r="E185" s="35"/>
      <c r="F185" s="41"/>
      <c r="G185" s="42"/>
      <c r="H185" s="42"/>
      <c r="I185" s="42"/>
      <c r="J185" s="35"/>
      <c r="K185" s="41"/>
      <c r="L185" s="42"/>
      <c r="M185" s="43"/>
      <c r="N185" s="36"/>
      <c r="O185" s="37"/>
      <c r="P185" s="37"/>
      <c r="Q185" s="37"/>
      <c r="R185" s="69"/>
      <c r="S185" s="69"/>
      <c r="T185" s="37"/>
      <c r="U185" s="35"/>
    </row>
    <row r="186" spans="1:21">
      <c r="A186" s="221">
        <f t="shared" si="22"/>
        <v>183</v>
      </c>
      <c r="B186" s="43"/>
      <c r="C186" s="36"/>
      <c r="D186" s="37"/>
      <c r="E186" s="35"/>
      <c r="F186" s="41"/>
      <c r="G186" s="42"/>
      <c r="H186" s="42"/>
      <c r="I186" s="42"/>
      <c r="J186" s="35"/>
      <c r="K186" s="41"/>
      <c r="L186" s="42"/>
      <c r="M186" s="43"/>
      <c r="N186" s="36"/>
      <c r="O186" s="37"/>
      <c r="P186" s="37"/>
      <c r="Q186" s="37"/>
      <c r="R186" s="69"/>
      <c r="S186" s="69"/>
      <c r="T186" s="37"/>
      <c r="U186" s="35"/>
    </row>
    <row r="187" spans="1:21">
      <c r="A187" s="221">
        <f t="shared" si="22"/>
        <v>184</v>
      </c>
      <c r="B187" s="43"/>
      <c r="C187" s="36"/>
      <c r="D187" s="37"/>
      <c r="E187" s="35"/>
      <c r="F187" s="41"/>
      <c r="G187" s="42"/>
      <c r="H187" s="42"/>
      <c r="I187" s="42"/>
      <c r="J187" s="35"/>
      <c r="K187" s="41"/>
      <c r="L187" s="42"/>
      <c r="M187" s="43"/>
      <c r="N187" s="36"/>
      <c r="O187" s="37"/>
      <c r="P187" s="37"/>
      <c r="Q187" s="37"/>
      <c r="R187" s="69"/>
      <c r="S187" s="69"/>
      <c r="T187" s="37"/>
      <c r="U187" s="35"/>
    </row>
    <row r="188" spans="1:21">
      <c r="A188" s="221">
        <f t="shared" si="22"/>
        <v>185</v>
      </c>
      <c r="B188" s="43"/>
      <c r="C188" s="36"/>
      <c r="D188" s="37"/>
      <c r="E188" s="35"/>
      <c r="F188" s="41"/>
      <c r="G188" s="42"/>
      <c r="H188" s="42"/>
      <c r="I188" s="42"/>
      <c r="J188" s="35"/>
      <c r="K188" s="41"/>
      <c r="L188" s="42"/>
      <c r="M188" s="43"/>
      <c r="N188" s="36"/>
      <c r="O188" s="37"/>
      <c r="P188" s="37"/>
      <c r="Q188" s="37"/>
      <c r="R188" s="69"/>
      <c r="S188" s="69"/>
      <c r="T188" s="37"/>
      <c r="U188" s="35"/>
    </row>
    <row r="189" spans="1:21">
      <c r="A189" s="221">
        <f t="shared" si="22"/>
        <v>186</v>
      </c>
      <c r="B189" s="43"/>
      <c r="C189" s="36"/>
      <c r="D189" s="37"/>
      <c r="E189" s="35"/>
      <c r="F189" s="41"/>
      <c r="G189" s="42"/>
      <c r="H189" s="42"/>
      <c r="I189" s="42"/>
      <c r="J189" s="35"/>
      <c r="K189" s="41"/>
      <c r="L189" s="42"/>
      <c r="M189" s="43"/>
      <c r="N189" s="36"/>
      <c r="O189" s="37"/>
      <c r="P189" s="37"/>
      <c r="Q189" s="37"/>
      <c r="R189" s="69"/>
      <c r="S189" s="69"/>
      <c r="T189" s="37"/>
      <c r="U189" s="35"/>
    </row>
    <row r="190" spans="1:21">
      <c r="A190" s="221">
        <f t="shared" si="22"/>
        <v>187</v>
      </c>
      <c r="B190" s="43"/>
      <c r="C190" s="36"/>
      <c r="D190" s="37"/>
      <c r="E190" s="35"/>
      <c r="F190" s="41"/>
      <c r="G190" s="42"/>
      <c r="H190" s="42"/>
      <c r="I190" s="42"/>
      <c r="J190" s="35"/>
      <c r="K190" s="41"/>
      <c r="L190" s="42"/>
      <c r="M190" s="43"/>
      <c r="N190" s="36"/>
      <c r="O190" s="37"/>
      <c r="P190" s="37"/>
      <c r="Q190" s="37"/>
      <c r="R190" s="69"/>
      <c r="S190" s="69"/>
      <c r="T190" s="37"/>
      <c r="U190" s="35"/>
    </row>
    <row r="191" spans="1:21">
      <c r="A191" s="221">
        <f t="shared" si="22"/>
        <v>188</v>
      </c>
      <c r="B191" s="43"/>
      <c r="C191" s="36"/>
      <c r="D191" s="37"/>
      <c r="E191" s="35"/>
      <c r="F191" s="41"/>
      <c r="G191" s="42"/>
      <c r="H191" s="42"/>
      <c r="I191" s="42"/>
      <c r="J191" s="35"/>
      <c r="K191" s="41"/>
      <c r="L191" s="42"/>
      <c r="M191" s="43"/>
      <c r="N191" s="36"/>
      <c r="O191" s="37"/>
      <c r="P191" s="37"/>
      <c r="Q191" s="37"/>
      <c r="R191" s="69"/>
      <c r="S191" s="69"/>
      <c r="T191" s="37"/>
      <c r="U191" s="35"/>
    </row>
    <row r="192" spans="1:21">
      <c r="A192" s="221">
        <f t="shared" ref="A192:A199" si="23">IF(ISNUMBER(A191),A191,0)+1</f>
        <v>189</v>
      </c>
      <c r="B192" s="43"/>
      <c r="C192" s="36"/>
      <c r="D192" s="37"/>
      <c r="E192" s="35"/>
      <c r="F192" s="41"/>
      <c r="G192" s="42"/>
      <c r="H192" s="42"/>
      <c r="I192" s="42"/>
      <c r="J192" s="35"/>
      <c r="K192" s="41"/>
      <c r="L192" s="42"/>
      <c r="M192" s="43"/>
      <c r="N192" s="36"/>
      <c r="O192" s="37"/>
      <c r="P192" s="37"/>
      <c r="Q192" s="37"/>
      <c r="R192" s="69"/>
      <c r="S192" s="69"/>
      <c r="T192" s="37"/>
      <c r="U192" s="35"/>
    </row>
    <row r="193" spans="1:21">
      <c r="A193" s="221">
        <f t="shared" si="23"/>
        <v>190</v>
      </c>
      <c r="B193" s="43"/>
      <c r="C193" s="36"/>
      <c r="D193" s="37"/>
      <c r="E193" s="35"/>
      <c r="F193" s="41"/>
      <c r="G193" s="42"/>
      <c r="H193" s="42"/>
      <c r="I193" s="42"/>
      <c r="J193" s="35"/>
      <c r="K193" s="41"/>
      <c r="L193" s="42"/>
      <c r="M193" s="43"/>
      <c r="N193" s="36"/>
      <c r="O193" s="37"/>
      <c r="P193" s="37"/>
      <c r="Q193" s="37"/>
      <c r="R193" s="69"/>
      <c r="S193" s="69"/>
      <c r="T193" s="37"/>
      <c r="U193" s="35"/>
    </row>
    <row r="194" spans="1:21">
      <c r="A194" s="221">
        <f t="shared" si="23"/>
        <v>191</v>
      </c>
      <c r="B194" s="43"/>
      <c r="C194" s="36"/>
      <c r="D194" s="37"/>
      <c r="E194" s="35"/>
      <c r="F194" s="41"/>
      <c r="G194" s="42"/>
      <c r="H194" s="42"/>
      <c r="I194" s="42"/>
      <c r="J194" s="35"/>
      <c r="K194" s="41"/>
      <c r="L194" s="42"/>
      <c r="M194" s="43"/>
      <c r="N194" s="36"/>
      <c r="O194" s="37"/>
      <c r="P194" s="37"/>
      <c r="Q194" s="37"/>
      <c r="R194" s="69"/>
      <c r="S194" s="69"/>
      <c r="T194" s="37"/>
      <c r="U194" s="35"/>
    </row>
    <row r="195" spans="1:21">
      <c r="A195" s="221">
        <f t="shared" si="23"/>
        <v>192</v>
      </c>
      <c r="B195" s="43"/>
      <c r="C195" s="36"/>
      <c r="D195" s="37"/>
      <c r="E195" s="35"/>
      <c r="F195" s="41"/>
      <c r="G195" s="42"/>
      <c r="H195" s="42"/>
      <c r="I195" s="42"/>
      <c r="J195" s="35"/>
      <c r="K195" s="41"/>
      <c r="L195" s="42"/>
      <c r="M195" s="43"/>
      <c r="N195" s="36"/>
      <c r="O195" s="37"/>
      <c r="P195" s="37"/>
      <c r="Q195" s="37"/>
      <c r="R195" s="69"/>
      <c r="S195" s="69"/>
      <c r="T195" s="37"/>
      <c r="U195" s="35"/>
    </row>
    <row r="196" spans="1:21">
      <c r="A196" s="221">
        <f t="shared" si="23"/>
        <v>193</v>
      </c>
      <c r="B196" s="43"/>
      <c r="C196" s="36"/>
      <c r="D196" s="37"/>
      <c r="E196" s="35"/>
      <c r="F196" s="41"/>
      <c r="G196" s="42"/>
      <c r="H196" s="42"/>
      <c r="I196" s="42"/>
      <c r="J196" s="35"/>
      <c r="K196" s="41"/>
      <c r="L196" s="42"/>
      <c r="M196" s="43"/>
      <c r="N196" s="36"/>
      <c r="O196" s="37"/>
      <c r="P196" s="37"/>
      <c r="Q196" s="37"/>
      <c r="R196" s="69"/>
      <c r="S196" s="69"/>
      <c r="T196" s="37"/>
      <c r="U196" s="35"/>
    </row>
    <row r="197" spans="1:21">
      <c r="A197" s="221">
        <f t="shared" si="23"/>
        <v>194</v>
      </c>
      <c r="B197" s="43"/>
      <c r="C197" s="36"/>
      <c r="D197" s="37"/>
      <c r="E197" s="35"/>
      <c r="F197" s="41"/>
      <c r="G197" s="42"/>
      <c r="H197" s="42"/>
      <c r="I197" s="42"/>
      <c r="J197" s="35"/>
      <c r="K197" s="41"/>
      <c r="L197" s="42"/>
      <c r="M197" s="43"/>
      <c r="N197" s="36"/>
      <c r="O197" s="37"/>
      <c r="P197" s="37"/>
      <c r="Q197" s="37"/>
      <c r="R197" s="69"/>
      <c r="S197" s="69"/>
      <c r="T197" s="37"/>
      <c r="U197" s="35"/>
    </row>
    <row r="198" spans="1:21">
      <c r="A198" s="221">
        <f t="shared" si="23"/>
        <v>195</v>
      </c>
      <c r="B198" s="43"/>
      <c r="C198" s="36"/>
      <c r="D198" s="37"/>
      <c r="E198" s="35"/>
      <c r="F198" s="41"/>
      <c r="G198" s="42"/>
      <c r="H198" s="42"/>
      <c r="I198" s="42"/>
      <c r="J198" s="35"/>
      <c r="K198" s="41"/>
      <c r="L198" s="42"/>
      <c r="M198" s="43"/>
      <c r="N198" s="36"/>
      <c r="O198" s="37"/>
      <c r="P198" s="37"/>
      <c r="Q198" s="37"/>
      <c r="R198" s="69"/>
      <c r="S198" s="69"/>
      <c r="T198" s="37"/>
      <c r="U198" s="35"/>
    </row>
    <row r="199" spans="1:21" ht="16" thickBot="1">
      <c r="A199" s="221">
        <f t="shared" si="23"/>
        <v>196</v>
      </c>
      <c r="B199" s="43"/>
      <c r="C199" s="36"/>
      <c r="D199" s="37"/>
      <c r="E199" s="35"/>
      <c r="F199" s="59"/>
      <c r="G199" s="60"/>
      <c r="H199" s="60"/>
      <c r="I199" s="60"/>
      <c r="J199" s="40"/>
      <c r="K199" s="59"/>
      <c r="L199" s="60"/>
      <c r="M199" s="61"/>
      <c r="N199" s="38"/>
      <c r="O199" s="39"/>
      <c r="P199" s="39"/>
      <c r="Q199" s="39"/>
      <c r="R199" s="203"/>
      <c r="S199" s="203"/>
      <c r="T199" s="39"/>
      <c r="U199" s="40"/>
    </row>
  </sheetData>
  <mergeCells count="5">
    <mergeCell ref="C1:E2"/>
    <mergeCell ref="F1:J2"/>
    <mergeCell ref="K1:M2"/>
    <mergeCell ref="W1:AS2"/>
    <mergeCell ref="N1:U1"/>
  </mergeCells>
  <conditionalFormatting sqref="W4:W21">
    <cfRule type="expression" dxfId="142" priority="83">
      <formula>IF(AND(#REF!+#REF!*10&lt;0,#REF!=0),TRUE)</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2"/>
  <sheetViews>
    <sheetView workbookViewId="0">
      <pane xSplit="2" ySplit="3" topLeftCell="R4" activePane="bottomRight" state="frozen"/>
      <selection pane="topRight" activeCell="C1" sqref="C1"/>
      <selection pane="bottomLeft" activeCell="A4" sqref="A4"/>
      <selection pane="bottomRight" activeCell="N13" sqref="N13"/>
    </sheetView>
  </sheetViews>
  <sheetFormatPr baseColWidth="10" defaultRowHeight="15" x14ac:dyDescent="0"/>
  <cols>
    <col min="2" max="2" width="9.33203125" customWidth="1"/>
    <col min="3" max="3" width="12" bestFit="1" customWidth="1"/>
    <col min="4" max="4" width="18.1640625" bestFit="1" customWidth="1"/>
    <col min="5" max="5" width="16.6640625" bestFit="1" customWidth="1"/>
    <col min="6" max="6" width="9.33203125" customWidth="1"/>
    <col min="7" max="7" width="3.1640625" style="279" customWidth="1"/>
    <col min="8" max="13" width="16.83203125" customWidth="1"/>
    <col min="14" max="14" width="16.5" bestFit="1" customWidth="1"/>
    <col min="15" max="15" width="10.83203125" bestFit="1" customWidth="1"/>
    <col min="16" max="16" width="18" bestFit="1" customWidth="1"/>
    <col min="17" max="17" width="13.33203125" bestFit="1" customWidth="1"/>
    <col min="18" max="18" width="21.33203125" bestFit="1" customWidth="1"/>
    <col min="19" max="19" width="16.33203125" bestFit="1" customWidth="1"/>
    <col min="20" max="20" width="16.83203125" bestFit="1" customWidth="1"/>
    <col min="21" max="21" width="16.5" bestFit="1" customWidth="1"/>
    <col min="22" max="22" width="7.6640625" bestFit="1" customWidth="1"/>
    <col min="23" max="23" width="13.83203125" style="197" bestFit="1" customWidth="1"/>
    <col min="24" max="24" width="12" bestFit="1" customWidth="1"/>
    <col min="25" max="25" width="9.6640625" bestFit="1" customWidth="1"/>
    <col min="26" max="26" width="14.1640625" bestFit="1" customWidth="1"/>
    <col min="27" max="27" width="12.33203125" bestFit="1" customWidth="1"/>
  </cols>
  <sheetData>
    <row r="1" spans="1:27">
      <c r="B1" s="381" t="s">
        <v>492</v>
      </c>
      <c r="C1" s="382"/>
      <c r="D1" s="382"/>
      <c r="E1" s="382"/>
      <c r="F1" s="382"/>
      <c r="G1" s="275"/>
      <c r="H1" s="273"/>
      <c r="I1" s="273"/>
      <c r="J1" s="273"/>
      <c r="K1" s="273"/>
      <c r="L1" s="273"/>
      <c r="M1" s="273"/>
      <c r="N1" s="273"/>
      <c r="O1" s="273"/>
      <c r="P1" s="273"/>
      <c r="Q1" s="273"/>
      <c r="R1" s="273"/>
      <c r="S1" s="273"/>
      <c r="T1" s="273"/>
      <c r="U1" s="273"/>
      <c r="V1" s="274"/>
    </row>
    <row r="2" spans="1:27">
      <c r="B2" s="375" t="s">
        <v>105</v>
      </c>
      <c r="C2" s="376"/>
      <c r="D2" s="378" t="s">
        <v>106</v>
      </c>
      <c r="E2" s="379"/>
      <c r="F2" s="380"/>
      <c r="G2" s="276"/>
      <c r="H2" s="376" t="s">
        <v>106</v>
      </c>
      <c r="I2" s="376"/>
      <c r="J2" s="376"/>
      <c r="K2" s="376"/>
      <c r="L2" s="376"/>
      <c r="M2" s="376"/>
      <c r="N2" s="376"/>
      <c r="O2" s="376"/>
      <c r="P2" s="376"/>
      <c r="Q2" s="376"/>
      <c r="R2" s="376"/>
      <c r="S2" s="376"/>
      <c r="T2" s="376"/>
      <c r="U2" s="376"/>
      <c r="V2" s="377"/>
    </row>
    <row r="3" spans="1:27" ht="16" thickBot="1">
      <c r="A3" s="226" t="s">
        <v>131</v>
      </c>
      <c r="B3" s="280" t="s">
        <v>17</v>
      </c>
      <c r="C3" s="281" t="s">
        <v>46</v>
      </c>
      <c r="D3" s="281" t="s">
        <v>430</v>
      </c>
      <c r="E3" s="281" t="s">
        <v>431</v>
      </c>
      <c r="F3" s="281" t="s">
        <v>432</v>
      </c>
      <c r="G3" s="277"/>
      <c r="H3" s="102" t="s">
        <v>433</v>
      </c>
      <c r="I3" s="102" t="s">
        <v>434</v>
      </c>
      <c r="J3" s="102" t="s">
        <v>435</v>
      </c>
      <c r="K3" s="102" t="s">
        <v>436</v>
      </c>
      <c r="L3" s="102" t="s">
        <v>437</v>
      </c>
      <c r="M3" s="102" t="s">
        <v>438</v>
      </c>
      <c r="N3" s="102" t="s">
        <v>439</v>
      </c>
      <c r="O3" s="34" t="s">
        <v>440</v>
      </c>
      <c r="P3" s="102" t="s">
        <v>441</v>
      </c>
      <c r="Q3" s="102" t="s">
        <v>442</v>
      </c>
      <c r="R3" s="102" t="s">
        <v>443</v>
      </c>
      <c r="S3" s="102" t="s">
        <v>444</v>
      </c>
      <c r="T3" s="102" t="s">
        <v>445</v>
      </c>
      <c r="U3" s="102" t="s">
        <v>446</v>
      </c>
      <c r="V3" s="83" t="s">
        <v>447</v>
      </c>
      <c r="W3" s="197" t="s">
        <v>238</v>
      </c>
      <c r="X3" s="129" t="s">
        <v>149</v>
      </c>
      <c r="Y3" t="s">
        <v>150</v>
      </c>
      <c r="Z3" t="s">
        <v>196</v>
      </c>
      <c r="AA3" t="s">
        <v>494</v>
      </c>
    </row>
    <row r="4" spans="1:27">
      <c r="A4" s="283" t="s">
        <v>110</v>
      </c>
      <c r="B4" s="289" t="str">
        <f t="shared" ref="B4:B5" si="0">CONCATENATE(A4,"t1")</f>
        <v>b1g1t1</v>
      </c>
      <c r="C4" s="290" t="str">
        <f t="shared" ref="C4:C40" si="1">IF(K4&gt;0,"true",IF(P4&gt;0,"true",""))</f>
        <v/>
      </c>
      <c r="D4" s="290" t="str">
        <f t="shared" ref="D4:D40" si="2">IF(H4&lt;&gt;"","plant",IF(I4&lt;&gt;"","harvest",IF(J4&lt;&gt;"","sellPlant",IF(K4&lt;&gt;"","speedupPlant",IF(L4&lt;&gt;"","revivePlant",IF(M4&lt;&gt;"","deliver",IF(N4&lt;&gt;"","buyDecoration",IF(P4&lt;&gt;"","moveDecoration",IF(Q4&lt;&gt;"","robertDeal",IF(R4&lt;&gt;"","robertDealEarnCoins",IF(S4&lt;&gt;"","addHappiness",IF(T4&lt;&gt;"","haveHappiness",IF(U4&lt;&gt;"","expandGarden",IF(V4&lt;&gt;"","plot",""))))))))))))))</f>
        <v>plant</v>
      </c>
      <c r="E4" s="290" t="str">
        <f t="shared" ref="E4:E40" si="3">CONCATENATE(H4,I4,J4,K4,L4,M4,N4)</f>
        <v>BumblebeePlant</v>
      </c>
      <c r="F4" s="290">
        <f t="shared" ref="F4:F40" si="4">IF(SUM(O4:V4)&gt;0,SUM(O4:V4),"")</f>
        <v>4</v>
      </c>
      <c r="G4" s="304"/>
      <c r="H4" s="290" t="s">
        <v>119</v>
      </c>
      <c r="I4" s="290"/>
      <c r="J4" s="290"/>
      <c r="K4" s="290"/>
      <c r="L4" s="290"/>
      <c r="M4" s="290"/>
      <c r="N4" s="290"/>
      <c r="O4" s="290">
        <v>4</v>
      </c>
      <c r="P4" s="290"/>
      <c r="Q4" s="290"/>
      <c r="R4" s="290"/>
      <c r="S4" s="290"/>
      <c r="T4" s="290"/>
      <c r="U4" s="290"/>
      <c r="V4" s="305"/>
      <c r="W4" s="306">
        <f>VLOOKUP(A4,Goals!$B$4:$J$199,9,FALSE)</f>
        <v>1</v>
      </c>
      <c r="X4" s="307">
        <f>IF(J4&lt;&gt;"",VLOOKUP(J4,Plants!$B$4:$G$53,6,FALSE)*O4,IF(M4&lt;&gt;"",-VLOOKUP(M4,Plants!$B$4:$G$53,6,FALSE)*O4,IF(N4&lt;&gt;"",-VLOOKUP(N4,Decoration!$B$4:$G$113,3,FALSE)*O4,IF(Q4&gt;0,VLOOKUP(W4,Overview!$A$4:$R$203,18,FALSE)*Q4,IF(R4&gt;0,R4,IF(S4&gt;0,-VLOOKUP(W4,Decoration!$C$4:$X$58,18)*S4,IF(U4&gt;0,-VLOOKUP(U4,Garden!$D$4:$K$25,8),IF(V4&gt;0,-VLOOKUP(V4,Plots!$E$4:$J$39,6),0))))))))</f>
        <v>0</v>
      </c>
      <c r="Y4" s="307">
        <f>IF(I4&lt;&gt;"",VLOOKUP(I4,Plants!$B$4:$R$53,16,FALSE)*O4,IF(M4&lt;&gt;"",VLOOKUP(M4,Plants!$B$4:$R$53,16,FALSE)*O4,IF(N4&lt;&gt;"",VLOOKUP(N4,Decoration!$B$4:$G$117,5,FALSE)*O4,IF(Q4&gt;0,VLOOKUP(W4,Overview!$A$4:$P$203,15,FALSE)*Q4,IF(R4&gt;0,ROUND(VLOOKUP(W4,Plants!$C$4:$AE$53,29)/1.25*R4,0),IF(S4&gt;0,S4,0))))))</f>
        <v>0</v>
      </c>
      <c r="Z4" s="307">
        <f>IF(U4&gt;0,VLOOKUP(U4,Garden!$D$4:$F$19,3),IF(V4&gt;10,VLOOKUP(V4,Plots!$E$5:$F$39,2),W4))</f>
        <v>1</v>
      </c>
      <c r="AA4" s="308">
        <f>IF(N4&lt;&gt;"",VLOOKUP(N4,Decoration!$B$4:$G$114,6,FALSE)*O4,S4)</f>
        <v>0</v>
      </c>
    </row>
    <row r="5" spans="1:27">
      <c r="A5" s="284" t="s">
        <v>107</v>
      </c>
      <c r="B5" s="221" t="str">
        <f t="shared" si="0"/>
        <v>b1g2t1</v>
      </c>
      <c r="C5" s="222" t="str">
        <f>IF(K5&gt;0,"true",IF(P5&gt;0,"true",""))</f>
        <v/>
      </c>
      <c r="D5" s="222" t="str">
        <f>IF(H5&lt;&gt;"","plant",IF(I5&lt;&gt;"","harvest",IF(J5&lt;&gt;"","sellPlant",IF(K5&lt;&gt;"","speedupPlant",IF(L5&lt;&gt;"","revivePlant",IF(M5&lt;&gt;"","deliver",IF(N5&lt;&gt;"","buyDecoration",IF(P5&lt;&gt;"","moveDecoration",IF(Q5&lt;&gt;"","robertDeal",IF(R5&lt;&gt;"","robertDealEarnCoins",IF(S5&lt;&gt;"","addHappiness",IF(T5&lt;&gt;"","haveHappiness",IF(U5&lt;&gt;"","expandGarden",IF(V5&lt;&gt;"","plot",""))))))))))))))</f>
        <v>plant</v>
      </c>
      <c r="E5" s="222" t="str">
        <f>CONCATENATE(H5,I5,J5,K5,L5,M5,N5)</f>
        <v>LadybugPlant</v>
      </c>
      <c r="F5" s="222">
        <f>IF(SUM(O5:V5)&gt;0,SUM(O5:V5),"")</f>
        <v>5</v>
      </c>
      <c r="G5" s="278"/>
      <c r="H5" s="222" t="s">
        <v>272</v>
      </c>
      <c r="I5" s="222"/>
      <c r="J5" s="222"/>
      <c r="K5" s="222"/>
      <c r="L5" s="222"/>
      <c r="M5" s="222"/>
      <c r="N5" s="222"/>
      <c r="O5" s="222">
        <v>5</v>
      </c>
      <c r="P5" s="222"/>
      <c r="Q5" s="222"/>
      <c r="R5" s="222"/>
      <c r="S5" s="222"/>
      <c r="T5" s="222"/>
      <c r="U5" s="222"/>
      <c r="V5" s="223"/>
      <c r="W5" s="309">
        <f>VLOOKUP(A5,Goals!$B$4:$J$199,9,FALSE)</f>
        <v>1</v>
      </c>
      <c r="X5" s="239">
        <f>IF(J5&lt;&gt;"",VLOOKUP(J5,Plants!$B$4:$G$53,6,FALSE)*O5,IF(M5&lt;&gt;"",-VLOOKUP(M5,Plants!$B$4:$G$53,6,FALSE)*O5,IF(N5&lt;&gt;"",-VLOOKUP(N5,Decoration!$B$4:$G$113,3,FALSE)*O5,IF(Q5&gt;0,VLOOKUP(W5,Overview!$A$4:$R$203,18,FALSE)*Q5,IF(R5&gt;0,R5,IF(S5&gt;0,-VLOOKUP(W5,Decoration!$C$4:$X$58,18)*S5,IF(U5&gt;0,-VLOOKUP(U5,Garden!$D$4:$K$25,8),IF(V5&gt;0,-VLOOKUP(V5,Plots!$E$4:$J$39,6),0))))))))</f>
        <v>0</v>
      </c>
      <c r="Y5" s="239">
        <f>IF(I5&lt;&gt;"",VLOOKUP(I5,Plants!$B$4:$R$53,16,FALSE)*O5,IF(M5&lt;&gt;"",VLOOKUP(M5,Plants!$B$4:$R$53,16,FALSE)*O5,IF(N5&lt;&gt;"",VLOOKUP(N5,Decoration!$B$4:$G$117,5,FALSE)*O5,IF(Q5&gt;0,VLOOKUP(W5,Overview!$A$4:$P$203,15,FALSE)*Q5,IF(R5&gt;0,ROUND(VLOOKUP(W5,Plants!$C$4:$AE$53,29)/1.25*R5,0),IF(S5&gt;0,S5,0))))))</f>
        <v>0</v>
      </c>
      <c r="Z5" s="239">
        <f>IF(U5&gt;0,VLOOKUP(U5,Garden!$D$4:$F$19,3),IF(V5&gt;10,VLOOKUP(V5,Plots!$E$5:$F$39,2),W5))</f>
        <v>1</v>
      </c>
      <c r="AA5" s="310">
        <f>IF(N5&lt;&gt;"",VLOOKUP(N5,Decoration!$B$4:$G$114,6,FALSE)*O5,S5)</f>
        <v>0</v>
      </c>
    </row>
    <row r="6" spans="1:27">
      <c r="A6" s="284" t="s">
        <v>108</v>
      </c>
      <c r="B6" s="221" t="str">
        <f>CONCATENATE(A6,"t1")</f>
        <v>b1g3t1</v>
      </c>
      <c r="C6" s="222" t="str">
        <f t="shared" si="1"/>
        <v/>
      </c>
      <c r="D6" s="222" t="str">
        <f t="shared" si="2"/>
        <v>buyDecoration</v>
      </c>
      <c r="E6" s="222" t="str">
        <f t="shared" si="3"/>
        <v>flowerbedYellow</v>
      </c>
      <c r="F6" s="222">
        <f t="shared" si="4"/>
        <v>2</v>
      </c>
      <c r="G6" s="278"/>
      <c r="H6" s="222"/>
      <c r="I6" s="222"/>
      <c r="J6" s="222"/>
      <c r="K6" s="222"/>
      <c r="L6" s="222"/>
      <c r="M6" s="222"/>
      <c r="N6" s="222" t="s">
        <v>388</v>
      </c>
      <c r="O6" s="222">
        <v>2</v>
      </c>
      <c r="P6" s="222"/>
      <c r="Q6" s="222"/>
      <c r="R6" s="222"/>
      <c r="S6" s="222"/>
      <c r="T6" s="222"/>
      <c r="U6" s="222"/>
      <c r="V6" s="223"/>
      <c r="W6" s="309">
        <f>VLOOKUP(A6,Goals!$B$4:$J$199,9,FALSE)</f>
        <v>1</v>
      </c>
      <c r="X6" s="239">
        <f>IF(J6&lt;&gt;"",VLOOKUP(J6,Plants!$B$4:$G$53,6,FALSE)*O6,IF(M6&lt;&gt;"",-VLOOKUP(M6,Plants!$B$4:$G$53,6,FALSE)*O6,IF(N6&lt;&gt;"",-VLOOKUP(N6,Decoration!$B$4:$G$113,3,FALSE)*O6,IF(Q6&gt;0,VLOOKUP(W6,Overview!$A$4:$R$203,18,FALSE)*Q6,IF(R6&gt;0,R6,IF(S6&gt;0,-VLOOKUP(W6,Decoration!$C$4:$X$58,18)*S6,IF(U6&gt;0,-VLOOKUP(U6,Garden!$D$4:$K$25,8),IF(V6&gt;0,-VLOOKUP(V6,Plots!$E$4:$J$39,6),0))))))))</f>
        <v>-460</v>
      </c>
      <c r="Y6" s="239">
        <f>IF(I6&lt;&gt;"",VLOOKUP(I6,Plants!$B$4:$R$53,16,FALSE)*O6,IF(M6&lt;&gt;"",VLOOKUP(M6,Plants!$B$4:$R$53,16,FALSE)*O6,IF(N6&lt;&gt;"",VLOOKUP(N6,Decoration!$B$4:$G$117,5,FALSE)*O6,IF(Q6&gt;0,VLOOKUP(W6,Overview!$A$4:$P$203,15,FALSE)*Q6,IF(R6&gt;0,ROUND(VLOOKUP(W6,Plants!$C$4:$AE$53,29)/1.25*R6,0),IF(S6&gt;0,S6,0))))))</f>
        <v>10</v>
      </c>
      <c r="Z6" s="239">
        <f>IF(U6&gt;0,VLOOKUP(U6,Garden!$D$4:$F$19,3),IF(V6&gt;10,VLOOKUP(V6,Plots!$E$5:$F$39,2),W6))</f>
        <v>1</v>
      </c>
      <c r="AA6" s="310">
        <f>IF(N6&lt;&gt;"",VLOOKUP(N6,Decoration!$B$4:$G$114,6,FALSE)*O6,S6)</f>
        <v>4</v>
      </c>
    </row>
    <row r="7" spans="1:27">
      <c r="A7" s="284" t="s">
        <v>108</v>
      </c>
      <c r="B7" s="221" t="str">
        <f>CONCATENATE(A7,"t2")</f>
        <v>b1g3t2</v>
      </c>
      <c r="C7" s="222" t="str">
        <f t="shared" si="1"/>
        <v/>
      </c>
      <c r="D7" s="222" t="str">
        <f t="shared" si="2"/>
        <v>robertDeal</v>
      </c>
      <c r="E7" s="222" t="str">
        <f t="shared" si="3"/>
        <v/>
      </c>
      <c r="F7" s="222">
        <f t="shared" si="4"/>
        <v>1</v>
      </c>
      <c r="G7" s="278"/>
      <c r="H7" s="222"/>
      <c r="I7" s="222"/>
      <c r="J7" s="222"/>
      <c r="K7" s="222"/>
      <c r="L7" s="222"/>
      <c r="M7" s="222"/>
      <c r="N7" s="222"/>
      <c r="O7" s="222"/>
      <c r="P7" s="222"/>
      <c r="Q7" s="222">
        <v>1</v>
      </c>
      <c r="R7" s="222"/>
      <c r="S7" s="222"/>
      <c r="T7" s="222"/>
      <c r="U7" s="222"/>
      <c r="V7" s="223"/>
      <c r="W7" s="309">
        <f>VLOOKUP(A7,Goals!$B$4:$J$199,9,FALSE)</f>
        <v>1</v>
      </c>
      <c r="X7" s="239">
        <f>IF(J7&lt;&gt;"",VLOOKUP(J7,Plants!$B$4:$G$53,6,FALSE)*O7,IF(M7&lt;&gt;"",-VLOOKUP(M7,Plants!$B$4:$G$53,6,FALSE)*O7,IF(N7&lt;&gt;"",-VLOOKUP(N7,Decoration!$B$4:$G$113,3,FALSE)*O7,IF(Q7&gt;0,VLOOKUP(W7,Overview!$A$4:$R$203,18,FALSE)*Q7,IF(R7&gt;0,R7,IF(S7&gt;0,-VLOOKUP(W7,Decoration!$C$4:$X$58,18)*S7,IF(U7&gt;0,-VLOOKUP(U7,Garden!$D$4:$K$25,8),IF(V7&gt;0,-VLOOKUP(V7,Plots!$E$4:$J$39,6),0))))))))</f>
        <v>5</v>
      </c>
      <c r="Y7" s="239">
        <f>IF(I7&lt;&gt;"",VLOOKUP(I7,Plants!$B$4:$R$53,16,FALSE)*O7,IF(M7&lt;&gt;"",VLOOKUP(M7,Plants!$B$4:$R$53,16,FALSE)*O7,IF(N7&lt;&gt;"",VLOOKUP(N7,Decoration!$B$4:$G$117,5,FALSE)*O7,IF(Q7&gt;0,VLOOKUP(W7,Overview!$A$4:$P$203,15,FALSE)*Q7,IF(R7&gt;0,ROUND(VLOOKUP(W7,Plants!$C$4:$AE$53,29)/1.25*R7,0),IF(S7&gt;0,S7,0))))))</f>
        <v>1</v>
      </c>
      <c r="Z7" s="239">
        <f>IF(U7&gt;0,VLOOKUP(U7,Garden!$D$4:$F$19,3),IF(V7&gt;10,VLOOKUP(V7,Plots!$E$5:$F$39,2),W7))</f>
        <v>1</v>
      </c>
      <c r="AA7" s="310">
        <f>IF(N7&lt;&gt;"",VLOOKUP(N7,Decoration!$B$4:$G$114,6,FALSE)*O7,S7)</f>
        <v>0</v>
      </c>
    </row>
    <row r="8" spans="1:27">
      <c r="A8" s="284" t="s">
        <v>266</v>
      </c>
      <c r="B8" s="221" t="str">
        <f>CONCATENATE(A8,"t1")</f>
        <v>b1g4t1</v>
      </c>
      <c r="C8" s="222" t="str">
        <f t="shared" si="1"/>
        <v/>
      </c>
      <c r="D8" s="222" t="str">
        <f t="shared" si="2"/>
        <v>harvest</v>
      </c>
      <c r="E8" s="222" t="str">
        <f t="shared" si="3"/>
        <v>LadybugPlant</v>
      </c>
      <c r="F8" s="222">
        <f t="shared" si="4"/>
        <v>5</v>
      </c>
      <c r="G8" s="278"/>
      <c r="H8" s="222"/>
      <c r="I8" s="222" t="s">
        <v>272</v>
      </c>
      <c r="J8" s="222"/>
      <c r="K8" s="222"/>
      <c r="L8" s="222"/>
      <c r="M8" s="222"/>
      <c r="N8" s="222"/>
      <c r="O8" s="222">
        <v>5</v>
      </c>
      <c r="P8" s="222"/>
      <c r="Q8" s="222"/>
      <c r="R8" s="222"/>
      <c r="S8" s="222"/>
      <c r="T8" s="222"/>
      <c r="U8" s="222"/>
      <c r="V8" s="223"/>
      <c r="W8" s="309">
        <f>VLOOKUP(A8,Goals!$B$4:$J$199,9,FALSE)</f>
        <v>2</v>
      </c>
      <c r="X8" s="239">
        <f>IF(J8&lt;&gt;"",VLOOKUP(J8,Plants!$B$4:$G$53,6,FALSE)*O8,IF(M8&lt;&gt;"",-VLOOKUP(M8,Plants!$B$4:$G$53,6,FALSE)*O8,IF(N8&lt;&gt;"",-VLOOKUP(N8,Decoration!$B$4:$G$113,3,FALSE)*O8,IF(Q8&gt;0,VLOOKUP(W8,Overview!$A$4:$R$203,18,FALSE)*Q8,IF(R8&gt;0,R8,IF(S8&gt;0,-VLOOKUP(W8,Decoration!$C$4:$X$58,18)*S8,IF(U8&gt;0,-VLOOKUP(U8,Garden!$D$4:$K$25,8),IF(V8&gt;0,-VLOOKUP(V8,Plots!$E$4:$J$39,6),0))))))))</f>
        <v>0</v>
      </c>
      <c r="Y8" s="239">
        <f>IF(I8&lt;&gt;"",VLOOKUP(I8,Plants!$B$4:$R$53,16,FALSE)*O8,IF(M8&lt;&gt;"",VLOOKUP(M8,Plants!$B$4:$R$53,16,FALSE)*O8,IF(N8&lt;&gt;"",VLOOKUP(N8,Decoration!$B$4:$G$117,5,FALSE)*O8,IF(Q8&gt;0,VLOOKUP(W8,Overview!$A$4:$P$203,15,FALSE)*Q8,IF(R8&gt;0,ROUND(VLOOKUP(W8,Plants!$C$4:$AE$53,29)/1.25*R8,0),IF(S8&gt;0,S8,0))))))</f>
        <v>0</v>
      </c>
      <c r="Z8" s="239">
        <f>IF(U8&gt;0,VLOOKUP(U8,Garden!$D$4:$F$19,3),IF(V8&gt;10,VLOOKUP(V8,Plots!$E$5:$F$39,2),W8))</f>
        <v>2</v>
      </c>
      <c r="AA8" s="310">
        <f>IF(N8&lt;&gt;"",VLOOKUP(N8,Decoration!$B$4:$G$114,6,FALSE)*O8,S8)</f>
        <v>0</v>
      </c>
    </row>
    <row r="9" spans="1:27">
      <c r="A9" s="284" t="s">
        <v>266</v>
      </c>
      <c r="B9" s="221" t="str">
        <f>CONCATENATE(A9,"t2")</f>
        <v>b1g4t2</v>
      </c>
      <c r="C9" s="222" t="str">
        <f t="shared" si="1"/>
        <v/>
      </c>
      <c r="D9" s="222" t="str">
        <f t="shared" si="2"/>
        <v>plant</v>
      </c>
      <c r="E9" s="222" t="str">
        <f t="shared" si="3"/>
        <v>BumblebeePlant</v>
      </c>
      <c r="F9" s="222">
        <f t="shared" si="4"/>
        <v>6</v>
      </c>
      <c r="G9" s="278"/>
      <c r="H9" s="222" t="s">
        <v>119</v>
      </c>
      <c r="I9" s="222"/>
      <c r="J9" s="222"/>
      <c r="K9" s="222"/>
      <c r="L9" s="222"/>
      <c r="M9" s="222"/>
      <c r="N9" s="222"/>
      <c r="O9" s="222">
        <v>6</v>
      </c>
      <c r="P9" s="222"/>
      <c r="Q9" s="222"/>
      <c r="R9" s="222"/>
      <c r="S9" s="222"/>
      <c r="T9" s="222"/>
      <c r="U9" s="222"/>
      <c r="V9" s="223"/>
      <c r="W9" s="309">
        <f>VLOOKUP(A9,Goals!$B$4:$J$199,9,FALSE)</f>
        <v>2</v>
      </c>
      <c r="X9" s="239">
        <f>IF(J9&lt;&gt;"",VLOOKUP(J9,Plants!$B$4:$G$53,6,FALSE)*O9,IF(M9&lt;&gt;"",-VLOOKUP(M9,Plants!$B$4:$G$53,6,FALSE)*O9,IF(N9&lt;&gt;"",-VLOOKUP(N9,Decoration!$B$4:$G$113,3,FALSE)*O9,IF(Q9&gt;0,VLOOKUP(W9,Overview!$A$4:$R$203,18,FALSE)*Q9,IF(R9&gt;0,R9,IF(S9&gt;0,-VLOOKUP(W9,Decoration!$C$4:$X$58,18)*S9,IF(U9&gt;0,-VLOOKUP(U9,Garden!$D$4:$K$25,8),IF(V9&gt;0,-VLOOKUP(V9,Plots!$E$4:$J$39,6),0))))))))</f>
        <v>0</v>
      </c>
      <c r="Y9" s="239">
        <f>IF(I9&lt;&gt;"",VLOOKUP(I9,Plants!$B$4:$R$53,16,FALSE)*O9,IF(M9&lt;&gt;"",VLOOKUP(M9,Plants!$B$4:$R$53,16,FALSE)*O9,IF(N9&lt;&gt;"",VLOOKUP(N9,Decoration!$B$4:$G$117,5,FALSE)*O9,IF(Q9&gt;0,VLOOKUP(W9,Overview!$A$4:$P$203,15,FALSE)*Q9,IF(R9&gt;0,ROUND(VLOOKUP(W9,Plants!$C$4:$AE$53,29)/1.25*R9,0),IF(S9&gt;0,S9,0))))))</f>
        <v>0</v>
      </c>
      <c r="Z9" s="239">
        <f>IF(U9&gt;0,VLOOKUP(U9,Garden!$D$4:$F$19,3),IF(V9&gt;10,VLOOKUP(V9,Plots!$E$5:$F$39,2),W9))</f>
        <v>2</v>
      </c>
      <c r="AA9" s="310">
        <f>IF(N9&lt;&gt;"",VLOOKUP(N9,Decoration!$B$4:$G$114,6,FALSE)*O9,S9)</f>
        <v>0</v>
      </c>
    </row>
    <row r="10" spans="1:27">
      <c r="A10" s="284" t="s">
        <v>267</v>
      </c>
      <c r="B10" s="221" t="str">
        <f>CONCATENATE(A10,"t1")</f>
        <v>b1g5t1</v>
      </c>
      <c r="C10" s="222" t="str">
        <f t="shared" si="1"/>
        <v/>
      </c>
      <c r="D10" s="222" t="str">
        <f t="shared" si="2"/>
        <v>buyDecoration</v>
      </c>
      <c r="E10" s="222" t="str">
        <f t="shared" si="3"/>
        <v>pathSand</v>
      </c>
      <c r="F10" s="222">
        <f t="shared" si="4"/>
        <v>4</v>
      </c>
      <c r="G10" s="278"/>
      <c r="H10" s="222"/>
      <c r="I10" s="222"/>
      <c r="J10" s="222"/>
      <c r="K10" s="222"/>
      <c r="L10" s="222"/>
      <c r="M10" s="222"/>
      <c r="N10" s="222" t="s">
        <v>386</v>
      </c>
      <c r="O10" s="222">
        <v>4</v>
      </c>
      <c r="P10" s="222"/>
      <c r="Q10" s="222"/>
      <c r="R10" s="222"/>
      <c r="S10" s="222"/>
      <c r="T10" s="222"/>
      <c r="U10" s="222"/>
      <c r="V10" s="223"/>
      <c r="W10" s="309">
        <f>VLOOKUP(A10,Goals!$B$4:$J$199,9,FALSE)</f>
        <v>2</v>
      </c>
      <c r="X10" s="239">
        <f>IF(J10&lt;&gt;"",VLOOKUP(J10,Plants!$B$4:$G$53,6,FALSE)*O10,IF(M10&lt;&gt;"",-VLOOKUP(M10,Plants!$B$4:$G$53,6,FALSE)*O10,IF(N10&lt;&gt;"",-VLOOKUP(N10,Decoration!$B$4:$G$113,3,FALSE)*O10,IF(Q10&gt;0,VLOOKUP(W10,Overview!$A$4:$R$203,18,FALSE)*Q10,IF(R10&gt;0,R10,IF(S10&gt;0,-VLOOKUP(W10,Decoration!$C$4:$X$58,18)*S10,IF(U10&gt;0,-VLOOKUP(U10,Garden!$D$4:$K$25,8),IF(V10&gt;0,-VLOOKUP(V10,Plots!$E$4:$J$39,6),0))))))))</f>
        <v>-720</v>
      </c>
      <c r="Y10" s="239">
        <f>IF(I10&lt;&gt;"",VLOOKUP(I10,Plants!$B$4:$R$53,16,FALSE)*O10,IF(M10&lt;&gt;"",VLOOKUP(M10,Plants!$B$4:$R$53,16,FALSE)*O10,IF(N10&lt;&gt;"",VLOOKUP(N10,Decoration!$B$4:$G$117,5,FALSE)*O10,IF(Q10&gt;0,VLOOKUP(W10,Overview!$A$4:$P$203,15,FALSE)*Q10,IF(R10&gt;0,ROUND(VLOOKUP(W10,Plants!$C$4:$AE$53,29)/1.25*R10,0),IF(S10&gt;0,S10,0))))))</f>
        <v>0</v>
      </c>
      <c r="Z10" s="239">
        <f>IF(U10&gt;0,VLOOKUP(U10,Garden!$D$4:$F$19,3),IF(V10&gt;10,VLOOKUP(V10,Plots!$E$5:$F$39,2),W10))</f>
        <v>2</v>
      </c>
      <c r="AA10" s="310">
        <f>IF(N10&lt;&gt;"",VLOOKUP(N10,Decoration!$B$4:$G$114,6,FALSE)*O10,S10)</f>
        <v>8</v>
      </c>
    </row>
    <row r="11" spans="1:27">
      <c r="A11" s="284" t="s">
        <v>268</v>
      </c>
      <c r="B11" s="221" t="str">
        <f>CONCATENATE(A11,"t1")</f>
        <v>b1g6t1</v>
      </c>
      <c r="C11" s="222" t="str">
        <f t="shared" si="1"/>
        <v/>
      </c>
      <c r="D11" s="222" t="str">
        <f t="shared" si="2"/>
        <v>plot</v>
      </c>
      <c r="E11" s="222" t="str">
        <f t="shared" si="3"/>
        <v/>
      </c>
      <c r="F11" s="222">
        <f t="shared" si="4"/>
        <v>14</v>
      </c>
      <c r="G11" s="278"/>
      <c r="H11" s="222"/>
      <c r="I11" s="222"/>
      <c r="J11" s="222"/>
      <c r="K11" s="222"/>
      <c r="L11" s="222"/>
      <c r="M11" s="222"/>
      <c r="N11" s="222"/>
      <c r="O11" s="222"/>
      <c r="P11" s="222"/>
      <c r="Q11" s="222"/>
      <c r="R11" s="222"/>
      <c r="S11" s="222"/>
      <c r="T11" s="222"/>
      <c r="U11" s="222"/>
      <c r="V11" s="223">
        <v>14</v>
      </c>
      <c r="W11" s="309">
        <f>VLOOKUP(A11,Goals!$B$4:$J$199,9,FALSE)</f>
        <v>2</v>
      </c>
      <c r="X11" s="239">
        <f>IF(J11&lt;&gt;"",VLOOKUP(J11,Plants!$B$4:$G$53,6,FALSE)*O11,IF(M11&lt;&gt;"",-VLOOKUP(M11,Plants!$B$4:$G$53,6,FALSE)*O11,IF(N11&lt;&gt;"",-VLOOKUP(N11,Decoration!$B$4:$G$113,3,FALSE)*O11,IF(Q11&gt;0,VLOOKUP(W11,Overview!$A$4:$R$203,18,FALSE)*Q11,IF(R11&gt;0,R11,IF(S11&gt;0,-VLOOKUP(W11,Decoration!$C$4:$X$58,18)*S11,IF(U11&gt;0,-VLOOKUP(U11,Garden!$D$4:$K$25,8),IF(V11&gt;0,-VLOOKUP(V11,Plots!$E$4:$J$39,6),0))))))))</f>
        <v>-800</v>
      </c>
      <c r="Y11" s="239">
        <f>IF(I11&lt;&gt;"",VLOOKUP(I11,Plants!$B$4:$R$53,16,FALSE)*O11,IF(M11&lt;&gt;"",VLOOKUP(M11,Plants!$B$4:$R$53,16,FALSE)*O11,IF(N11&lt;&gt;"",VLOOKUP(N11,Decoration!$B$4:$G$117,5,FALSE)*O11,IF(Q11&gt;0,VLOOKUP(W11,Overview!$A$4:$P$203,15,FALSE)*Q11,IF(R11&gt;0,ROUND(VLOOKUP(W11,Plants!$C$4:$AE$53,29)/1.25*R11,0),IF(S11&gt;0,S11,0))))))</f>
        <v>0</v>
      </c>
      <c r="Z11" s="239">
        <f>IF(U11&gt;0,VLOOKUP(U11,Garden!$D$4:$F$19,3),IF(V11&gt;10,VLOOKUP(V11,Plots!$E$5:$F$39,2),W11))</f>
        <v>2</v>
      </c>
      <c r="AA11" s="310">
        <f>IF(N11&lt;&gt;"",VLOOKUP(N11,Decoration!$B$4:$G$114,6,FALSE)*O11,S11)</f>
        <v>0</v>
      </c>
    </row>
    <row r="12" spans="1:27">
      <c r="A12" s="284" t="s">
        <v>268</v>
      </c>
      <c r="B12" s="221" t="str">
        <f>CONCATENATE(A12,"t2")</f>
        <v>b1g6t2</v>
      </c>
      <c r="C12" s="222" t="str">
        <f t="shared" si="1"/>
        <v/>
      </c>
      <c r="D12" s="222" t="str">
        <f t="shared" si="2"/>
        <v>robertDeal</v>
      </c>
      <c r="E12" s="222" t="str">
        <f t="shared" si="3"/>
        <v/>
      </c>
      <c r="F12" s="222">
        <f t="shared" si="4"/>
        <v>2</v>
      </c>
      <c r="G12" s="278"/>
      <c r="H12" s="222"/>
      <c r="I12" s="222"/>
      <c r="J12" s="222"/>
      <c r="K12" s="222"/>
      <c r="L12" s="222"/>
      <c r="M12" s="222"/>
      <c r="N12" s="222"/>
      <c r="O12" s="222"/>
      <c r="P12" s="222"/>
      <c r="Q12" s="222">
        <v>2</v>
      </c>
      <c r="R12" s="222"/>
      <c r="S12" s="222"/>
      <c r="T12" s="222"/>
      <c r="U12" s="222"/>
      <c r="V12" s="223"/>
      <c r="W12" s="309">
        <f>VLOOKUP(A12,Goals!$B$4:$J$199,9,FALSE)</f>
        <v>2</v>
      </c>
      <c r="X12" s="239">
        <f>IF(J12&lt;&gt;"",VLOOKUP(J12,Plants!$B$4:$G$53,6,FALSE)*O12,IF(M12&lt;&gt;"",-VLOOKUP(M12,Plants!$B$4:$G$53,6,FALSE)*O12,IF(N12&lt;&gt;"",-VLOOKUP(N12,Decoration!$B$4:$G$113,3,FALSE)*O12,IF(Q12&gt;0,VLOOKUP(W12,Overview!$A$4:$R$203,18,FALSE)*Q12,IF(R12&gt;0,R12,IF(S12&gt;0,-VLOOKUP(W12,Decoration!$C$4:$X$58,18)*S12,IF(U12&gt;0,-VLOOKUP(U12,Garden!$D$4:$K$25,8),IF(V12&gt;0,-VLOOKUP(V12,Plots!$E$4:$J$39,6),0))))))))</f>
        <v>10</v>
      </c>
      <c r="Y12" s="239">
        <f>IF(I12&lt;&gt;"",VLOOKUP(I12,Plants!$B$4:$R$53,16,FALSE)*O12,IF(M12&lt;&gt;"",VLOOKUP(M12,Plants!$B$4:$R$53,16,FALSE)*O12,IF(N12&lt;&gt;"",VLOOKUP(N12,Decoration!$B$4:$G$117,5,FALSE)*O12,IF(Q12&gt;0,VLOOKUP(W12,Overview!$A$4:$P$203,15,FALSE)*Q12,IF(R12&gt;0,ROUND(VLOOKUP(W12,Plants!$C$4:$AE$53,29)/1.25*R12,0),IF(S12&gt;0,S12,0))))))</f>
        <v>2</v>
      </c>
      <c r="Z12" s="239">
        <f>IF(U12&gt;0,VLOOKUP(U12,Garden!$D$4:$F$19,3),IF(V12&gt;10,VLOOKUP(V12,Plots!$E$5:$F$39,2),W12))</f>
        <v>2</v>
      </c>
      <c r="AA12" s="310">
        <f>IF(N12&lt;&gt;"",VLOOKUP(N12,Decoration!$B$4:$G$114,6,FALSE)*O12,S12)</f>
        <v>0</v>
      </c>
    </row>
    <row r="13" spans="1:27">
      <c r="A13" s="284" t="s">
        <v>269</v>
      </c>
      <c r="B13" s="221" t="str">
        <f>CONCATENATE(A13,"t1")</f>
        <v>b1g7t1</v>
      </c>
      <c r="C13" s="222" t="str">
        <f t="shared" si="1"/>
        <v/>
      </c>
      <c r="D13" s="222" t="str">
        <f t="shared" si="2"/>
        <v>harvest</v>
      </c>
      <c r="E13" s="222" t="str">
        <f t="shared" si="3"/>
        <v>BumblebeePlant</v>
      </c>
      <c r="F13" s="222">
        <f t="shared" si="4"/>
        <v>4</v>
      </c>
      <c r="G13" s="278"/>
      <c r="H13" s="222"/>
      <c r="I13" s="222" t="s">
        <v>119</v>
      </c>
      <c r="J13" s="222"/>
      <c r="K13" s="222"/>
      <c r="L13" s="222"/>
      <c r="M13" s="222"/>
      <c r="N13" s="222"/>
      <c r="O13" s="222">
        <v>4</v>
      </c>
      <c r="P13" s="222"/>
      <c r="Q13" s="222"/>
      <c r="R13" s="222"/>
      <c r="S13" s="222"/>
      <c r="T13" s="222"/>
      <c r="U13" s="222"/>
      <c r="V13" s="223"/>
      <c r="W13" s="309">
        <f>VLOOKUP(A13,Goals!$B$4:$J$199,9,FALSE)</f>
        <v>2</v>
      </c>
      <c r="X13" s="239">
        <f>IF(J13&lt;&gt;"",VLOOKUP(J13,Plants!$B$4:$G$53,6,FALSE)*O13,IF(M13&lt;&gt;"",-VLOOKUP(M13,Plants!$B$4:$G$53,6,FALSE)*O13,IF(N13&lt;&gt;"",-VLOOKUP(N13,Decoration!$B$4:$G$113,3,FALSE)*O13,IF(Q13&gt;0,VLOOKUP(W13,Overview!$A$4:$R$203,18,FALSE)*Q13,IF(R13&gt;0,R13,IF(S13&gt;0,-VLOOKUP(W13,Decoration!$C$4:$X$58,18)*S13,IF(U13&gt;0,-VLOOKUP(U13,Garden!$D$4:$K$25,8),IF(V13&gt;0,-VLOOKUP(V13,Plots!$E$4:$J$39,6),0))))))))</f>
        <v>0</v>
      </c>
      <c r="Y13" s="239">
        <f>IF(I13&lt;&gt;"",VLOOKUP(I13,Plants!$B$4:$R$53,16,FALSE)*O13,IF(M13&lt;&gt;"",VLOOKUP(M13,Plants!$B$4:$R$53,16,FALSE)*O13,IF(N13&lt;&gt;"",VLOOKUP(N13,Decoration!$B$4:$G$117,5,FALSE)*O13,IF(Q13&gt;0,VLOOKUP(W13,Overview!$A$4:$P$203,15,FALSE)*Q13,IF(R13&gt;0,ROUND(VLOOKUP(W13,Plants!$C$4:$AE$53,29)/1.25*R13,0),IF(S13&gt;0,S13,0))))))</f>
        <v>4</v>
      </c>
      <c r="Z13" s="239">
        <f>IF(U13&gt;0,VLOOKUP(U13,Garden!$D$4:$F$19,3),IF(V13&gt;10,VLOOKUP(V13,Plots!$E$5:$F$39,2),W13))</f>
        <v>2</v>
      </c>
      <c r="AA13" s="310">
        <f>IF(N13&lt;&gt;"",VLOOKUP(N13,Decoration!$B$4:$G$114,6,FALSE)*O13,S13)</f>
        <v>0</v>
      </c>
    </row>
    <row r="14" spans="1:27">
      <c r="A14" s="284" t="s">
        <v>269</v>
      </c>
      <c r="B14" s="221" t="str">
        <f>CONCATENATE(A14,"t2")</f>
        <v>b1g7t2</v>
      </c>
      <c r="C14" s="222" t="str">
        <f t="shared" si="1"/>
        <v/>
      </c>
      <c r="D14" s="222" t="str">
        <f t="shared" si="2"/>
        <v>harvest</v>
      </c>
      <c r="E14" s="222" t="str">
        <f t="shared" si="3"/>
        <v>LadybugPlant</v>
      </c>
      <c r="F14" s="222">
        <f t="shared" si="4"/>
        <v>4</v>
      </c>
      <c r="G14" s="278"/>
      <c r="H14" s="222"/>
      <c r="I14" s="222" t="s">
        <v>272</v>
      </c>
      <c r="J14" s="222"/>
      <c r="K14" s="222"/>
      <c r="L14" s="222"/>
      <c r="M14" s="222"/>
      <c r="N14" s="222"/>
      <c r="O14" s="222">
        <v>4</v>
      </c>
      <c r="P14" s="222"/>
      <c r="Q14" s="222"/>
      <c r="R14" s="222"/>
      <c r="S14" s="222"/>
      <c r="T14" s="222"/>
      <c r="U14" s="222"/>
      <c r="V14" s="223"/>
      <c r="W14" s="309">
        <f>VLOOKUP(A14,Goals!$B$4:$J$199,9,FALSE)</f>
        <v>2</v>
      </c>
      <c r="X14" s="239">
        <f>IF(J14&lt;&gt;"",VLOOKUP(J14,Plants!$B$4:$G$53,6,FALSE)*O14,IF(M14&lt;&gt;"",-VLOOKUP(M14,Plants!$B$4:$G$53,6,FALSE)*O14,IF(N14&lt;&gt;"",-VLOOKUP(N14,Decoration!$B$4:$G$113,3,FALSE)*O14,IF(Q14&gt;0,VLOOKUP(W14,Overview!$A$4:$R$203,18,FALSE)*Q14,IF(R14&gt;0,R14,IF(S14&gt;0,-VLOOKUP(W14,Decoration!$C$4:$X$58,18)*S14,IF(U14&gt;0,-VLOOKUP(U14,Garden!$D$4:$K$25,8),IF(V14&gt;0,-VLOOKUP(V14,Plots!$E$4:$J$39,6),0))))))))</f>
        <v>0</v>
      </c>
      <c r="Y14" s="239">
        <f>IF(I14&lt;&gt;"",VLOOKUP(I14,Plants!$B$4:$R$53,16,FALSE)*O14,IF(M14&lt;&gt;"",VLOOKUP(M14,Plants!$B$4:$R$53,16,FALSE)*O14,IF(N14&lt;&gt;"",VLOOKUP(N14,Decoration!$B$4:$G$117,5,FALSE)*O14,IF(Q14&gt;0,VLOOKUP(W14,Overview!$A$4:$P$203,15,FALSE)*Q14,IF(R14&gt;0,ROUND(VLOOKUP(W14,Plants!$C$4:$AE$53,29)/1.25*R14,0),IF(S14&gt;0,S14,0))))))</f>
        <v>0</v>
      </c>
      <c r="Z14" s="239">
        <f>IF(U14&gt;0,VLOOKUP(U14,Garden!$D$4:$F$19,3),IF(V14&gt;10,VLOOKUP(V14,Plots!$E$5:$F$39,2),W14))</f>
        <v>2</v>
      </c>
      <c r="AA14" s="310">
        <f>IF(N14&lt;&gt;"",VLOOKUP(N14,Decoration!$B$4:$G$114,6,FALSE)*O14,S14)</f>
        <v>0</v>
      </c>
    </row>
    <row r="15" spans="1:27">
      <c r="A15" s="284" t="s">
        <v>270</v>
      </c>
      <c r="B15" s="221" t="str">
        <f>CONCATENATE(A15,"t1")</f>
        <v>b1g8t1</v>
      </c>
      <c r="C15" s="222" t="str">
        <f t="shared" si="1"/>
        <v/>
      </c>
      <c r="D15" s="222" t="str">
        <f t="shared" si="2"/>
        <v>plant</v>
      </c>
      <c r="E15" s="222" t="str">
        <f t="shared" si="3"/>
        <v>HotairballoonPlant</v>
      </c>
      <c r="F15" s="222">
        <f t="shared" si="4"/>
        <v>4</v>
      </c>
      <c r="G15" s="278"/>
      <c r="H15" s="222" t="s">
        <v>271</v>
      </c>
      <c r="I15" s="222"/>
      <c r="J15" s="222"/>
      <c r="K15" s="222"/>
      <c r="L15" s="222"/>
      <c r="M15" s="222"/>
      <c r="N15" s="222"/>
      <c r="O15" s="222">
        <v>4</v>
      </c>
      <c r="P15" s="222"/>
      <c r="Q15" s="222"/>
      <c r="R15" s="222"/>
      <c r="S15" s="222"/>
      <c r="T15" s="222"/>
      <c r="U15" s="222"/>
      <c r="V15" s="223"/>
      <c r="W15" s="309">
        <f>VLOOKUP(A15,Goals!$B$4:$J$199,9,FALSE)</f>
        <v>2</v>
      </c>
      <c r="X15" s="239">
        <f>IF(J15&lt;&gt;"",VLOOKUP(J15,Plants!$B$4:$G$53,6,FALSE)*O15,IF(M15&lt;&gt;"",-VLOOKUP(M15,Plants!$B$4:$G$53,6,FALSE)*O15,IF(N15&lt;&gt;"",-VLOOKUP(N15,Decoration!$B$4:$G$113,3,FALSE)*O15,IF(Q15&gt;0,VLOOKUP(W15,Overview!$A$4:$R$203,18,FALSE)*Q15,IF(R15&gt;0,R15,IF(S15&gt;0,-VLOOKUP(W15,Decoration!$C$4:$X$58,18)*S15,IF(U15&gt;0,-VLOOKUP(U15,Garden!$D$4:$K$25,8),IF(V15&gt;0,-VLOOKUP(V15,Plots!$E$4:$J$39,6),0))))))))</f>
        <v>0</v>
      </c>
      <c r="Y15" s="239">
        <f>IF(I15&lt;&gt;"",VLOOKUP(I15,Plants!$B$4:$R$53,16,FALSE)*O15,IF(M15&lt;&gt;"",VLOOKUP(M15,Plants!$B$4:$R$53,16,FALSE)*O15,IF(N15&lt;&gt;"",VLOOKUP(N15,Decoration!$B$4:$G$117,5,FALSE)*O15,IF(Q15&gt;0,VLOOKUP(W15,Overview!$A$4:$P$203,15,FALSE)*Q15,IF(R15&gt;0,ROUND(VLOOKUP(W15,Plants!$C$4:$AE$53,29)/1.25*R15,0),IF(S15&gt;0,S15,0))))))</f>
        <v>0</v>
      </c>
      <c r="Z15" s="239">
        <f>IF(U15&gt;0,VLOOKUP(U15,Garden!$D$4:$F$19,3),IF(V15&gt;10,VLOOKUP(V15,Plots!$E$5:$F$39,2),W15))</f>
        <v>2</v>
      </c>
      <c r="AA15" s="310">
        <f>IF(N15&lt;&gt;"",VLOOKUP(N15,Decoration!$B$4:$G$114,6,FALSE)*O15,S15)</f>
        <v>0</v>
      </c>
    </row>
    <row r="16" spans="1:27">
      <c r="A16" s="284" t="s">
        <v>270</v>
      </c>
      <c r="B16" s="221" t="str">
        <f>CONCATENATE(A16,"t3")</f>
        <v>b1g8t3</v>
      </c>
      <c r="C16" s="222" t="str">
        <f t="shared" si="1"/>
        <v>true</v>
      </c>
      <c r="D16" s="222" t="str">
        <f t="shared" si="2"/>
        <v>speedupPlant</v>
      </c>
      <c r="E16" s="222" t="str">
        <f t="shared" si="3"/>
        <v>HotairballoonPlant</v>
      </c>
      <c r="F16" s="222">
        <f t="shared" si="4"/>
        <v>4</v>
      </c>
      <c r="G16" s="278"/>
      <c r="H16" s="222"/>
      <c r="I16" s="222"/>
      <c r="J16" s="222"/>
      <c r="K16" s="222" t="s">
        <v>271</v>
      </c>
      <c r="L16" s="222"/>
      <c r="M16" s="222"/>
      <c r="N16" s="222"/>
      <c r="O16" s="222">
        <v>4</v>
      </c>
      <c r="P16" s="222"/>
      <c r="Q16" s="222"/>
      <c r="R16" s="222"/>
      <c r="S16" s="222"/>
      <c r="T16" s="222"/>
      <c r="U16" s="222"/>
      <c r="V16" s="223"/>
      <c r="W16" s="309">
        <f>VLOOKUP(A16,Goals!$B$4:$J$199,9,FALSE)</f>
        <v>2</v>
      </c>
      <c r="X16" s="239">
        <f>IF(J16&lt;&gt;"",VLOOKUP(J16,Plants!$B$4:$G$53,6,FALSE)*O16,IF(M16&lt;&gt;"",-VLOOKUP(M16,Plants!$B$4:$G$53,6,FALSE)*O16,IF(N16&lt;&gt;"",-VLOOKUP(N16,Decoration!$B$4:$G$113,3,FALSE)*O16,IF(Q16&gt;0,VLOOKUP(W16,Overview!$A$4:$R$203,18,FALSE)*Q16,IF(R16&gt;0,R16,IF(S16&gt;0,-VLOOKUP(W16,Decoration!$C$4:$X$58,18)*S16,IF(U16&gt;0,-VLOOKUP(U16,Garden!$D$4:$K$25,8),IF(V16&gt;0,-VLOOKUP(V16,Plots!$E$4:$J$39,6),0))))))))</f>
        <v>0</v>
      </c>
      <c r="Y16" s="239">
        <f>IF(I16&lt;&gt;"",VLOOKUP(I16,Plants!$B$4:$R$53,16,FALSE)*O16,IF(M16&lt;&gt;"",VLOOKUP(M16,Plants!$B$4:$R$53,16,FALSE)*O16,IF(N16&lt;&gt;"",VLOOKUP(N16,Decoration!$B$4:$G$117,5,FALSE)*O16,IF(Q16&gt;0,VLOOKUP(W16,Overview!$A$4:$P$203,15,FALSE)*Q16,IF(R16&gt;0,ROUND(VLOOKUP(W16,Plants!$C$4:$AE$53,29)/1.25*R16,0),IF(S16&gt;0,S16,0))))))</f>
        <v>0</v>
      </c>
      <c r="Z16" s="239">
        <f>IF(U16&gt;0,VLOOKUP(U16,Garden!$D$4:$F$19,3),IF(V16&gt;10,VLOOKUP(V16,Plots!$E$5:$F$39,2),W16))</f>
        <v>2</v>
      </c>
      <c r="AA16" s="310">
        <f>IF(N16&lt;&gt;"",VLOOKUP(N16,Decoration!$B$4:$G$114,6,FALSE)*O16,S16)</f>
        <v>0</v>
      </c>
    </row>
    <row r="17" spans="1:27">
      <c r="A17" s="284" t="s">
        <v>270</v>
      </c>
      <c r="B17" s="221" t="str">
        <f>CONCATENATE(A17,"t2")</f>
        <v>b1g8t2</v>
      </c>
      <c r="C17" s="222" t="str">
        <f t="shared" ref="C17" si="5">IF(K17&gt;0,"true",IF(P17&gt;0,"true",""))</f>
        <v/>
      </c>
      <c r="D17" s="222" t="str">
        <f t="shared" ref="D17" si="6">IF(H17&lt;&gt;"","plant",IF(I17&lt;&gt;"","harvest",IF(J17&lt;&gt;"","sellPlant",IF(K17&lt;&gt;"","speedupPlant",IF(L17&lt;&gt;"","revivePlant",IF(M17&lt;&gt;"","deliver",IF(N17&lt;&gt;"","buyDecoration",IF(P17&lt;&gt;"","moveDecoration",IF(Q17&lt;&gt;"","robertDeal",IF(R17&lt;&gt;"","robertDealEarnCoins",IF(S17&lt;&gt;"","addHappiness",IF(T17&lt;&gt;"","haveHappiness",IF(U17&lt;&gt;"","expandGarden",IF(V17&lt;&gt;"","plot",""))))))))))))))</f>
        <v>harvest</v>
      </c>
      <c r="E17" s="222" t="str">
        <f t="shared" ref="E17" si="7">CONCATENATE(H17,I17,J17,K17,L17,M17,N17)</f>
        <v>HotairballoonPlant</v>
      </c>
      <c r="F17" s="222">
        <f t="shared" ref="F17" si="8">IF(SUM(O17:V17)&gt;0,SUM(O17:V17),"")</f>
        <v>4</v>
      </c>
      <c r="G17" s="278"/>
      <c r="H17" s="222"/>
      <c r="I17" s="222" t="s">
        <v>271</v>
      </c>
      <c r="J17" s="222"/>
      <c r="K17" s="222"/>
      <c r="L17" s="222"/>
      <c r="M17" s="222"/>
      <c r="N17" s="222"/>
      <c r="O17" s="222">
        <v>4</v>
      </c>
      <c r="P17" s="222"/>
      <c r="Q17" s="222"/>
      <c r="R17" s="222"/>
      <c r="S17" s="222"/>
      <c r="T17" s="222"/>
      <c r="U17" s="222"/>
      <c r="V17" s="223"/>
      <c r="W17" s="309">
        <f>VLOOKUP(A17,Goals!$B$4:$J$199,9,FALSE)</f>
        <v>2</v>
      </c>
      <c r="X17" s="239">
        <f>IF(J17&lt;&gt;"",VLOOKUP(J17,Plants!$B$4:$G$53,6,FALSE)*O17,IF(M17&lt;&gt;"",-VLOOKUP(M17,Plants!$B$4:$G$53,6,FALSE)*O17,IF(N17&lt;&gt;"",-VLOOKUP(N17,Decoration!$B$4:$G$113,3,FALSE)*O17,IF(Q17&gt;0,VLOOKUP(W17,Overview!$A$4:$R$203,18,FALSE)*Q17,IF(R17&gt;0,R17,IF(S17&gt;0,-VLOOKUP(W17,Decoration!$C$4:$X$58,18)*S17,IF(U17&gt;0,-VLOOKUP(U17,Garden!$D$4:$K$25,8),IF(V17&gt;0,-VLOOKUP(V17,Plots!$E$4:$J$39,6),0))))))))</f>
        <v>0</v>
      </c>
      <c r="Y17" s="239">
        <f>IF(I17&lt;&gt;"",VLOOKUP(I17,Plants!$B$4:$R$53,16,FALSE)*O17,IF(M17&lt;&gt;"",VLOOKUP(M17,Plants!$B$4:$R$53,16,FALSE)*O17,IF(N17&lt;&gt;"",VLOOKUP(N17,Decoration!$B$4:$G$117,5,FALSE)*O17,IF(Q17&gt;0,VLOOKUP(W17,Overview!$A$4:$P$203,15,FALSE)*Q17,IF(R17&gt;0,ROUND(VLOOKUP(W17,Plants!$C$4:$AE$53,29)/1.25*R17,0),IF(S17&gt;0,S17,0))))))</f>
        <v>4</v>
      </c>
      <c r="Z17" s="239">
        <f>IF(U17&gt;0,VLOOKUP(U17,Garden!$D$4:$F$19,3),IF(V17&gt;10,VLOOKUP(V17,Plots!$E$5:$F$39,2),W17))</f>
        <v>2</v>
      </c>
      <c r="AA17" s="310">
        <f>IF(N17&lt;&gt;"",VLOOKUP(N17,Decoration!$B$4:$G$114,6,FALSE)*O17,S17)</f>
        <v>0</v>
      </c>
    </row>
    <row r="18" spans="1:27">
      <c r="A18" s="284" t="s">
        <v>493</v>
      </c>
      <c r="B18" s="221" t="str">
        <f>CONCATENATE(A18,"t1")</f>
        <v>b1g9t1</v>
      </c>
      <c r="C18" s="222" t="str">
        <f t="shared" si="1"/>
        <v/>
      </c>
      <c r="D18" s="222" t="str">
        <f t="shared" si="2"/>
        <v>harvest</v>
      </c>
      <c r="E18" s="222" t="str">
        <f t="shared" si="3"/>
        <v>BumblebeePlant</v>
      </c>
      <c r="F18" s="222">
        <f t="shared" si="4"/>
        <v>6</v>
      </c>
      <c r="G18" s="278"/>
      <c r="H18" s="222"/>
      <c r="I18" s="222" t="s">
        <v>119</v>
      </c>
      <c r="J18" s="222"/>
      <c r="K18" s="222"/>
      <c r="L18" s="222"/>
      <c r="M18" s="222"/>
      <c r="N18" s="222"/>
      <c r="O18" s="222">
        <v>6</v>
      </c>
      <c r="P18" s="222"/>
      <c r="Q18" s="222"/>
      <c r="R18" s="222"/>
      <c r="S18" s="222"/>
      <c r="T18" s="222"/>
      <c r="U18" s="222"/>
      <c r="V18" s="223"/>
      <c r="W18" s="309">
        <f>VLOOKUP(A18,Goals!$B$4:$J$199,9,FALSE)</f>
        <v>3</v>
      </c>
      <c r="X18" s="239">
        <f>IF(J18&lt;&gt;"",VLOOKUP(J18,Plants!$B$4:$G$53,6,FALSE)*O18,IF(M18&lt;&gt;"",-VLOOKUP(M18,Plants!$B$4:$G$53,6,FALSE)*O18,IF(N18&lt;&gt;"",-VLOOKUP(N18,Decoration!$B$4:$G$113,3,FALSE)*O18,IF(Q18&gt;0,VLOOKUP(W18,Overview!$A$4:$R$203,18,FALSE)*Q18,IF(R18&gt;0,R18,IF(S18&gt;0,-VLOOKUP(W18,Decoration!$C$4:$X$58,18)*S18,IF(U18&gt;0,-VLOOKUP(U18,Garden!$D$4:$K$25,8),IF(V18&gt;0,-VLOOKUP(V18,Plots!$E$4:$J$39,6),0))))))))</f>
        <v>0</v>
      </c>
      <c r="Y18" s="239">
        <f>IF(I18&lt;&gt;"",VLOOKUP(I18,Plants!$B$4:$R$53,16,FALSE)*O18,IF(M18&lt;&gt;"",VLOOKUP(M18,Plants!$B$4:$R$53,16,FALSE)*O18,IF(N18&lt;&gt;"",VLOOKUP(N18,Decoration!$B$4:$G$117,5,FALSE)*O18,IF(Q18&gt;0,VLOOKUP(W18,Overview!$A$4:$P$203,15,FALSE)*Q18,IF(R18&gt;0,ROUND(VLOOKUP(W18,Plants!$C$4:$AE$53,29)/1.25*R18,0),IF(S18&gt;0,S18,0))))))</f>
        <v>6</v>
      </c>
      <c r="Z18" s="239">
        <f>IF(U18&gt;0,VLOOKUP(U18,Garden!$D$4:$F$19,3),IF(V18&gt;10,VLOOKUP(V18,Plots!$E$5:$F$39,2),W18))</f>
        <v>3</v>
      </c>
      <c r="AA18" s="310">
        <f>IF(N18&lt;&gt;"",VLOOKUP(N18,Decoration!$B$4:$G$114,6,FALSE)*O18,S18)</f>
        <v>0</v>
      </c>
    </row>
    <row r="19" spans="1:27" ht="16" thickBot="1">
      <c r="A19" s="285" t="s">
        <v>493</v>
      </c>
      <c r="B19" s="291" t="str">
        <f>CONCATENATE(A19,"t2")</f>
        <v>b1g9t2</v>
      </c>
      <c r="C19" s="292" t="str">
        <f t="shared" si="1"/>
        <v/>
      </c>
      <c r="D19" s="292" t="str">
        <f t="shared" si="2"/>
        <v>harvest</v>
      </c>
      <c r="E19" s="292" t="str">
        <f t="shared" si="3"/>
        <v>HotairballoonPlant</v>
      </c>
      <c r="F19" s="292">
        <f t="shared" si="4"/>
        <v>8</v>
      </c>
      <c r="G19" s="311"/>
      <c r="H19" s="292"/>
      <c r="I19" s="292" t="s">
        <v>271</v>
      </c>
      <c r="J19" s="292"/>
      <c r="K19" s="292"/>
      <c r="L19" s="292"/>
      <c r="M19" s="292"/>
      <c r="N19" s="292"/>
      <c r="O19" s="292">
        <v>8</v>
      </c>
      <c r="P19" s="292"/>
      <c r="Q19" s="292"/>
      <c r="R19" s="292"/>
      <c r="S19" s="292"/>
      <c r="T19" s="292"/>
      <c r="U19" s="292"/>
      <c r="V19" s="312"/>
      <c r="W19" s="313">
        <f>VLOOKUP(A19,Goals!$B$4:$J$199,9,FALSE)</f>
        <v>3</v>
      </c>
      <c r="X19" s="314">
        <f>IF(J19&lt;&gt;"",VLOOKUP(J19,Plants!$B$4:$G$53,6,FALSE)*O19,IF(M19&lt;&gt;"",-VLOOKUP(M19,Plants!$B$4:$G$53,6,FALSE)*O19,IF(N19&lt;&gt;"",-VLOOKUP(N19,Decoration!$B$4:$G$113,3,FALSE)*O19,IF(Q19&gt;0,VLOOKUP(W19,Overview!$A$4:$R$203,18,FALSE)*Q19,IF(R19&gt;0,R19,IF(S19&gt;0,-VLOOKUP(W19,Decoration!$C$4:$X$58,18)*S19,IF(U19&gt;0,-VLOOKUP(U19,Garden!$D$4:$K$25,8),IF(V19&gt;0,-VLOOKUP(V19,Plots!$E$4:$J$39,6),0))))))))</f>
        <v>0</v>
      </c>
      <c r="Y19" s="314">
        <f>IF(I19&lt;&gt;"",VLOOKUP(I19,Plants!$B$4:$R$53,16,FALSE)*O19,IF(M19&lt;&gt;"",VLOOKUP(M19,Plants!$B$4:$R$53,16,FALSE)*O19,IF(N19&lt;&gt;"",VLOOKUP(N19,Decoration!$B$4:$G$117,5,FALSE)*O19,IF(Q19&gt;0,VLOOKUP(W19,Overview!$A$4:$P$203,15,FALSE)*Q19,IF(R19&gt;0,ROUND(VLOOKUP(W19,Plants!$C$4:$AE$53,29)/1.25*R19,0),IF(S19&gt;0,S19,0))))))</f>
        <v>8</v>
      </c>
      <c r="Z19" s="314">
        <f>IF(U19&gt;0,VLOOKUP(U19,Garden!$D$4:$F$19,3),IF(V19&gt;10,VLOOKUP(V19,Plots!$E$5:$F$39,2),W19))</f>
        <v>3</v>
      </c>
      <c r="AA19" s="315">
        <f>IF(N19&lt;&gt;"",VLOOKUP(N19,Decoration!$B$4:$G$114,6,FALSE)*O19,S19)</f>
        <v>0</v>
      </c>
    </row>
    <row r="20" spans="1:27">
      <c r="A20" s="302" t="s">
        <v>109</v>
      </c>
      <c r="B20" s="287" t="str">
        <f>CONCATENATE(A20,"t1")</f>
        <v>b2g1t1</v>
      </c>
      <c r="C20" s="288" t="str">
        <f t="shared" si="1"/>
        <v/>
      </c>
      <c r="D20" s="288" t="str">
        <f t="shared" si="2"/>
        <v>plant</v>
      </c>
      <c r="E20" s="288" t="str">
        <f t="shared" si="3"/>
        <v>LadybugPlant</v>
      </c>
      <c r="F20" s="288">
        <f t="shared" si="4"/>
        <v>6</v>
      </c>
      <c r="G20" s="278"/>
      <c r="H20" s="288" t="s">
        <v>272</v>
      </c>
      <c r="I20" s="288"/>
      <c r="J20" s="288"/>
      <c r="K20" s="288"/>
      <c r="L20" s="288"/>
      <c r="M20" s="288"/>
      <c r="N20" s="288"/>
      <c r="O20" s="288">
        <v>6</v>
      </c>
      <c r="P20" s="288"/>
      <c r="Q20" s="288"/>
      <c r="R20" s="288"/>
      <c r="S20" s="288"/>
      <c r="T20" s="288"/>
      <c r="U20" s="288"/>
      <c r="V20" s="303"/>
      <c r="W20" s="197">
        <f>VLOOKUP(A20,Goals!$B$4:$J$199,9,FALSE)</f>
        <v>3</v>
      </c>
      <c r="X20">
        <f>IF(J20&lt;&gt;"",VLOOKUP(J20,Plants!$B$4:$G$53,6,FALSE)*O20,IF(M20&lt;&gt;"",-VLOOKUP(M20,Plants!$B$4:$G$53,6,FALSE)*O20,IF(N20&lt;&gt;"",-VLOOKUP(N20,Decoration!$B$4:$G$113,3,FALSE)*O20,IF(Q20&gt;0,VLOOKUP(W20,Overview!$A$4:$R$203,18,FALSE)*Q20,IF(R20&gt;0,R20,IF(S20&gt;0,-VLOOKUP(W20,Decoration!$C$4:$X$58,18)*S20,IF(U20&gt;0,-VLOOKUP(U20,Garden!$D$4:$K$25,8),IF(V20&gt;0,-VLOOKUP(V20,Plots!$E$4:$J$39,6),0))))))))</f>
        <v>0</v>
      </c>
      <c r="Y20">
        <f>IF(I20&lt;&gt;"",VLOOKUP(I20,Plants!$B$4:$R$53,16,FALSE)*O20,IF(M20&lt;&gt;"",VLOOKUP(M20,Plants!$B$4:$R$53,16,FALSE)*O20,IF(N20&lt;&gt;"",VLOOKUP(N20,Decoration!$B$4:$G$117,5,FALSE)*O20,IF(Q20&gt;0,VLOOKUP(W20,Overview!$A$4:$P$203,15,FALSE)*Q20,IF(R20&gt;0,ROUND(VLOOKUP(W20,Plants!$C$4:$AE$53,29)/1.25*R20,0),IF(S20&gt;0,S20,0))))))</f>
        <v>0</v>
      </c>
      <c r="Z20">
        <f>IF(U20&gt;0,VLOOKUP(U20,Garden!$D$4:$F$19,3),IF(V20&gt;10,VLOOKUP(V20,Plots!$E$5:$F$39,2),W20))</f>
        <v>3</v>
      </c>
      <c r="AA20" s="80">
        <f>IF(N20&lt;&gt;"",VLOOKUP(N20,Decoration!$B$4:$G$114,6,FALSE)*O20,S20)</f>
        <v>0</v>
      </c>
    </row>
    <row r="21" spans="1:27">
      <c r="A21" s="284" t="s">
        <v>109</v>
      </c>
      <c r="B21" s="221" t="str">
        <f>CONCATENATE(A21,"t2")</f>
        <v>b2g1t2</v>
      </c>
      <c r="C21" s="222" t="str">
        <f t="shared" si="1"/>
        <v/>
      </c>
      <c r="D21" s="222" t="str">
        <f t="shared" si="2"/>
        <v>robertDeal</v>
      </c>
      <c r="E21" s="222" t="str">
        <f t="shared" si="3"/>
        <v/>
      </c>
      <c r="F21" s="222">
        <f t="shared" si="4"/>
        <v>1</v>
      </c>
      <c r="G21" s="278"/>
      <c r="H21" s="222"/>
      <c r="I21" s="222"/>
      <c r="J21" s="222"/>
      <c r="K21" s="222"/>
      <c r="L21" s="222"/>
      <c r="M21" s="222"/>
      <c r="N21" s="222"/>
      <c r="O21" s="222"/>
      <c r="P21" s="222"/>
      <c r="Q21" s="222">
        <v>1</v>
      </c>
      <c r="R21" s="222"/>
      <c r="S21" s="222"/>
      <c r="T21" s="222"/>
      <c r="U21" s="222"/>
      <c r="V21" s="223"/>
      <c r="W21" s="197">
        <f>VLOOKUP(A21,Goals!$B$4:$J$199,9,FALSE)</f>
        <v>3</v>
      </c>
      <c r="X21">
        <f>IF(J21&lt;&gt;"",VLOOKUP(J21,Plants!$B$4:$G$53,6,FALSE)*O21,IF(M21&lt;&gt;"",-VLOOKUP(M21,Plants!$B$4:$G$53,6,FALSE)*O21,IF(N21&lt;&gt;"",-VLOOKUP(N21,Decoration!$B$4:$G$113,3,FALSE)*O21,IF(Q21&gt;0,VLOOKUP(W21,Overview!$A$4:$R$203,18,FALSE)*Q21,IF(R21&gt;0,R21,IF(S21&gt;0,-VLOOKUP(W21,Decoration!$C$4:$X$58,18)*S21,IF(U21&gt;0,-VLOOKUP(U21,Garden!$D$4:$K$25,8),IF(V21&gt;0,-VLOOKUP(V21,Plots!$E$4:$J$39,6),0))))))))</f>
        <v>5</v>
      </c>
      <c r="Y21">
        <f>IF(I21&lt;&gt;"",VLOOKUP(I21,Plants!$B$4:$R$53,16,FALSE)*O21,IF(M21&lt;&gt;"",VLOOKUP(M21,Plants!$B$4:$R$53,16,FALSE)*O21,IF(N21&lt;&gt;"",VLOOKUP(N21,Decoration!$B$4:$G$117,5,FALSE)*O21,IF(Q21&gt;0,VLOOKUP(W21,Overview!$A$4:$P$203,15,FALSE)*Q21,IF(R21&gt;0,ROUND(VLOOKUP(W21,Plants!$C$4:$AE$53,29)/1.25*R21,0),IF(S21&gt;0,S21,0))))))</f>
        <v>1</v>
      </c>
      <c r="Z21">
        <f>IF(U21&gt;0,VLOOKUP(U21,Garden!$D$4:$F$19,3),IF(V21&gt;10,VLOOKUP(V21,Plots!$E$5:$F$39,2),W21))</f>
        <v>3</v>
      </c>
      <c r="AA21" s="80">
        <f>IF(N21&lt;&gt;"",VLOOKUP(N21,Decoration!$B$4:$G$114,6,FALSE)*O21,S21)</f>
        <v>0</v>
      </c>
    </row>
    <row r="22" spans="1:27">
      <c r="A22" s="284" t="s">
        <v>109</v>
      </c>
      <c r="B22" s="221" t="str">
        <f>CONCATENATE(A22,"t3")</f>
        <v>b2g1t3</v>
      </c>
      <c r="C22" s="222" t="str">
        <f t="shared" si="1"/>
        <v/>
      </c>
      <c r="D22" s="222" t="str">
        <f t="shared" si="2"/>
        <v>robertDealEarnCoins</v>
      </c>
      <c r="E22" s="222" t="str">
        <f t="shared" si="3"/>
        <v/>
      </c>
      <c r="F22" s="222">
        <f t="shared" si="4"/>
        <v>30</v>
      </c>
      <c r="G22" s="278"/>
      <c r="H22" s="222"/>
      <c r="I22" s="222"/>
      <c r="J22" s="222"/>
      <c r="K22" s="222"/>
      <c r="L22" s="222"/>
      <c r="M22" s="222"/>
      <c r="N22" s="222"/>
      <c r="O22" s="222"/>
      <c r="P22" s="222"/>
      <c r="Q22" s="222"/>
      <c r="R22" s="222">
        <v>30</v>
      </c>
      <c r="S22" s="222"/>
      <c r="T22" s="222"/>
      <c r="U22" s="222"/>
      <c r="V22" s="223"/>
      <c r="W22" s="197">
        <f>VLOOKUP(A22,Goals!$B$4:$J$199,9,FALSE)</f>
        <v>3</v>
      </c>
      <c r="X22">
        <f>IF(J22&lt;&gt;"",VLOOKUP(J22,Plants!$B$4:$G$53,6,FALSE)*O22,IF(M22&lt;&gt;"",-VLOOKUP(M22,Plants!$B$4:$G$53,6,FALSE)*O22,IF(N22&lt;&gt;"",-VLOOKUP(N22,Decoration!$B$4:$G$113,3,FALSE)*O22,IF(Q22&gt;0,VLOOKUP(W22,Overview!$A$4:$R$203,18,FALSE)*Q22,IF(R22&gt;0,R22,IF(S22&gt;0,-VLOOKUP(W22,Decoration!$C$4:$X$58,18)*S22,IF(U22&gt;0,-VLOOKUP(U22,Garden!$D$4:$K$25,8),IF(V22&gt;0,-VLOOKUP(V22,Plots!$E$4:$J$39,6),0))))))))</f>
        <v>30</v>
      </c>
      <c r="Y22">
        <f>IF(I22&lt;&gt;"",VLOOKUP(I22,Plants!$B$4:$R$53,16,FALSE)*O22,IF(M22&lt;&gt;"",VLOOKUP(M22,Plants!$B$4:$R$53,16,FALSE)*O22,IF(N22&lt;&gt;"",VLOOKUP(N22,Decoration!$B$4:$G$117,5,FALSE)*O22,IF(Q22&gt;0,VLOOKUP(W22,Overview!$A$4:$P$203,15,FALSE)*Q22,IF(R22&gt;0,ROUND(VLOOKUP(W22,Plants!$C$4:$AE$53,29)/1.25*R22,0),IF(S22&gt;0,S22,0))))))</f>
        <v>0</v>
      </c>
      <c r="Z22">
        <f>IF(U22&gt;0,VLOOKUP(U22,Garden!$D$4:$F$19,3),IF(V22&gt;10,VLOOKUP(V22,Plots!$E$5:$F$39,2),W22))</f>
        <v>3</v>
      </c>
      <c r="AA22" s="80">
        <f>IF(N22&lt;&gt;"",VLOOKUP(N22,Decoration!$B$4:$G$114,6,FALSE)*O22,S22)</f>
        <v>0</v>
      </c>
    </row>
    <row r="23" spans="1:27">
      <c r="A23" s="284" t="s">
        <v>111</v>
      </c>
      <c r="B23" s="221" t="str">
        <f>CONCATENATE(A23,"t1")</f>
        <v>b2g2t1</v>
      </c>
      <c r="C23" s="222" t="str">
        <f t="shared" si="1"/>
        <v/>
      </c>
      <c r="D23" s="222" t="str">
        <f t="shared" si="2"/>
        <v>plant</v>
      </c>
      <c r="E23" s="222" t="str">
        <f t="shared" si="3"/>
        <v>HotairballoonPlant</v>
      </c>
      <c r="F23" s="222">
        <f t="shared" si="4"/>
        <v>10</v>
      </c>
      <c r="G23" s="278"/>
      <c r="H23" s="222" t="s">
        <v>271</v>
      </c>
      <c r="I23" s="222"/>
      <c r="J23" s="222"/>
      <c r="K23" s="222"/>
      <c r="L23" s="222"/>
      <c r="M23" s="222"/>
      <c r="N23" s="222"/>
      <c r="O23" s="222">
        <v>10</v>
      </c>
      <c r="P23" s="222"/>
      <c r="Q23" s="222"/>
      <c r="R23" s="222"/>
      <c r="S23" s="222"/>
      <c r="T23" s="222"/>
      <c r="U23" s="222"/>
      <c r="V23" s="223"/>
      <c r="W23" s="197">
        <f>VLOOKUP(A23,Goals!$B$4:$J$199,9,FALSE)</f>
        <v>3</v>
      </c>
      <c r="X23">
        <f>IF(J23&lt;&gt;"",VLOOKUP(J23,Plants!$B$4:$G$53,6,FALSE)*O23,IF(M23&lt;&gt;"",-VLOOKUP(M23,Plants!$B$4:$G$53,6,FALSE)*O23,IF(N23&lt;&gt;"",-VLOOKUP(N23,Decoration!$B$4:$G$113,3,FALSE)*O23,IF(Q23&gt;0,VLOOKUP(W23,Overview!$A$4:$R$203,18,FALSE)*Q23,IF(R23&gt;0,R23,IF(S23&gt;0,-VLOOKUP(W23,Decoration!$C$4:$X$58,18)*S23,IF(U23&gt;0,-VLOOKUP(U23,Garden!$D$4:$K$25,8),IF(V23&gt;0,-VLOOKUP(V23,Plots!$E$4:$J$39,6),0))))))))</f>
        <v>0</v>
      </c>
      <c r="Y23">
        <f>IF(I23&lt;&gt;"",VLOOKUP(I23,Plants!$B$4:$R$53,16,FALSE)*O23,IF(M23&lt;&gt;"",VLOOKUP(M23,Plants!$B$4:$R$53,16,FALSE)*O23,IF(N23&lt;&gt;"",VLOOKUP(N23,Decoration!$B$4:$G$117,5,FALSE)*O23,IF(Q23&gt;0,VLOOKUP(W23,Overview!$A$4:$P$203,15,FALSE)*Q23,IF(R23&gt;0,ROUND(VLOOKUP(W23,Plants!$C$4:$AE$53,29)/1.25*R23,0),IF(S23&gt;0,S23,0))))))</f>
        <v>0</v>
      </c>
      <c r="Z23">
        <f>IF(U23&gt;0,VLOOKUP(U23,Garden!$D$4:$F$19,3),IF(V23&gt;10,VLOOKUP(V23,Plots!$E$5:$F$39,2),W23))</f>
        <v>3</v>
      </c>
      <c r="AA23" s="80">
        <f>IF(N23&lt;&gt;"",VLOOKUP(N23,Decoration!$B$4:$G$114,6,FALSE)*O23,S23)</f>
        <v>0</v>
      </c>
    </row>
    <row r="24" spans="1:27">
      <c r="A24" s="284" t="s">
        <v>111</v>
      </c>
      <c r="B24" s="221" t="str">
        <f>CONCATENATE(A24,"t2")</f>
        <v>b2g2t2</v>
      </c>
      <c r="C24" s="222" t="str">
        <f t="shared" si="1"/>
        <v>true</v>
      </c>
      <c r="D24" s="222" t="str">
        <f t="shared" si="2"/>
        <v>speedupPlant</v>
      </c>
      <c r="E24" s="222" t="str">
        <f t="shared" si="3"/>
        <v>HotairballoonPlant</v>
      </c>
      <c r="F24" s="222">
        <f t="shared" si="4"/>
        <v>10</v>
      </c>
      <c r="G24" s="278"/>
      <c r="H24" s="222"/>
      <c r="I24" s="222"/>
      <c r="J24" s="222"/>
      <c r="K24" s="222" t="s">
        <v>271</v>
      </c>
      <c r="L24" s="222"/>
      <c r="M24" s="222"/>
      <c r="N24" s="222"/>
      <c r="O24" s="222">
        <v>10</v>
      </c>
      <c r="P24" s="222"/>
      <c r="Q24" s="222"/>
      <c r="R24" s="222"/>
      <c r="S24" s="222"/>
      <c r="T24" s="222"/>
      <c r="U24" s="222"/>
      <c r="V24" s="223"/>
      <c r="W24" s="197">
        <f>VLOOKUP(A24,Goals!$B$4:$J$199,9,FALSE)</f>
        <v>3</v>
      </c>
      <c r="X24">
        <f>IF(J24&lt;&gt;"",VLOOKUP(J24,Plants!$B$4:$G$53,6,FALSE)*O24,IF(M24&lt;&gt;"",-VLOOKUP(M24,Plants!$B$4:$G$53,6,FALSE)*O24,IF(N24&lt;&gt;"",-VLOOKUP(N24,Decoration!$B$4:$G$113,3,FALSE)*O24,IF(Q24&gt;0,VLOOKUP(W24,Overview!$A$4:$R$203,18,FALSE)*Q24,IF(R24&gt;0,R24,IF(S24&gt;0,-VLOOKUP(W24,Decoration!$C$4:$X$58,18)*S24,IF(U24&gt;0,-VLOOKUP(U24,Garden!$D$4:$K$25,8),IF(V24&gt;0,-VLOOKUP(V24,Plots!$E$4:$J$39,6),0))))))))</f>
        <v>0</v>
      </c>
      <c r="Y24">
        <f>IF(I24&lt;&gt;"",VLOOKUP(I24,Plants!$B$4:$R$53,16,FALSE)*O24,IF(M24&lt;&gt;"",VLOOKUP(M24,Plants!$B$4:$R$53,16,FALSE)*O24,IF(N24&lt;&gt;"",VLOOKUP(N24,Decoration!$B$4:$G$117,5,FALSE)*O24,IF(Q24&gt;0,VLOOKUP(W24,Overview!$A$4:$P$203,15,FALSE)*Q24,IF(R24&gt;0,ROUND(VLOOKUP(W24,Plants!$C$4:$AE$53,29)/1.25*R24,0),IF(S24&gt;0,S24,0))))))</f>
        <v>0</v>
      </c>
      <c r="Z24">
        <f>IF(U24&gt;0,VLOOKUP(U24,Garden!$D$4:$F$19,3),IF(V24&gt;10,VLOOKUP(V24,Plots!$E$5:$F$39,2),W24))</f>
        <v>3</v>
      </c>
      <c r="AA24" s="80">
        <f>IF(N24&lt;&gt;"",VLOOKUP(N24,Decoration!$B$4:$G$114,6,FALSE)*O24,S24)</f>
        <v>0</v>
      </c>
    </row>
    <row r="25" spans="1:27">
      <c r="A25" s="284" t="s">
        <v>111</v>
      </c>
      <c r="B25" s="221" t="str">
        <f>CONCATENATE(A25,"t3")</f>
        <v>b2g2t3</v>
      </c>
      <c r="C25" s="222" t="str">
        <f t="shared" si="1"/>
        <v/>
      </c>
      <c r="D25" s="222" t="str">
        <f t="shared" si="2"/>
        <v>sellPlant</v>
      </c>
      <c r="E25" s="222" t="str">
        <f t="shared" si="3"/>
        <v>HotairballoonPlant</v>
      </c>
      <c r="F25" s="222">
        <f t="shared" si="4"/>
        <v>10</v>
      </c>
      <c r="G25" s="278"/>
      <c r="H25" s="222"/>
      <c r="I25" s="222"/>
      <c r="J25" s="222" t="s">
        <v>271</v>
      </c>
      <c r="K25" s="222"/>
      <c r="L25" s="222"/>
      <c r="M25" s="222"/>
      <c r="N25" s="222"/>
      <c r="O25" s="222">
        <v>10</v>
      </c>
      <c r="P25" s="222"/>
      <c r="Q25" s="222"/>
      <c r="R25" s="222"/>
      <c r="S25" s="222"/>
      <c r="T25" s="222"/>
      <c r="U25" s="222"/>
      <c r="V25" s="223"/>
      <c r="W25" s="197">
        <f>VLOOKUP(A25,Goals!$B$4:$J$199,9,FALSE)</f>
        <v>3</v>
      </c>
      <c r="X25">
        <f>IF(J25&lt;&gt;"",VLOOKUP(J25,Plants!$B$4:$G$53,6,FALSE)*O25,IF(M25&lt;&gt;"",-VLOOKUP(M25,Plants!$B$4:$G$53,6,FALSE)*O25,IF(N25&lt;&gt;"",-VLOOKUP(N25,Decoration!$B$4:$G$113,3,FALSE)*O25,IF(Q25&gt;0,VLOOKUP(W25,Overview!$A$4:$R$203,18,FALSE)*Q25,IF(R25&gt;0,R25,IF(S25&gt;0,-VLOOKUP(W25,Decoration!$C$4:$X$58,18)*S25,IF(U25&gt;0,-VLOOKUP(U25,Garden!$D$4:$K$25,8),IF(V25&gt;0,-VLOOKUP(V25,Plots!$E$4:$J$39,6),0))))))))</f>
        <v>400</v>
      </c>
      <c r="Y25">
        <f>IF(I25&lt;&gt;"",VLOOKUP(I25,Plants!$B$4:$R$53,16,FALSE)*O25,IF(M25&lt;&gt;"",VLOOKUP(M25,Plants!$B$4:$R$53,16,FALSE)*O25,IF(N25&lt;&gt;"",VLOOKUP(N25,Decoration!$B$4:$G$117,5,FALSE)*O25,IF(Q25&gt;0,VLOOKUP(W25,Overview!$A$4:$P$203,15,FALSE)*Q25,IF(R25&gt;0,ROUND(VLOOKUP(W25,Plants!$C$4:$AE$53,29)/1.25*R25,0),IF(S25&gt;0,S25,0))))))</f>
        <v>0</v>
      </c>
      <c r="Z25">
        <f>IF(U25&gt;0,VLOOKUP(U25,Garden!$D$4:$F$19,3),IF(V25&gt;10,VLOOKUP(V25,Plots!$E$5:$F$39,2),W25))</f>
        <v>3</v>
      </c>
      <c r="AA25" s="80">
        <f>IF(N25&lt;&gt;"",VLOOKUP(N25,Decoration!$B$4:$G$114,6,FALSE)*O25,S25)</f>
        <v>0</v>
      </c>
    </row>
    <row r="26" spans="1:27">
      <c r="A26" s="284" t="s">
        <v>273</v>
      </c>
      <c r="B26" s="221" t="str">
        <f>CONCATENATE(A26,"t1")</f>
        <v>b2g3t1</v>
      </c>
      <c r="C26" s="222" t="str">
        <f t="shared" si="1"/>
        <v/>
      </c>
      <c r="D26" s="222" t="str">
        <f t="shared" si="2"/>
        <v>haveHappiness</v>
      </c>
      <c r="E26" s="222" t="str">
        <f t="shared" si="3"/>
        <v/>
      </c>
      <c r="F26" s="222">
        <f t="shared" si="4"/>
        <v>20</v>
      </c>
      <c r="G26" s="278"/>
      <c r="H26" s="222"/>
      <c r="I26" s="222"/>
      <c r="J26" s="222"/>
      <c r="K26" s="222"/>
      <c r="L26" s="222"/>
      <c r="M26" s="222"/>
      <c r="N26" s="222"/>
      <c r="O26" s="222"/>
      <c r="P26" s="222"/>
      <c r="Q26" s="222"/>
      <c r="R26" s="222"/>
      <c r="S26" s="222"/>
      <c r="T26" s="222">
        <v>20</v>
      </c>
      <c r="U26" s="222"/>
      <c r="V26" s="223"/>
      <c r="W26" s="197">
        <f>VLOOKUP(A26,Goals!$B$4:$J$199,9,FALSE)</f>
        <v>3</v>
      </c>
      <c r="X26">
        <f>IF(J26&lt;&gt;"",VLOOKUP(J26,Plants!$B$4:$G$53,6,FALSE)*O26,IF(M26&lt;&gt;"",-VLOOKUP(M26,Plants!$B$4:$G$53,6,FALSE)*O26,IF(N26&lt;&gt;"",-VLOOKUP(N26,Decoration!$B$4:$G$113,3,FALSE)*O26,IF(Q26&gt;0,VLOOKUP(W26,Overview!$A$4:$R$203,18,FALSE)*Q26,IF(R26&gt;0,R26,IF(S26&gt;0,-VLOOKUP(W26,Decoration!$C$4:$X$58,18)*S26,IF(U26&gt;0,-VLOOKUP(U26,Garden!$D$4:$K$25,8),IF(V26&gt;0,-VLOOKUP(V26,Plots!$E$4:$J$39,6),0))))))))</f>
        <v>0</v>
      </c>
      <c r="Y26">
        <f>IF(I26&lt;&gt;"",VLOOKUP(I26,Plants!$B$4:$R$53,16,FALSE)*O26,IF(M26&lt;&gt;"",VLOOKUP(M26,Plants!$B$4:$R$53,16,FALSE)*O26,IF(N26&lt;&gt;"",VLOOKUP(N26,Decoration!$B$4:$G$117,5,FALSE)*O26,IF(Q26&gt;0,VLOOKUP(W26,Overview!$A$4:$P$203,15,FALSE)*Q26,IF(R26&gt;0,ROUND(VLOOKUP(W26,Plants!$C$4:$AE$53,29)/1.25*R26,0),IF(S26&gt;0,S26,0))))))</f>
        <v>0</v>
      </c>
      <c r="Z26">
        <f>IF(U26&gt;0,VLOOKUP(U26,Garden!$D$4:$F$19,3),IF(V26&gt;10,VLOOKUP(V26,Plots!$E$5:$F$39,2),W26))</f>
        <v>3</v>
      </c>
      <c r="AA26" s="80">
        <f>IF(N26&lt;&gt;"",VLOOKUP(N26,Decoration!$B$4:$G$114,6,FALSE)*O26,S26)</f>
        <v>0</v>
      </c>
    </row>
    <row r="27" spans="1:27">
      <c r="A27" s="284" t="s">
        <v>273</v>
      </c>
      <c r="B27" s="221" t="str">
        <f>CONCATENATE(A27,"t2")</f>
        <v>b2g3t2</v>
      </c>
      <c r="C27" s="222" t="str">
        <f t="shared" si="1"/>
        <v>true</v>
      </c>
      <c r="D27" s="222" t="str">
        <f t="shared" si="2"/>
        <v>moveDecoration</v>
      </c>
      <c r="E27" s="222" t="str">
        <f t="shared" si="3"/>
        <v/>
      </c>
      <c r="F27" s="222">
        <f t="shared" si="4"/>
        <v>2</v>
      </c>
      <c r="G27" s="278"/>
      <c r="H27" s="222"/>
      <c r="I27" s="222"/>
      <c r="J27" s="222"/>
      <c r="K27" s="222"/>
      <c r="L27" s="222"/>
      <c r="M27" s="222"/>
      <c r="N27" s="222"/>
      <c r="O27" s="222"/>
      <c r="P27" s="222">
        <v>2</v>
      </c>
      <c r="Q27" s="222"/>
      <c r="R27" s="222"/>
      <c r="S27" s="222"/>
      <c r="T27" s="222"/>
      <c r="U27" s="222"/>
      <c r="V27" s="223"/>
      <c r="W27" s="197">
        <f>VLOOKUP(A27,Goals!$B$4:$J$199,9,FALSE)</f>
        <v>3</v>
      </c>
      <c r="X27">
        <f>IF(J27&lt;&gt;"",VLOOKUP(J27,Plants!$B$4:$G$53,6,FALSE)*O27,IF(M27&lt;&gt;"",-VLOOKUP(M27,Plants!$B$4:$G$53,6,FALSE)*O27,IF(N27&lt;&gt;"",-VLOOKUP(N27,Decoration!$B$4:$G$113,3,FALSE)*O27,IF(Q27&gt;0,VLOOKUP(W27,Overview!$A$4:$R$203,18,FALSE)*Q27,IF(R27&gt;0,R27,IF(S27&gt;0,-VLOOKUP(W27,Decoration!$C$4:$X$58,18)*S27,IF(U27&gt;0,-VLOOKUP(U27,Garden!$D$4:$K$25,8),IF(V27&gt;0,-VLOOKUP(V27,Plots!$E$4:$J$39,6),0))))))))</f>
        <v>0</v>
      </c>
      <c r="Y27">
        <f>IF(I27&lt;&gt;"",VLOOKUP(I27,Plants!$B$4:$R$53,16,FALSE)*O27,IF(M27&lt;&gt;"",VLOOKUP(M27,Plants!$B$4:$R$53,16,FALSE)*O27,IF(N27&lt;&gt;"",VLOOKUP(N27,Decoration!$B$4:$G$117,5,FALSE)*O27,IF(Q27&gt;0,VLOOKUP(W27,Overview!$A$4:$P$203,15,FALSE)*Q27,IF(R27&gt;0,ROUND(VLOOKUP(W27,Plants!$C$4:$AE$53,29)/1.25*R27,0),IF(S27&gt;0,S27,0))))))</f>
        <v>0</v>
      </c>
      <c r="Z27">
        <f>IF(U27&gt;0,VLOOKUP(U27,Garden!$D$4:$F$19,3),IF(V27&gt;10,VLOOKUP(V27,Plots!$E$5:$F$39,2),W27))</f>
        <v>3</v>
      </c>
      <c r="AA27" s="80">
        <f>IF(N27&lt;&gt;"",VLOOKUP(N27,Decoration!$B$4:$G$114,6,FALSE)*O27,S27)</f>
        <v>0</v>
      </c>
    </row>
    <row r="28" spans="1:27">
      <c r="A28" s="284" t="s">
        <v>273</v>
      </c>
      <c r="B28" s="221" t="str">
        <f>CONCATENATE(A28,"t3")</f>
        <v>b2g3t3</v>
      </c>
      <c r="C28" s="222" t="str">
        <f t="shared" si="1"/>
        <v/>
      </c>
      <c r="D28" s="222" t="str">
        <f t="shared" si="2"/>
        <v>expandGarden</v>
      </c>
      <c r="E28" s="222" t="str">
        <f t="shared" si="3"/>
        <v/>
      </c>
      <c r="F28" s="222">
        <f t="shared" si="4"/>
        <v>10</v>
      </c>
      <c r="G28" s="278"/>
      <c r="H28" s="222"/>
      <c r="I28" s="222"/>
      <c r="J28" s="222"/>
      <c r="K28" s="222"/>
      <c r="L28" s="222"/>
      <c r="M28" s="222"/>
      <c r="N28" s="222"/>
      <c r="O28" s="222"/>
      <c r="P28" s="222"/>
      <c r="Q28" s="222"/>
      <c r="R28" s="222"/>
      <c r="S28" s="222"/>
      <c r="T28" s="222"/>
      <c r="U28" s="222">
        <v>10</v>
      </c>
      <c r="V28" s="223"/>
      <c r="W28" s="197">
        <f>VLOOKUP(A28,Goals!$B$4:$J$199,9,FALSE)</f>
        <v>3</v>
      </c>
      <c r="X28">
        <f>IF(J28&lt;&gt;"",VLOOKUP(J28,Plants!$B$4:$G$53,6,FALSE)*O28,IF(M28&lt;&gt;"",-VLOOKUP(M28,Plants!$B$4:$G$53,6,FALSE)*O28,IF(N28&lt;&gt;"",-VLOOKUP(N28,Decoration!$B$4:$G$113,3,FALSE)*O28,IF(Q28&gt;0,VLOOKUP(W28,Overview!$A$4:$R$203,18,FALSE)*Q28,IF(R28&gt;0,R28,IF(S28&gt;0,-VLOOKUP(W28,Decoration!$C$4:$X$58,18)*S28,IF(U28&gt;0,-VLOOKUP(U28,Garden!$D$4:$K$25,8),IF(V28&gt;0,-VLOOKUP(V28,Plots!$E$4:$J$39,6),0))))))))</f>
        <v>-1400</v>
      </c>
      <c r="Y28">
        <f>IF(I28&lt;&gt;"",VLOOKUP(I28,Plants!$B$4:$R$53,16,FALSE)*O28,IF(M28&lt;&gt;"",VLOOKUP(M28,Plants!$B$4:$R$53,16,FALSE)*O28,IF(N28&lt;&gt;"",VLOOKUP(N28,Decoration!$B$4:$G$117,5,FALSE)*O28,IF(Q28&gt;0,VLOOKUP(W28,Overview!$A$4:$P$203,15,FALSE)*Q28,IF(R28&gt;0,ROUND(VLOOKUP(W28,Plants!$C$4:$AE$53,29)/1.25*R28,0),IF(S28&gt;0,S28,0))))))</f>
        <v>0</v>
      </c>
      <c r="Z28">
        <f>IF(U28&gt;0,VLOOKUP(U28,Garden!$D$4:$F$19,3),IF(V28&gt;10,VLOOKUP(V28,Plots!$E$5:$F$39,2),W28))</f>
        <v>3</v>
      </c>
      <c r="AA28" s="80">
        <f>IF(N28&lt;&gt;"",VLOOKUP(N28,Decoration!$B$4:$G$114,6,FALSE)*O28,S28)</f>
        <v>0</v>
      </c>
    </row>
    <row r="29" spans="1:27">
      <c r="A29" s="284" t="s">
        <v>274</v>
      </c>
      <c r="B29" s="221" t="str">
        <f>CONCATENATE(A29,"t1")</f>
        <v>b2g4t1</v>
      </c>
      <c r="C29" s="222" t="str">
        <f t="shared" si="1"/>
        <v/>
      </c>
      <c r="D29" s="222" t="str">
        <f t="shared" si="2"/>
        <v>harvest</v>
      </c>
      <c r="E29" s="222" t="str">
        <f t="shared" si="3"/>
        <v>HotairballoonPlant</v>
      </c>
      <c r="F29" s="222">
        <f t="shared" si="4"/>
        <v>10</v>
      </c>
      <c r="G29" s="278"/>
      <c r="H29" s="222"/>
      <c r="I29" s="222" t="s">
        <v>271</v>
      </c>
      <c r="J29" s="222"/>
      <c r="K29" s="222"/>
      <c r="L29" s="222"/>
      <c r="M29" s="222"/>
      <c r="N29" s="222"/>
      <c r="O29" s="222">
        <v>10</v>
      </c>
      <c r="P29" s="222"/>
      <c r="Q29" s="222"/>
      <c r="R29" s="222"/>
      <c r="S29" s="222"/>
      <c r="T29" s="222"/>
      <c r="U29" s="222"/>
      <c r="V29" s="223"/>
      <c r="W29" s="197">
        <f>VLOOKUP(A29,Goals!$B$4:$J$199,9,FALSE)</f>
        <v>3</v>
      </c>
      <c r="X29">
        <f>IF(J29&lt;&gt;"",VLOOKUP(J29,Plants!$B$4:$G$53,6,FALSE)*O29,IF(M29&lt;&gt;"",-VLOOKUP(M29,Plants!$B$4:$G$53,6,FALSE)*O29,IF(N29&lt;&gt;"",-VLOOKUP(N29,Decoration!$B$4:$G$113,3,FALSE)*O29,IF(Q29&gt;0,VLOOKUP(W29,Overview!$A$4:$R$203,18,FALSE)*Q29,IF(R29&gt;0,R29,IF(S29&gt;0,-VLOOKUP(W29,Decoration!$C$4:$X$58,18)*S29,IF(U29&gt;0,-VLOOKUP(U29,Garden!$D$4:$K$25,8),IF(V29&gt;0,-VLOOKUP(V29,Plots!$E$4:$J$39,6),0))))))))</f>
        <v>0</v>
      </c>
      <c r="Y29">
        <f>IF(I29&lt;&gt;"",VLOOKUP(I29,Plants!$B$4:$R$53,16,FALSE)*O29,IF(M29&lt;&gt;"",VLOOKUP(M29,Plants!$B$4:$R$53,16,FALSE)*O29,IF(N29&lt;&gt;"",VLOOKUP(N29,Decoration!$B$4:$G$117,5,FALSE)*O29,IF(Q29&gt;0,VLOOKUP(W29,Overview!$A$4:$P$203,15,FALSE)*Q29,IF(R29&gt;0,ROUND(VLOOKUP(W29,Plants!$C$4:$AE$53,29)/1.25*R29,0),IF(S29&gt;0,S29,0))))))</f>
        <v>10</v>
      </c>
      <c r="Z29">
        <f>IF(U29&gt;0,VLOOKUP(U29,Garden!$D$4:$F$19,3),IF(V29&gt;10,VLOOKUP(V29,Plots!$E$5:$F$39,2),W29))</f>
        <v>3</v>
      </c>
      <c r="AA29" s="80">
        <f>IF(N29&lt;&gt;"",VLOOKUP(N29,Decoration!$B$4:$G$114,6,FALSE)*O29,S29)</f>
        <v>0</v>
      </c>
    </row>
    <row r="30" spans="1:27">
      <c r="A30" s="284" t="s">
        <v>274</v>
      </c>
      <c r="B30" s="221" t="str">
        <f>CONCATENATE(A30,"t2")</f>
        <v>b2g4t2</v>
      </c>
      <c r="C30" s="222" t="str">
        <f t="shared" si="1"/>
        <v/>
      </c>
      <c r="D30" s="222" t="str">
        <f t="shared" si="2"/>
        <v>robertDeal</v>
      </c>
      <c r="E30" s="222" t="str">
        <f t="shared" si="3"/>
        <v/>
      </c>
      <c r="F30" s="222">
        <f t="shared" si="4"/>
        <v>3</v>
      </c>
      <c r="G30" s="278"/>
      <c r="H30" s="222"/>
      <c r="I30" s="222"/>
      <c r="J30" s="222"/>
      <c r="K30" s="222"/>
      <c r="L30" s="222"/>
      <c r="M30" s="222"/>
      <c r="N30" s="222"/>
      <c r="O30" s="222"/>
      <c r="P30" s="222"/>
      <c r="Q30" s="222">
        <v>3</v>
      </c>
      <c r="R30" s="222"/>
      <c r="S30" s="222"/>
      <c r="T30" s="222"/>
      <c r="U30" s="222"/>
      <c r="V30" s="223"/>
      <c r="W30" s="197">
        <f>VLOOKUP(A30,Goals!$B$4:$J$199,9,FALSE)</f>
        <v>3</v>
      </c>
      <c r="X30">
        <f>IF(J30&lt;&gt;"",VLOOKUP(J30,Plants!$B$4:$G$53,6,FALSE)*O30,IF(M30&lt;&gt;"",-VLOOKUP(M30,Plants!$B$4:$G$53,6,FALSE)*O30,IF(N30&lt;&gt;"",-VLOOKUP(N30,Decoration!$B$4:$G$113,3,FALSE)*O30,IF(Q30&gt;0,VLOOKUP(W30,Overview!$A$4:$R$203,18,FALSE)*Q30,IF(R30&gt;0,R30,IF(S30&gt;0,-VLOOKUP(W30,Decoration!$C$4:$X$58,18)*S30,IF(U30&gt;0,-VLOOKUP(U30,Garden!$D$4:$K$25,8),IF(V30&gt;0,-VLOOKUP(V30,Plots!$E$4:$J$39,6),0))))))))</f>
        <v>15</v>
      </c>
      <c r="Y30">
        <f>IF(I30&lt;&gt;"",VLOOKUP(I30,Plants!$B$4:$R$53,16,FALSE)*O30,IF(M30&lt;&gt;"",VLOOKUP(M30,Plants!$B$4:$R$53,16,FALSE)*O30,IF(N30&lt;&gt;"",VLOOKUP(N30,Decoration!$B$4:$G$117,5,FALSE)*O30,IF(Q30&gt;0,VLOOKUP(W30,Overview!$A$4:$P$203,15,FALSE)*Q30,IF(R30&gt;0,ROUND(VLOOKUP(W30,Plants!$C$4:$AE$53,29)/1.25*R30,0),IF(S30&gt;0,S30,0))))))</f>
        <v>3</v>
      </c>
      <c r="Z30">
        <f>IF(U30&gt;0,VLOOKUP(U30,Garden!$D$4:$F$19,3),IF(V30&gt;10,VLOOKUP(V30,Plots!$E$5:$F$39,2),W30))</f>
        <v>3</v>
      </c>
      <c r="AA30" s="80">
        <f>IF(N30&lt;&gt;"",VLOOKUP(N30,Decoration!$B$4:$G$114,6,FALSE)*O30,S30)</f>
        <v>0</v>
      </c>
    </row>
    <row r="31" spans="1:27">
      <c r="A31" s="284" t="s">
        <v>274</v>
      </c>
      <c r="B31" s="221" t="str">
        <f>CONCATENATE(A31,"t3")</f>
        <v>b2g4t3</v>
      </c>
      <c r="C31" s="222" t="str">
        <f t="shared" si="1"/>
        <v/>
      </c>
      <c r="D31" s="222" t="str">
        <f t="shared" si="2"/>
        <v>robertDealEarnCoins</v>
      </c>
      <c r="E31" s="222" t="str">
        <f t="shared" si="3"/>
        <v/>
      </c>
      <c r="F31" s="222">
        <f t="shared" si="4"/>
        <v>100</v>
      </c>
      <c r="G31" s="278"/>
      <c r="H31" s="222"/>
      <c r="I31" s="222"/>
      <c r="J31" s="222"/>
      <c r="K31" s="222"/>
      <c r="L31" s="222"/>
      <c r="M31" s="222"/>
      <c r="N31" s="222"/>
      <c r="O31" s="222"/>
      <c r="P31" s="222"/>
      <c r="Q31" s="222"/>
      <c r="R31" s="222">
        <v>100</v>
      </c>
      <c r="S31" s="222"/>
      <c r="T31" s="222"/>
      <c r="U31" s="222"/>
      <c r="V31" s="223"/>
      <c r="W31" s="197">
        <f>VLOOKUP(A31,Goals!$B$4:$J$199,9,FALSE)</f>
        <v>3</v>
      </c>
      <c r="X31">
        <f>IF(J31&lt;&gt;"",VLOOKUP(J31,Plants!$B$4:$G$53,6,FALSE)*O31,IF(M31&lt;&gt;"",-VLOOKUP(M31,Plants!$B$4:$G$53,6,FALSE)*O31,IF(N31&lt;&gt;"",-VLOOKUP(N31,Decoration!$B$4:$G$113,3,FALSE)*O31,IF(Q31&gt;0,VLOOKUP(W31,Overview!$A$4:$R$203,18,FALSE)*Q31,IF(R31&gt;0,R31,IF(S31&gt;0,-VLOOKUP(W31,Decoration!$C$4:$X$58,18)*S31,IF(U31&gt;0,-VLOOKUP(U31,Garden!$D$4:$K$25,8),IF(V31&gt;0,-VLOOKUP(V31,Plots!$E$4:$J$39,6),0))))))))</f>
        <v>100</v>
      </c>
      <c r="Y31">
        <f>IF(I31&lt;&gt;"",VLOOKUP(I31,Plants!$B$4:$R$53,16,FALSE)*O31,IF(M31&lt;&gt;"",VLOOKUP(M31,Plants!$B$4:$R$53,16,FALSE)*O31,IF(N31&lt;&gt;"",VLOOKUP(N31,Decoration!$B$4:$G$117,5,FALSE)*O31,IF(Q31&gt;0,VLOOKUP(W31,Overview!$A$4:$P$203,15,FALSE)*Q31,IF(R31&gt;0,ROUND(VLOOKUP(W31,Plants!$C$4:$AE$53,29)/1.25*R31,0),IF(S31&gt;0,S31,0))))))</f>
        <v>0</v>
      </c>
      <c r="Z31">
        <f>IF(U31&gt;0,VLOOKUP(U31,Garden!$D$4:$F$19,3),IF(V31&gt;10,VLOOKUP(V31,Plots!$E$5:$F$39,2),W31))</f>
        <v>3</v>
      </c>
      <c r="AA31" s="80">
        <f>IF(N31&lt;&gt;"",VLOOKUP(N31,Decoration!$B$4:$G$114,6,FALSE)*O31,S31)</f>
        <v>0</v>
      </c>
    </row>
    <row r="32" spans="1:27">
      <c r="A32" s="284" t="s">
        <v>275</v>
      </c>
      <c r="B32" s="221" t="str">
        <f>CONCATENATE(A32,"t1")</f>
        <v>b2g5t1</v>
      </c>
      <c r="C32" s="222" t="str">
        <f t="shared" si="1"/>
        <v/>
      </c>
      <c r="D32" s="222" t="str">
        <f t="shared" si="2"/>
        <v>deliver</v>
      </c>
      <c r="E32" s="222" t="str">
        <f t="shared" si="3"/>
        <v>LadybugPlant</v>
      </c>
      <c r="F32" s="222">
        <f t="shared" si="4"/>
        <v>5</v>
      </c>
      <c r="G32" s="278"/>
      <c r="H32" s="222"/>
      <c r="I32" s="222"/>
      <c r="J32" s="222"/>
      <c r="K32" s="222"/>
      <c r="L32" s="222"/>
      <c r="M32" s="222" t="s">
        <v>272</v>
      </c>
      <c r="N32" s="222"/>
      <c r="O32" s="222">
        <v>5</v>
      </c>
      <c r="P32" s="222"/>
      <c r="Q32" s="222"/>
      <c r="R32" s="222"/>
      <c r="S32" s="222"/>
      <c r="T32" s="222"/>
      <c r="U32" s="222"/>
      <c r="V32" s="223"/>
      <c r="W32" s="197">
        <f>VLOOKUP(A32,Goals!$B$4:$J$199,9,FALSE)</f>
        <v>4</v>
      </c>
      <c r="X32">
        <f>IF(J32&lt;&gt;"",VLOOKUP(J32,Plants!$B$4:$G$53,6,FALSE)*O32,IF(M32&lt;&gt;"",-VLOOKUP(M32,Plants!$B$4:$G$53,6,FALSE)*O32,IF(N32&lt;&gt;"",-VLOOKUP(N32,Decoration!$B$4:$G$113,3,FALSE)*O32,IF(Q32&gt;0,VLOOKUP(W32,Overview!$A$4:$R$203,18,FALSE)*Q32,IF(R32&gt;0,R32,IF(S32&gt;0,-VLOOKUP(W32,Decoration!$C$4:$X$58,18)*S32,IF(U32&gt;0,-VLOOKUP(U32,Garden!$D$4:$K$25,8),IF(V32&gt;0,-VLOOKUP(V32,Plots!$E$4:$J$39,6),0))))))))</f>
        <v>-15</v>
      </c>
      <c r="Y32">
        <f>IF(I32&lt;&gt;"",VLOOKUP(I32,Plants!$B$4:$R$53,16,FALSE)*O32,IF(M32&lt;&gt;"",VLOOKUP(M32,Plants!$B$4:$R$53,16,FALSE)*O32,IF(N32&lt;&gt;"",VLOOKUP(N32,Decoration!$B$4:$G$117,5,FALSE)*O32,IF(Q32&gt;0,VLOOKUP(W32,Overview!$A$4:$P$203,15,FALSE)*Q32,IF(R32&gt;0,ROUND(VLOOKUP(W32,Plants!$C$4:$AE$53,29)/1.25*R32,0),IF(S32&gt;0,S32,0))))))</f>
        <v>0</v>
      </c>
      <c r="Z32">
        <f>IF(U32&gt;0,VLOOKUP(U32,Garden!$D$4:$F$19,3),IF(V32&gt;10,VLOOKUP(V32,Plots!$E$5:$F$39,2),W32))</f>
        <v>4</v>
      </c>
      <c r="AA32" s="80">
        <f>IF(N32&lt;&gt;"",VLOOKUP(N32,Decoration!$B$4:$G$114,6,FALSE)*O32,S32)</f>
        <v>0</v>
      </c>
    </row>
    <row r="33" spans="1:27">
      <c r="A33" s="284" t="s">
        <v>275</v>
      </c>
      <c r="B33" s="221" t="str">
        <f>CONCATENATE(A33,"t2")</f>
        <v>b2g5t2</v>
      </c>
      <c r="C33" s="222" t="str">
        <f t="shared" si="1"/>
        <v/>
      </c>
      <c r="D33" s="222" t="str">
        <f t="shared" si="2"/>
        <v>plant</v>
      </c>
      <c r="E33" s="222" t="str">
        <f t="shared" si="3"/>
        <v>HotairballoonPlant</v>
      </c>
      <c r="F33" s="222">
        <f t="shared" si="4"/>
        <v>10</v>
      </c>
      <c r="G33" s="278"/>
      <c r="H33" s="222" t="s">
        <v>271</v>
      </c>
      <c r="I33" s="222"/>
      <c r="J33" s="222"/>
      <c r="K33" s="222"/>
      <c r="L33" s="222"/>
      <c r="M33" s="222"/>
      <c r="N33" s="222"/>
      <c r="O33" s="222">
        <v>10</v>
      </c>
      <c r="P33" s="222"/>
      <c r="Q33" s="222"/>
      <c r="R33" s="222"/>
      <c r="S33" s="222"/>
      <c r="T33" s="222"/>
      <c r="U33" s="222"/>
      <c r="V33" s="223"/>
      <c r="W33" s="197">
        <f>VLOOKUP(A33,Goals!$B$4:$J$199,9,FALSE)</f>
        <v>4</v>
      </c>
      <c r="X33">
        <f>IF(J33&lt;&gt;"",VLOOKUP(J33,Plants!$B$4:$G$53,6,FALSE)*O33,IF(M33&lt;&gt;"",-VLOOKUP(M33,Plants!$B$4:$G$53,6,FALSE)*O33,IF(N33&lt;&gt;"",-VLOOKUP(N33,Decoration!$B$4:$G$113,3,FALSE)*O33,IF(Q33&gt;0,VLOOKUP(W33,Overview!$A$4:$R$203,18,FALSE)*Q33,IF(R33&gt;0,R33,IF(S33&gt;0,-VLOOKUP(W33,Decoration!$C$4:$X$58,18)*S33,IF(U33&gt;0,-VLOOKUP(U33,Garden!$D$4:$K$25,8),IF(V33&gt;0,-VLOOKUP(V33,Plots!$E$4:$J$39,6),0))))))))</f>
        <v>0</v>
      </c>
      <c r="Y33">
        <f>IF(I33&lt;&gt;"",VLOOKUP(I33,Plants!$B$4:$R$53,16,FALSE)*O33,IF(M33&lt;&gt;"",VLOOKUP(M33,Plants!$B$4:$R$53,16,FALSE)*O33,IF(N33&lt;&gt;"",VLOOKUP(N33,Decoration!$B$4:$G$117,5,FALSE)*O33,IF(Q33&gt;0,VLOOKUP(W33,Overview!$A$4:$P$203,15,FALSE)*Q33,IF(R33&gt;0,ROUND(VLOOKUP(W33,Plants!$C$4:$AE$53,29)/1.25*R33,0),IF(S33&gt;0,S33,0))))))</f>
        <v>0</v>
      </c>
      <c r="Z33">
        <f>IF(U33&gt;0,VLOOKUP(U33,Garden!$D$4:$F$19,3),IF(V33&gt;10,VLOOKUP(V33,Plots!$E$5:$F$39,2),W33))</f>
        <v>4</v>
      </c>
      <c r="AA33" s="80">
        <f>IF(N33&lt;&gt;"",VLOOKUP(N33,Decoration!$B$4:$G$114,6,FALSE)*O33,S33)</f>
        <v>0</v>
      </c>
    </row>
    <row r="34" spans="1:27">
      <c r="A34" s="284" t="s">
        <v>276</v>
      </c>
      <c r="B34" s="221" t="str">
        <f>CONCATENATE(A34,"t1")</f>
        <v>b2g6t1</v>
      </c>
      <c r="C34" s="222" t="str">
        <f t="shared" si="1"/>
        <v>true</v>
      </c>
      <c r="D34" s="222" t="str">
        <f t="shared" si="2"/>
        <v>speedupPlant</v>
      </c>
      <c r="E34" s="222" t="str">
        <f t="shared" si="3"/>
        <v>HotairballoonPlant</v>
      </c>
      <c r="F34" s="222">
        <f t="shared" si="4"/>
        <v>10</v>
      </c>
      <c r="G34" s="278"/>
      <c r="H34" s="222"/>
      <c r="I34" s="222"/>
      <c r="J34" s="222"/>
      <c r="K34" s="222" t="s">
        <v>271</v>
      </c>
      <c r="L34" s="222"/>
      <c r="M34" s="222"/>
      <c r="N34" s="222"/>
      <c r="O34" s="222">
        <v>10</v>
      </c>
      <c r="P34" s="222"/>
      <c r="Q34" s="222"/>
      <c r="R34" s="222"/>
      <c r="S34" s="222"/>
      <c r="T34" s="222"/>
      <c r="U34" s="222"/>
      <c r="V34" s="223"/>
      <c r="W34" s="197">
        <f>VLOOKUP(A34,Goals!$B$4:$J$199,9,FALSE)</f>
        <v>4</v>
      </c>
      <c r="X34">
        <f>IF(J34&lt;&gt;"",VLOOKUP(J34,Plants!$B$4:$G$53,6,FALSE)*O34,IF(M34&lt;&gt;"",-VLOOKUP(M34,Plants!$B$4:$G$53,6,FALSE)*O34,IF(N34&lt;&gt;"",-VLOOKUP(N34,Decoration!$B$4:$G$113,3,FALSE)*O34,IF(Q34&gt;0,VLOOKUP(W34,Overview!$A$4:$R$203,18,FALSE)*Q34,IF(R34&gt;0,R34,IF(S34&gt;0,-VLOOKUP(W34,Decoration!$C$4:$X$58,18)*S34,IF(U34&gt;0,-VLOOKUP(U34,Garden!$D$4:$K$25,8),IF(V34&gt;0,-VLOOKUP(V34,Plots!$E$4:$J$39,6),0))))))))</f>
        <v>0</v>
      </c>
      <c r="Y34">
        <f>IF(I34&lt;&gt;"",VLOOKUP(I34,Plants!$B$4:$R$53,16,FALSE)*O34,IF(M34&lt;&gt;"",VLOOKUP(M34,Plants!$B$4:$R$53,16,FALSE)*O34,IF(N34&lt;&gt;"",VLOOKUP(N34,Decoration!$B$4:$G$117,5,FALSE)*O34,IF(Q34&gt;0,VLOOKUP(W34,Overview!$A$4:$P$203,15,FALSE)*Q34,IF(R34&gt;0,ROUND(VLOOKUP(W34,Plants!$C$4:$AE$53,29)/1.25*R34,0),IF(S34&gt;0,S34,0))))))</f>
        <v>0</v>
      </c>
      <c r="Z34">
        <f>IF(U34&gt;0,VLOOKUP(U34,Garden!$D$4:$F$19,3),IF(V34&gt;10,VLOOKUP(V34,Plots!$E$5:$F$39,2),W34))</f>
        <v>4</v>
      </c>
      <c r="AA34" s="80">
        <f>IF(N34&lt;&gt;"",VLOOKUP(N34,Decoration!$B$4:$G$114,6,FALSE)*O34,S34)</f>
        <v>0</v>
      </c>
    </row>
    <row r="35" spans="1:27">
      <c r="A35" s="284" t="s">
        <v>276</v>
      </c>
      <c r="B35" s="221" t="str">
        <f>CONCATENATE(A35,"t2")</f>
        <v>b2g6t2</v>
      </c>
      <c r="C35" s="222" t="str">
        <f t="shared" si="1"/>
        <v/>
      </c>
      <c r="D35" s="222" t="str">
        <f t="shared" si="2"/>
        <v>harvest</v>
      </c>
      <c r="E35" s="222" t="str">
        <f t="shared" si="3"/>
        <v>HotairballoonPlant</v>
      </c>
      <c r="F35" s="222">
        <f t="shared" si="4"/>
        <v>10</v>
      </c>
      <c r="G35" s="278"/>
      <c r="H35" s="222"/>
      <c r="I35" s="222" t="s">
        <v>271</v>
      </c>
      <c r="J35" s="222"/>
      <c r="K35" s="222"/>
      <c r="L35" s="222"/>
      <c r="M35" s="222"/>
      <c r="N35" s="222"/>
      <c r="O35" s="222">
        <v>10</v>
      </c>
      <c r="P35" s="222"/>
      <c r="Q35" s="222"/>
      <c r="R35" s="222"/>
      <c r="S35" s="222"/>
      <c r="T35" s="222"/>
      <c r="U35" s="222"/>
      <c r="V35" s="223"/>
      <c r="W35" s="197">
        <f>VLOOKUP(A35,Goals!$B$4:$J$199,9,FALSE)</f>
        <v>4</v>
      </c>
      <c r="X35">
        <f>IF(J35&lt;&gt;"",VLOOKUP(J35,Plants!$B$4:$G$53,6,FALSE)*O35,IF(M35&lt;&gt;"",-VLOOKUP(M35,Plants!$B$4:$G$53,6,FALSE)*O35,IF(N35&lt;&gt;"",-VLOOKUP(N35,Decoration!$B$4:$G$113,3,FALSE)*O35,IF(Q35&gt;0,VLOOKUP(W35,Overview!$A$4:$R$203,18,FALSE)*Q35,IF(R35&gt;0,R35,IF(S35&gt;0,-VLOOKUP(W35,Decoration!$C$4:$X$58,18)*S35,IF(U35&gt;0,-VLOOKUP(U35,Garden!$D$4:$K$25,8),IF(V35&gt;0,-VLOOKUP(V35,Plots!$E$4:$J$39,6),0))))))))</f>
        <v>0</v>
      </c>
      <c r="Y35">
        <f>IF(I35&lt;&gt;"",VLOOKUP(I35,Plants!$B$4:$R$53,16,FALSE)*O35,IF(M35&lt;&gt;"",VLOOKUP(M35,Plants!$B$4:$R$53,16,FALSE)*O35,IF(N35&lt;&gt;"",VLOOKUP(N35,Decoration!$B$4:$G$117,5,FALSE)*O35,IF(Q35&gt;0,VLOOKUP(W35,Overview!$A$4:$P$203,15,FALSE)*Q35,IF(R35&gt;0,ROUND(VLOOKUP(W35,Plants!$C$4:$AE$53,29)/1.25*R35,0),IF(S35&gt;0,S35,0))))))</f>
        <v>10</v>
      </c>
      <c r="Z35">
        <f>IF(U35&gt;0,VLOOKUP(U35,Garden!$D$4:$F$19,3),IF(V35&gt;10,VLOOKUP(V35,Plots!$E$5:$F$39,2),W35))</f>
        <v>4</v>
      </c>
      <c r="AA35" s="80">
        <f>IF(N35&lt;&gt;"",VLOOKUP(N35,Decoration!$B$4:$G$114,6,FALSE)*O35,S35)</f>
        <v>0</v>
      </c>
    </row>
    <row r="36" spans="1:27">
      <c r="A36" s="284" t="s">
        <v>277</v>
      </c>
      <c r="B36" s="221" t="str">
        <f>CONCATENATE(A36,"t1")</f>
        <v>b2g7t1</v>
      </c>
      <c r="C36" s="222" t="str">
        <f t="shared" si="1"/>
        <v/>
      </c>
      <c r="D36" s="222" t="str">
        <f t="shared" si="2"/>
        <v>robertDeal</v>
      </c>
      <c r="E36" s="222" t="str">
        <f t="shared" si="3"/>
        <v/>
      </c>
      <c r="F36" s="222">
        <f t="shared" si="4"/>
        <v>1</v>
      </c>
      <c r="G36" s="278"/>
      <c r="H36" s="222"/>
      <c r="I36" s="222"/>
      <c r="J36" s="222"/>
      <c r="K36" s="222"/>
      <c r="L36" s="222"/>
      <c r="M36" s="222"/>
      <c r="N36" s="222"/>
      <c r="O36" s="222"/>
      <c r="P36" s="222"/>
      <c r="Q36" s="222">
        <v>1</v>
      </c>
      <c r="R36" s="222"/>
      <c r="S36" s="222"/>
      <c r="T36" s="222"/>
      <c r="U36" s="222"/>
      <c r="V36" s="223"/>
      <c r="W36" s="197">
        <f>VLOOKUP(A36,Goals!$B$4:$J$199,9,FALSE)</f>
        <v>4</v>
      </c>
      <c r="X36">
        <f>IF(J36&lt;&gt;"",VLOOKUP(J36,Plants!$B$4:$G$53,6,FALSE)*O36,IF(M36&lt;&gt;"",-VLOOKUP(M36,Plants!$B$4:$G$53,6,FALSE)*O36,IF(N36&lt;&gt;"",-VLOOKUP(N36,Decoration!$B$4:$G$113,3,FALSE)*O36,IF(Q36&gt;0,VLOOKUP(W36,Overview!$A$4:$R$203,18,FALSE)*Q36,IF(R36&gt;0,R36,IF(S36&gt;0,-VLOOKUP(W36,Decoration!$C$4:$X$58,18)*S36,IF(U36&gt;0,-VLOOKUP(U36,Garden!$D$4:$K$25,8),IF(V36&gt;0,-VLOOKUP(V36,Plots!$E$4:$J$39,6),0))))))))</f>
        <v>10</v>
      </c>
      <c r="Y36">
        <f>IF(I36&lt;&gt;"",VLOOKUP(I36,Plants!$B$4:$R$53,16,FALSE)*O36,IF(M36&lt;&gt;"",VLOOKUP(M36,Plants!$B$4:$R$53,16,FALSE)*O36,IF(N36&lt;&gt;"",VLOOKUP(N36,Decoration!$B$4:$G$117,5,FALSE)*O36,IF(Q36&gt;0,VLOOKUP(W36,Overview!$A$4:$P$203,15,FALSE)*Q36,IF(R36&gt;0,ROUND(VLOOKUP(W36,Plants!$C$4:$AE$53,29)/1.25*R36,0),IF(S36&gt;0,S36,0))))))</f>
        <v>1</v>
      </c>
      <c r="Z36">
        <f>IF(U36&gt;0,VLOOKUP(U36,Garden!$D$4:$F$19,3),IF(V36&gt;10,VLOOKUP(V36,Plots!$E$5:$F$39,2),W36))</f>
        <v>4</v>
      </c>
      <c r="AA36" s="80">
        <f>IF(N36&lt;&gt;"",VLOOKUP(N36,Decoration!$B$4:$G$114,6,FALSE)*O36,S36)</f>
        <v>0</v>
      </c>
    </row>
    <row r="37" spans="1:27">
      <c r="A37" s="284" t="s">
        <v>277</v>
      </c>
      <c r="B37" s="221" t="str">
        <f>CONCATENATE(A37,"t2")</f>
        <v>b2g7t2</v>
      </c>
      <c r="C37" s="222" t="str">
        <f t="shared" si="1"/>
        <v/>
      </c>
      <c r="D37" s="222" t="str">
        <f t="shared" si="2"/>
        <v>plant</v>
      </c>
      <c r="E37" s="222" t="str">
        <f t="shared" si="3"/>
        <v>LadybugPlant</v>
      </c>
      <c r="F37" s="222">
        <f t="shared" si="4"/>
        <v>10</v>
      </c>
      <c r="G37" s="278"/>
      <c r="H37" s="288" t="s">
        <v>272</v>
      </c>
      <c r="I37" s="222"/>
      <c r="J37" s="222"/>
      <c r="K37" s="222"/>
      <c r="L37" s="222"/>
      <c r="M37" s="222"/>
      <c r="N37" s="222"/>
      <c r="O37" s="222">
        <v>10</v>
      </c>
      <c r="P37" s="222"/>
      <c r="Q37" s="222"/>
      <c r="R37" s="222"/>
      <c r="S37" s="222"/>
      <c r="T37" s="222"/>
      <c r="U37" s="222"/>
      <c r="V37" s="223"/>
      <c r="W37" s="197">
        <f>VLOOKUP(A37,Goals!$B$4:$J$199,9,FALSE)</f>
        <v>4</v>
      </c>
      <c r="X37">
        <f>IF(J37&lt;&gt;"",VLOOKUP(J37,Plants!$B$4:$G$53,6,FALSE)*O37,IF(M37&lt;&gt;"",-VLOOKUP(M37,Plants!$B$4:$G$53,6,FALSE)*O37,IF(N37&lt;&gt;"",-VLOOKUP(N37,Decoration!$B$4:$G$113,3,FALSE)*O37,IF(Q37&gt;0,VLOOKUP(W37,Overview!$A$4:$R$203,18,FALSE)*Q37,IF(R37&gt;0,R37,IF(S37&gt;0,-VLOOKUP(W37,Decoration!$C$4:$X$58,18)*S37,IF(U37&gt;0,-VLOOKUP(U37,Garden!$D$4:$K$25,8),IF(V37&gt;0,-VLOOKUP(V37,Plots!$E$4:$J$39,6),0))))))))</f>
        <v>0</v>
      </c>
      <c r="Y37">
        <f>IF(I37&lt;&gt;"",VLOOKUP(I37,Plants!$B$4:$R$53,16,FALSE)*O37,IF(M37&lt;&gt;"",VLOOKUP(M37,Plants!$B$4:$R$53,16,FALSE)*O37,IF(N37&lt;&gt;"",VLOOKUP(N37,Decoration!$B$4:$G$117,5,FALSE)*O37,IF(Q37&gt;0,VLOOKUP(W37,Overview!$A$4:$P$203,15,FALSE)*Q37,IF(R37&gt;0,ROUND(VLOOKUP(W37,Plants!$C$4:$AE$53,29)/1.25*R37,0),IF(S37&gt;0,S37,0))))))</f>
        <v>0</v>
      </c>
      <c r="Z37">
        <f>IF(U37&gt;0,VLOOKUP(U37,Garden!$D$4:$F$19,3),IF(V37&gt;10,VLOOKUP(V37,Plots!$E$5:$F$39,2),W37))</f>
        <v>4</v>
      </c>
      <c r="AA37" s="80">
        <f>IF(N37&lt;&gt;"",VLOOKUP(N37,Decoration!$B$4:$G$114,6,FALSE)*O37,S37)</f>
        <v>0</v>
      </c>
    </row>
    <row r="38" spans="1:27">
      <c r="A38" s="284" t="s">
        <v>278</v>
      </c>
      <c r="B38" s="221" t="str">
        <f>CONCATENATE(A38,"t1")</f>
        <v>b2g8t1</v>
      </c>
      <c r="C38" s="222" t="str">
        <f t="shared" si="1"/>
        <v/>
      </c>
      <c r="D38" s="222" t="str">
        <f t="shared" si="2"/>
        <v>haveHappiness</v>
      </c>
      <c r="E38" s="222" t="str">
        <f t="shared" si="3"/>
        <v/>
      </c>
      <c r="F38" s="222">
        <f t="shared" si="4"/>
        <v>45</v>
      </c>
      <c r="G38" s="278"/>
      <c r="H38" s="222"/>
      <c r="I38" s="222"/>
      <c r="J38" s="222"/>
      <c r="K38" s="222"/>
      <c r="L38" s="222"/>
      <c r="M38" s="222"/>
      <c r="N38" s="222"/>
      <c r="O38" s="222"/>
      <c r="P38" s="222"/>
      <c r="Q38" s="222"/>
      <c r="R38" s="222"/>
      <c r="S38" s="222"/>
      <c r="T38" s="222">
        <v>45</v>
      </c>
      <c r="U38" s="222"/>
      <c r="V38" s="223"/>
      <c r="W38" s="197">
        <f>VLOOKUP(A38,Goals!$B$4:$J$199,9,FALSE)</f>
        <v>4</v>
      </c>
      <c r="X38">
        <f>IF(J38&lt;&gt;"",VLOOKUP(J38,Plants!$B$4:$G$53,6,FALSE)*O38,IF(M38&lt;&gt;"",-VLOOKUP(M38,Plants!$B$4:$G$53,6,FALSE)*O38,IF(N38&lt;&gt;"",-VLOOKUP(N38,Decoration!$B$4:$G$113,3,FALSE)*O38,IF(Q38&gt;0,VLOOKUP(W38,Overview!$A$4:$R$203,18,FALSE)*Q38,IF(R38&gt;0,R38,IF(S38&gt;0,-VLOOKUP(W38,Decoration!$C$4:$X$58,18)*S38,IF(U38&gt;0,-VLOOKUP(U38,Garden!$D$4:$K$25,8),IF(V38&gt;0,-VLOOKUP(V38,Plots!$E$4:$J$39,6),0))))))))</f>
        <v>0</v>
      </c>
      <c r="Y38">
        <f>IF(I38&lt;&gt;"",VLOOKUP(I38,Plants!$B$4:$R$53,16,FALSE)*O38,IF(M38&lt;&gt;"",VLOOKUP(M38,Plants!$B$4:$R$53,16,FALSE)*O38,IF(N38&lt;&gt;"",VLOOKUP(N38,Decoration!$B$4:$G$117,5,FALSE)*O38,IF(Q38&gt;0,VLOOKUP(W38,Overview!$A$4:$P$203,15,FALSE)*Q38,IF(R38&gt;0,ROUND(VLOOKUP(W38,Plants!$C$4:$AE$53,29)/1.25*R38,0),IF(S38&gt;0,S38,0))))))</f>
        <v>0</v>
      </c>
      <c r="Z38">
        <f>IF(U38&gt;0,VLOOKUP(U38,Garden!$D$4:$F$19,3),IF(V38&gt;10,VLOOKUP(V38,Plots!$E$5:$F$39,2),W38))</f>
        <v>4</v>
      </c>
      <c r="AA38" s="80">
        <f>IF(N38&lt;&gt;"",VLOOKUP(N38,Decoration!$B$4:$G$114,6,FALSE)*O38,S38)</f>
        <v>0</v>
      </c>
    </row>
    <row r="39" spans="1:27">
      <c r="A39" s="284" t="s">
        <v>278</v>
      </c>
      <c r="B39" s="221" t="str">
        <f>CONCATENATE(A39,"t2")</f>
        <v>b2g8t2</v>
      </c>
      <c r="C39" s="222" t="str">
        <f t="shared" si="1"/>
        <v/>
      </c>
      <c r="D39" s="222" t="str">
        <f t="shared" si="2"/>
        <v>harvest</v>
      </c>
      <c r="E39" s="222" t="str">
        <f t="shared" si="3"/>
        <v>LadybugPlant</v>
      </c>
      <c r="F39" s="222">
        <f t="shared" si="4"/>
        <v>10</v>
      </c>
      <c r="G39" s="278"/>
      <c r="H39" s="222"/>
      <c r="I39" s="222" t="s">
        <v>272</v>
      </c>
      <c r="J39" s="222"/>
      <c r="K39" s="222"/>
      <c r="L39" s="222"/>
      <c r="M39" s="222"/>
      <c r="N39" s="222"/>
      <c r="O39" s="222">
        <v>10</v>
      </c>
      <c r="P39" s="222"/>
      <c r="Q39" s="222"/>
      <c r="R39" s="222"/>
      <c r="S39" s="222"/>
      <c r="T39" s="222"/>
      <c r="U39" s="222"/>
      <c r="V39" s="223"/>
      <c r="W39" s="197">
        <f>VLOOKUP(A39,Goals!$B$4:$J$199,9,FALSE)</f>
        <v>4</v>
      </c>
      <c r="X39">
        <f>IF(J39&lt;&gt;"",VLOOKUP(J39,Plants!$B$4:$G$53,6,FALSE)*O39,IF(M39&lt;&gt;"",-VLOOKUP(M39,Plants!$B$4:$G$53,6,FALSE)*O39,IF(N39&lt;&gt;"",-VLOOKUP(N39,Decoration!$B$4:$G$113,3,FALSE)*O39,IF(Q39&gt;0,VLOOKUP(W39,Overview!$A$4:$R$203,18,FALSE)*Q39,IF(R39&gt;0,R39,IF(S39&gt;0,-VLOOKUP(W39,Decoration!$C$4:$X$58,18)*S39,IF(U39&gt;0,-VLOOKUP(U39,Garden!$D$4:$K$25,8),IF(V39&gt;0,-VLOOKUP(V39,Plots!$E$4:$J$39,6),0))))))))</f>
        <v>0</v>
      </c>
      <c r="Y39">
        <f>IF(I39&lt;&gt;"",VLOOKUP(I39,Plants!$B$4:$R$53,16,FALSE)*O39,IF(M39&lt;&gt;"",VLOOKUP(M39,Plants!$B$4:$R$53,16,FALSE)*O39,IF(N39&lt;&gt;"",VLOOKUP(N39,Decoration!$B$4:$G$117,5,FALSE)*O39,IF(Q39&gt;0,VLOOKUP(W39,Overview!$A$4:$P$203,15,FALSE)*Q39,IF(R39&gt;0,ROUND(VLOOKUP(W39,Plants!$C$4:$AE$53,29)/1.25*R39,0),IF(S39&gt;0,S39,0))))))</f>
        <v>0</v>
      </c>
      <c r="Z39">
        <f>IF(U39&gt;0,VLOOKUP(U39,Garden!$D$4:$F$19,3),IF(V39&gt;10,VLOOKUP(V39,Plots!$E$5:$F$39,2),W39))</f>
        <v>4</v>
      </c>
      <c r="AA39" s="80">
        <f>IF(N39&lt;&gt;"",VLOOKUP(N39,Decoration!$B$4:$G$114,6,FALSE)*O39,S39)</f>
        <v>0</v>
      </c>
    </row>
    <row r="40" spans="1:27">
      <c r="A40" s="286" t="s">
        <v>278</v>
      </c>
      <c r="B40" s="221" t="str">
        <f>CONCATENATE(A40,"t3")</f>
        <v>b2g8t3</v>
      </c>
      <c r="C40" s="222" t="str">
        <f t="shared" si="1"/>
        <v/>
      </c>
      <c r="D40" s="222" t="str">
        <f t="shared" si="2"/>
        <v>sellPlant</v>
      </c>
      <c r="E40" s="222" t="str">
        <f t="shared" si="3"/>
        <v>LadybugPlant</v>
      </c>
      <c r="F40" s="222">
        <f t="shared" si="4"/>
        <v>10</v>
      </c>
      <c r="G40" s="278"/>
      <c r="H40" s="222"/>
      <c r="I40" s="222"/>
      <c r="J40" s="222" t="s">
        <v>272</v>
      </c>
      <c r="K40" s="222"/>
      <c r="L40" s="222"/>
      <c r="M40" s="222"/>
      <c r="N40" s="222"/>
      <c r="O40" s="222">
        <v>10</v>
      </c>
      <c r="P40" s="222"/>
      <c r="Q40" s="222"/>
      <c r="R40" s="222"/>
      <c r="S40" s="222"/>
      <c r="T40" s="222"/>
      <c r="U40" s="222"/>
      <c r="V40" s="223"/>
      <c r="W40" s="197">
        <f>VLOOKUP(A40,Goals!$B$4:$J$199,9,FALSE)</f>
        <v>4</v>
      </c>
      <c r="X40">
        <f>IF(J40&lt;&gt;"",VLOOKUP(J40,Plants!$B$4:$G$53,6,FALSE)*O40,IF(M40&lt;&gt;"",-VLOOKUP(M40,Plants!$B$4:$G$53,6,FALSE)*O40,IF(N40&lt;&gt;"",-VLOOKUP(N40,Decoration!$B$4:$G$113,3,FALSE)*O40,IF(Q40&gt;0,VLOOKUP(W40,Overview!$A$4:$R$203,18,FALSE)*Q40,IF(R40&gt;0,R40,IF(S40&gt;0,-VLOOKUP(W40,Decoration!$C$4:$X$58,18)*S40,IF(U40&gt;0,-VLOOKUP(U40,Garden!$D$4:$K$25,8),IF(V40&gt;0,-VLOOKUP(V40,Plots!$E$4:$J$39,6),0))))))))</f>
        <v>30</v>
      </c>
      <c r="Y40">
        <f>IF(I40&lt;&gt;"",VLOOKUP(I40,Plants!$B$4:$R$53,16,FALSE)*O40,IF(M40&lt;&gt;"",VLOOKUP(M40,Plants!$B$4:$R$53,16,FALSE)*O40,IF(N40&lt;&gt;"",VLOOKUP(N40,Decoration!$B$4:$G$117,5,FALSE)*O40,IF(Q40&gt;0,VLOOKUP(W40,Overview!$A$4:$P$203,15,FALSE)*Q40,IF(R40&gt;0,ROUND(VLOOKUP(W40,Plants!$C$4:$AE$53,29)/1.25*R40,0),IF(S40&gt;0,S40,0))))))</f>
        <v>0</v>
      </c>
      <c r="Z40">
        <f>IF(U40&gt;0,VLOOKUP(U40,Garden!$D$4:$F$19,3),IF(V40&gt;10,VLOOKUP(V40,Plots!$E$5:$F$39,2),W40))</f>
        <v>4</v>
      </c>
      <c r="AA40" s="80">
        <f>IF(N40&lt;&gt;"",VLOOKUP(N40,Decoration!$B$4:$G$114,6,FALSE)*O40,S40)</f>
        <v>0</v>
      </c>
    </row>
    <row r="41" spans="1:27">
      <c r="A41" s="286" t="s">
        <v>279</v>
      </c>
      <c r="B41" s="221" t="str">
        <f>CONCATENATE(A41,"t1")</f>
        <v>b2g9t1</v>
      </c>
      <c r="C41" s="222" t="str">
        <f>IF(K41&gt;0,"true",IF(P41&gt;0,"true",""))</f>
        <v/>
      </c>
      <c r="D41" s="222" t="str">
        <f>IF(H41&lt;&gt;"","plant",IF(I41&lt;&gt;"","harvest",IF(J41&lt;&gt;"","sellPlant",IF(K41&lt;&gt;"","speedupPlant",IF(L41&lt;&gt;"","revivePlant",IF(M41&lt;&gt;"","deliver",IF(N41&lt;&gt;"","buyDecoration",IF(P41&lt;&gt;"","moveDecoration",IF(Q41&lt;&gt;"","robertDeal",IF(R41&lt;&gt;"","robertDealEarnCoins",IF(S41&lt;&gt;"","addHappiness",IF(T41&lt;&gt;"","haveHappiness",IF(U41&lt;&gt;"","expandGarden",IF(V41&lt;&gt;"","plot",""))))))))))))))</f>
        <v>plot</v>
      </c>
      <c r="E41" s="222" t="str">
        <f>CONCATENATE(H41,I41,J41,K41,L41,M41,N41)</f>
        <v/>
      </c>
      <c r="F41" s="222">
        <f>IF(SUM(O41:V41)&gt;0,SUM(O41:V41),"")</f>
        <v>18</v>
      </c>
      <c r="H41" s="222"/>
      <c r="I41" s="222"/>
      <c r="J41" s="222"/>
      <c r="K41" s="222"/>
      <c r="L41" s="222"/>
      <c r="M41" s="222"/>
      <c r="N41" s="222"/>
      <c r="O41" s="222"/>
      <c r="P41" s="222"/>
      <c r="Q41" s="222"/>
      <c r="R41" s="222"/>
      <c r="S41" s="222"/>
      <c r="T41" s="222"/>
      <c r="U41" s="222"/>
      <c r="V41" s="223">
        <v>18</v>
      </c>
      <c r="W41" s="197">
        <f>VLOOKUP(A41,Goals!$B$4:$J$199,9,FALSE)</f>
        <v>4</v>
      </c>
      <c r="X41">
        <f>IF(J41&lt;&gt;"",VLOOKUP(J41,Plants!$B$4:$G$53,6,FALSE)*O41,IF(M41&lt;&gt;"",-VLOOKUP(M41,Plants!$B$4:$G$53,6,FALSE)*O41,IF(N41&lt;&gt;"",-VLOOKUP(N41,Decoration!$B$4:$G$113,3,FALSE)*O41,IF(Q41&gt;0,VLOOKUP(W41,Overview!$A$4:$R$203,18,FALSE)*Q41,IF(R41&gt;0,R41,IF(S41&gt;0,-VLOOKUP(W41,Decoration!$C$4:$X$58,18)*S41,IF(U41&gt;0,-VLOOKUP(U41,Garden!$D$4:$K$25,8),IF(V41&gt;0,-VLOOKUP(V41,Plots!$E$4:$J$39,6),0))))))))</f>
        <v>-2400</v>
      </c>
      <c r="Y41">
        <f>IF(I41&lt;&gt;"",VLOOKUP(I41,Plants!$B$4:$R$53,16,FALSE)*O41,IF(M41&lt;&gt;"",VLOOKUP(M41,Plants!$B$4:$R$53,16,FALSE)*O41,IF(N41&lt;&gt;"",VLOOKUP(N41,Decoration!$B$4:$G$117,5,FALSE)*O41,IF(Q41&gt;0,VLOOKUP(W41,Overview!$A$4:$P$203,15,FALSE)*Q41,IF(R41&gt;0,ROUND(VLOOKUP(W41,Plants!$C$4:$AE$53,29)/1.25*R41,0),IF(S41&gt;0,S41,0))))))</f>
        <v>0</v>
      </c>
      <c r="Z41">
        <f>IF(U41&gt;0,VLOOKUP(U41,Garden!$D$4:$F$19,3),IF(V41&gt;10,VLOOKUP(V41,Plots!$E$5:$F$39,2),W41))</f>
        <v>5</v>
      </c>
      <c r="AA41" s="80">
        <f>IF(N41&lt;&gt;"",VLOOKUP(N41,Decoration!$B$4:$G$114,6,FALSE)*O41,S41)</f>
        <v>0</v>
      </c>
    </row>
    <row r="42" spans="1:27">
      <c r="A42" s="286" t="s">
        <v>279</v>
      </c>
      <c r="B42" s="221" t="str">
        <f>CONCATENATE(A42,"t2")</f>
        <v>b2g9t2</v>
      </c>
      <c r="C42" s="222" t="str">
        <f>IF(K42&gt;0,"true",IF(P42&gt;0,"true",""))</f>
        <v/>
      </c>
      <c r="D42" s="222" t="str">
        <f>IF(H42&lt;&gt;"","plant",IF(I42&lt;&gt;"","harvest",IF(J42&lt;&gt;"","sellPlant",IF(K42&lt;&gt;"","speedupPlant",IF(L42&lt;&gt;"","revivePlant",IF(M42&lt;&gt;"","deliver",IF(N42&lt;&gt;"","buyDecoration",IF(P42&lt;&gt;"","moveDecoration",IF(Q42&lt;&gt;"","robertDeal",IF(R42&lt;&gt;"","robertDealEarnCoins",IF(S42&lt;&gt;"","addHappiness",IF(T42&lt;&gt;"","haveHappiness",IF(U42&lt;&gt;"","expandGarden",IF(V42&lt;&gt;"","plot",""))))))))))))))</f>
        <v>harvest</v>
      </c>
      <c r="E42" s="222" t="str">
        <f>CONCATENATE(H42,I42,J42,K42,L42,M42,N42)</f>
        <v>ChessPlant</v>
      </c>
      <c r="F42" s="222">
        <f>IF(SUM(O42:V42)&gt;0,SUM(O42:V42),"")</f>
        <v>10</v>
      </c>
      <c r="H42" s="222"/>
      <c r="I42" s="222" t="s">
        <v>287</v>
      </c>
      <c r="J42" s="222"/>
      <c r="K42" s="222"/>
      <c r="L42" s="222"/>
      <c r="M42" s="222"/>
      <c r="N42" s="222"/>
      <c r="O42" s="222">
        <v>10</v>
      </c>
      <c r="P42" s="222"/>
      <c r="Q42" s="222"/>
      <c r="R42" s="222"/>
      <c r="S42" s="222"/>
      <c r="T42" s="222"/>
      <c r="U42" s="222"/>
      <c r="V42" s="223"/>
      <c r="W42" s="197">
        <f>VLOOKUP(A42,Goals!$B$4:$J$199,9,FALSE)</f>
        <v>4</v>
      </c>
      <c r="X42">
        <f>IF(J42&lt;&gt;"",VLOOKUP(J42,Plants!$B$4:$G$53,6,FALSE)*O42,IF(M42&lt;&gt;"",-VLOOKUP(M42,Plants!$B$4:$G$53,6,FALSE)*O42,IF(N42&lt;&gt;"",-VLOOKUP(N42,Decoration!$B$4:$G$113,3,FALSE)*O42,IF(Q42&gt;0,VLOOKUP(W42,Overview!$A$4:$R$203,18,FALSE)*Q42,IF(R42&gt;0,R42,IF(S42&gt;0,-VLOOKUP(W42,Decoration!$C$4:$X$58,18)*S42,IF(U42&gt;0,-VLOOKUP(U42,Garden!$D$4:$K$25,8),IF(V42&gt;0,-VLOOKUP(V42,Plots!$E$4:$J$39,6),0))))))))</f>
        <v>0</v>
      </c>
      <c r="Y42">
        <f>IF(I42&lt;&gt;"",VLOOKUP(I42,Plants!$B$4:$R$53,16,FALSE)*O42,IF(M42&lt;&gt;"",VLOOKUP(M42,Plants!$B$4:$R$53,16,FALSE)*O42,IF(N42&lt;&gt;"",VLOOKUP(N42,Decoration!$B$4:$G$117,5,FALSE)*O42,IF(Q42&gt;0,VLOOKUP(W42,Overview!$A$4:$P$203,15,FALSE)*Q42,IF(R42&gt;0,ROUND(VLOOKUP(W42,Plants!$C$4:$AE$53,29)/1.25*R42,0),IF(S42&gt;0,S42,0))))))</f>
        <v>50</v>
      </c>
      <c r="Z42">
        <f>IF(U42&gt;0,VLOOKUP(U42,Garden!$D$4:$F$19,3),IF(V42&gt;10,VLOOKUP(V42,Plots!$E$5:$F$39,2),W42))</f>
        <v>4</v>
      </c>
      <c r="AA42" s="80">
        <f>IF(N42&lt;&gt;"",VLOOKUP(N42,Decoration!$B$4:$G$114,6,FALSE)*O42,S42)</f>
        <v>0</v>
      </c>
    </row>
  </sheetData>
  <mergeCells count="4">
    <mergeCell ref="B2:C2"/>
    <mergeCell ref="H2:V2"/>
    <mergeCell ref="D2:F2"/>
    <mergeCell ref="B1:F1"/>
  </mergeCells>
  <conditionalFormatting sqref="A18:B28 A29:A38 B29:B42 A42 A4:B14 A15:A19 C4:F42 H4:V42">
    <cfRule type="expression" dxfId="141" priority="27" stopIfTrue="1">
      <formula>ISEVEN(1*CONCATENATE(IF(ISNUMBER(1*MID($A4,4,1)),MID($A4,4,1),""),IF(ISNUMBER(1*MID($A4,5,1)),MID($A4,5,1),""),IF(ISNUMBER(1*MID($A4,6,1)),MID($A4,6,1),"")))=TRUE</formula>
    </cfRule>
    <cfRule type="expression" dxfId="140" priority="29">
      <formula>ISEVEN(1*CONCATENATE(IF(ISNUMBER(1*MID($A4,2,1)),MID($A4,2,1),""),IF(ISNUMBER(1*MID($A4,3,1)),MID($A4,3,1),"")))=TRUE</formula>
    </cfRule>
  </conditionalFormatting>
  <conditionalFormatting sqref="B15">
    <cfRule type="expression" dxfId="139" priority="23" stopIfTrue="1">
      <formula>ISEVEN(1*CONCATENATE(IF(ISNUMBER(1*MID($A15,4,1)),MID($A15,4,1),""),IF(ISNUMBER(1*MID($A15,5,1)),MID($A15,5,1),""),IF(ISNUMBER(1*MID($A15,6,1)),MID($A15,6,1),"")))=TRUE</formula>
    </cfRule>
    <cfRule type="expression" dxfId="138" priority="24">
      <formula>ISEVEN(1*CONCATENATE(IF(ISNUMBER(1*MID($A15,2,1)),MID($A15,2,1),""),IF(ISNUMBER(1*MID($A15,3,1)),MID($A15,3,1),"")))=TRUE</formula>
    </cfRule>
  </conditionalFormatting>
  <conditionalFormatting sqref="B16:B17">
    <cfRule type="expression" dxfId="137" priority="17" stopIfTrue="1">
      <formula>ISEVEN(1*CONCATENATE(IF(ISNUMBER(1*MID($A16,4,1)),MID($A16,4,1),""),IF(ISNUMBER(1*MID($A16,5,1)),MID($A16,5,1),""),IF(ISNUMBER(1*MID($A16,6,1)),MID($A16,6,1),"")))=TRUE</formula>
    </cfRule>
    <cfRule type="expression" dxfId="136" priority="18">
      <formula>ISEVEN(1*CONCATENATE(IF(ISNUMBER(1*MID($A16,2,1)),MID($A16,2,1),""),IF(ISNUMBER(1*MID($A16,3,1)),MID($A16,3,1),"")))=TRUE</formula>
    </cfRule>
  </conditionalFormatting>
  <conditionalFormatting sqref="A39:A41">
    <cfRule type="expression" dxfId="135" priority="3" stopIfTrue="1">
      <formula>ISEVEN(1*CONCATENATE(IF(ISNUMBER(1*MID($A39,4,1)),MID($A39,4,1),""),IF(ISNUMBER(1*MID($A39,5,1)),MID($A39,5,1),""),IF(ISNUMBER(1*MID($A39,6,1)),MID($A39,6,1),"")))=TRUE</formula>
    </cfRule>
    <cfRule type="expression" dxfId="134" priority="4">
      <formula>ISEVEN(1*CONCATENATE(IF(ISNUMBER(1*MID($A39,2,1)),MID($A39,2,1),""),IF(ISNUMBER(1*MID($A39,3,1)),MID($A39,3,1),"")))=TRUE</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tt6" enableFormatConditionsCalculation="0"/>
  <dimension ref="A1:I79"/>
  <sheetViews>
    <sheetView workbookViewId="0">
      <selection activeCell="H13" sqref="H13:H14"/>
    </sheetView>
  </sheetViews>
  <sheetFormatPr baseColWidth="10" defaultRowHeight="15" x14ac:dyDescent="0"/>
  <cols>
    <col min="1" max="16384" width="10.83203125" style="81"/>
  </cols>
  <sheetData>
    <row r="1" spans="1:9">
      <c r="A1" s="383" t="str">
        <f>CONCATENATE("b",B2,"g",B3)</f>
        <v>b1g1</v>
      </c>
      <c r="B1" s="384"/>
      <c r="D1" s="387" t="str">
        <f>CONCATENATE("b",E2,"g",E3)</f>
        <v>b2g1</v>
      </c>
      <c r="E1" s="388"/>
      <c r="G1" s="385" t="str">
        <f>CONCATENATE("b",H2,"g",H3)</f>
        <v>b3g1</v>
      </c>
      <c r="H1" s="386"/>
    </row>
    <row r="2" spans="1:9">
      <c r="A2" s="84" t="s">
        <v>115</v>
      </c>
      <c r="B2" s="85">
        <v>1</v>
      </c>
      <c r="D2" s="91" t="s">
        <v>115</v>
      </c>
      <c r="E2" s="92">
        <v>2</v>
      </c>
      <c r="G2" s="96" t="s">
        <v>115</v>
      </c>
      <c r="H2" s="97">
        <v>3</v>
      </c>
    </row>
    <row r="3" spans="1:9">
      <c r="A3" s="84" t="s">
        <v>116</v>
      </c>
      <c r="B3" s="85">
        <v>1</v>
      </c>
      <c r="D3" s="91" t="s">
        <v>116</v>
      </c>
      <c r="E3" s="92">
        <v>1</v>
      </c>
      <c r="G3" s="96" t="s">
        <v>116</v>
      </c>
      <c r="H3" s="97">
        <v>1</v>
      </c>
    </row>
    <row r="4" spans="1:9">
      <c r="A4" s="86" t="s">
        <v>113</v>
      </c>
      <c r="B4" s="87">
        <f>VLOOKUP(A1,Goals!$B$4:$AM$199,37,FALSE)</f>
        <v>650</v>
      </c>
      <c r="D4" s="93" t="s">
        <v>113</v>
      </c>
      <c r="E4" s="87">
        <f>VLOOKUP(D1,Goals!$B$4:$AM$199,37,FALSE)</f>
        <v>320</v>
      </c>
      <c r="G4" s="98" t="s">
        <v>113</v>
      </c>
      <c r="H4" s="87" t="e">
        <f>VLOOKUP(G1,Goals!$B$4:$AM$199,37,FALSE)</f>
        <v>#N/A</v>
      </c>
    </row>
    <row r="5" spans="1:9">
      <c r="A5" s="86" t="s">
        <v>112</v>
      </c>
      <c r="B5" s="87">
        <f>VLOOKUP(A1,Goals!$B$4:$AO$199,36,FALSE)</f>
        <v>0</v>
      </c>
      <c r="D5" s="93" t="s">
        <v>112</v>
      </c>
      <c r="E5" s="87">
        <f>VLOOKUP(D1,Goals!$B$4:$AO$199,36,FALSE)</f>
        <v>0</v>
      </c>
      <c r="G5" s="98" t="s">
        <v>112</v>
      </c>
      <c r="H5" s="87" t="e">
        <f>VLOOKUP(G1,Goals!$B$4:$AO$199,36,FALSE)</f>
        <v>#N/A</v>
      </c>
    </row>
    <row r="6" spans="1:9">
      <c r="A6" s="86" t="s">
        <v>117</v>
      </c>
      <c r="B6" s="87" t="s">
        <v>118</v>
      </c>
      <c r="D6" s="93" t="s">
        <v>117</v>
      </c>
      <c r="E6" s="87" t="s">
        <v>118</v>
      </c>
      <c r="G6" s="98" t="s">
        <v>117</v>
      </c>
      <c r="H6" s="99" t="s">
        <v>118</v>
      </c>
    </row>
    <row r="7" spans="1:9" ht="16" thickBot="1">
      <c r="A7" s="88" t="s">
        <v>114</v>
      </c>
      <c r="B7" s="89" t="s">
        <v>104</v>
      </c>
      <c r="D7" s="94" t="s">
        <v>114</v>
      </c>
      <c r="E7" s="89" t="str">
        <f>IF(B78="Split",   IF(B7="-",A73,CONCATENATE(B79,A73)),  IF(B78="Open",CONCATENATE(B79),"HELP"))</f>
        <v>-</v>
      </c>
      <c r="G7" s="100" t="s">
        <v>114</v>
      </c>
      <c r="H7" s="89" t="str">
        <f>IF(E78="Split",   IF(E7="-",D73,CONCATENATE(E79,D73)),  IF(E78="Open",CONCATENATE(E79),"HELP"))</f>
        <v>-</v>
      </c>
    </row>
    <row r="9" spans="1:9" ht="16" thickBot="1">
      <c r="I9" s="82"/>
    </row>
    <row r="10" spans="1:9">
      <c r="A10" s="383" t="str">
        <f>CONCATENATE("b",B11,"g",B12)</f>
        <v>b1g2</v>
      </c>
      <c r="B10" s="384"/>
      <c r="D10" s="387" t="str">
        <f>CONCATENATE("b",E11,"g",E12)</f>
        <v>b2g2</v>
      </c>
      <c r="E10" s="388"/>
      <c r="G10" s="385" t="str">
        <f>CONCATENATE("b",H11,"g",H12)</f>
        <v>b3g2</v>
      </c>
      <c r="H10" s="386"/>
      <c r="I10" s="82"/>
    </row>
    <row r="11" spans="1:9">
      <c r="A11" s="84" t="s">
        <v>115</v>
      </c>
      <c r="B11" s="85">
        <f>B2</f>
        <v>1</v>
      </c>
      <c r="D11" s="91" t="s">
        <v>115</v>
      </c>
      <c r="E11" s="92">
        <f>E2</f>
        <v>2</v>
      </c>
      <c r="G11" s="96" t="s">
        <v>115</v>
      </c>
      <c r="H11" s="97">
        <f>H2</f>
        <v>3</v>
      </c>
      <c r="I11" s="82"/>
    </row>
    <row r="12" spans="1:9">
      <c r="A12" s="84" t="s">
        <v>116</v>
      </c>
      <c r="B12" s="85">
        <f>B3+1</f>
        <v>2</v>
      </c>
      <c r="D12" s="91" t="s">
        <v>116</v>
      </c>
      <c r="E12" s="92">
        <f>E3+1</f>
        <v>2</v>
      </c>
      <c r="G12" s="96" t="s">
        <v>116</v>
      </c>
      <c r="H12" s="97">
        <f>H3+1</f>
        <v>2</v>
      </c>
      <c r="I12" s="82"/>
    </row>
    <row r="13" spans="1:9">
      <c r="A13" s="86" t="s">
        <v>113</v>
      </c>
      <c r="B13" s="87">
        <f>VLOOKUP(A10,Goals!$B$4:$AM$199,37,FALSE)</f>
        <v>800</v>
      </c>
      <c r="D13" s="93" t="s">
        <v>113</v>
      </c>
      <c r="E13" s="87">
        <f>VLOOKUP(D10,Goals!$B$4:$AM$199,37,FALSE)</f>
        <v>1220</v>
      </c>
      <c r="G13" s="98" t="s">
        <v>113</v>
      </c>
      <c r="H13" s="87" t="e">
        <f>VLOOKUP(G10,Goals!$B$4:$AM$199,37,FALSE)</f>
        <v>#N/A</v>
      </c>
      <c r="I13" s="82"/>
    </row>
    <row r="14" spans="1:9">
      <c r="A14" s="86" t="s">
        <v>112</v>
      </c>
      <c r="B14" s="87">
        <f>VLOOKUP(A10,Goals!$B$4:$AO$199,36,FALSE)</f>
        <v>0</v>
      </c>
      <c r="D14" s="93" t="s">
        <v>112</v>
      </c>
      <c r="E14" s="87">
        <f>VLOOKUP(D10,Goals!$B$4:$AO$199,36,FALSE)</f>
        <v>0</v>
      </c>
      <c r="G14" s="98" t="s">
        <v>112</v>
      </c>
      <c r="H14" s="87" t="e">
        <f>VLOOKUP(G10,Goals!$B$4:$AO$199,36,FALSE)</f>
        <v>#N/A</v>
      </c>
    </row>
    <row r="15" spans="1:9">
      <c r="A15" s="86" t="s">
        <v>117</v>
      </c>
      <c r="B15" s="87" t="s">
        <v>118</v>
      </c>
      <c r="D15" s="93" t="s">
        <v>117</v>
      </c>
      <c r="E15" s="87" t="s">
        <v>118</v>
      </c>
      <c r="G15" s="98" t="s">
        <v>117</v>
      </c>
      <c r="H15" s="99" t="s">
        <v>118</v>
      </c>
    </row>
    <row r="16" spans="1:9" ht="16" thickBot="1">
      <c r="A16" s="88" t="s">
        <v>114</v>
      </c>
      <c r="B16" s="89" t="str">
        <f>IF(B6="Split",   IF(B7="-",A1,CONCATENATE(B7,A1)),  IF(B6="Open",CONCATENATE(B7),"HELP"))</f>
        <v>-</v>
      </c>
      <c r="D16" s="94" t="s">
        <v>114</v>
      </c>
      <c r="E16" s="89" t="str">
        <f>IF(E6="Split",   IF(E7="-",D1,CONCATENATE(E7,D1)),  IF(E6="Open",CONCATENATE(E7),"HELP"))</f>
        <v>-</v>
      </c>
      <c r="G16" s="100" t="s">
        <v>114</v>
      </c>
      <c r="H16" s="89" t="str">
        <f>IF(H6="Split",   IF(H7="-",G1,CONCATENATE(H7,G1)),  IF(H6="Open",CONCATENATE(H7),"HELP"))</f>
        <v>-</v>
      </c>
    </row>
    <row r="18" spans="1:6" ht="16" thickBot="1"/>
    <row r="19" spans="1:6">
      <c r="A19" s="383" t="str">
        <f>CONCATENATE("b",B20,"g",B21)</f>
        <v>b1g3</v>
      </c>
      <c r="B19" s="384"/>
      <c r="D19" s="387" t="str">
        <f>CONCATENATE("b",E20,"g",E21)</f>
        <v>b2g3</v>
      </c>
      <c r="E19" s="388"/>
    </row>
    <row r="20" spans="1:6">
      <c r="A20" s="90" t="s">
        <v>115</v>
      </c>
      <c r="B20" s="85">
        <f>B11</f>
        <v>1</v>
      </c>
      <c r="D20" s="95" t="s">
        <v>115</v>
      </c>
      <c r="E20" s="92">
        <f>E11</f>
        <v>2</v>
      </c>
    </row>
    <row r="21" spans="1:6">
      <c r="A21" s="90" t="s">
        <v>116</v>
      </c>
      <c r="B21" s="85">
        <f>B12+1</f>
        <v>3</v>
      </c>
      <c r="D21" s="95" t="s">
        <v>116</v>
      </c>
      <c r="E21" s="92">
        <f>E12+1</f>
        <v>3</v>
      </c>
    </row>
    <row r="22" spans="1:6">
      <c r="A22" s="86" t="s">
        <v>113</v>
      </c>
      <c r="B22" s="87">
        <f>VLOOKUP(A19,Goals!$B$4:$AM$199,37,FALSE)</f>
        <v>695</v>
      </c>
      <c r="D22" s="93" t="s">
        <v>113</v>
      </c>
      <c r="E22" s="87">
        <f>VLOOKUP(D19,Goals!$B$4:$AM$199,37,FALSE)</f>
        <v>320</v>
      </c>
    </row>
    <row r="23" spans="1:6">
      <c r="A23" s="86" t="s">
        <v>112</v>
      </c>
      <c r="B23" s="87">
        <f>VLOOKUP(A19,Goals!$B$4:$AO$199,36,FALSE)</f>
        <v>0</v>
      </c>
      <c r="D23" s="93" t="s">
        <v>112</v>
      </c>
      <c r="E23" s="87">
        <f>VLOOKUP(D19,Goals!$B$4:$AO$199,36,FALSE)</f>
        <v>0</v>
      </c>
    </row>
    <row r="24" spans="1:6">
      <c r="A24" s="86" t="s">
        <v>117</v>
      </c>
      <c r="B24" s="87" t="s">
        <v>118</v>
      </c>
      <c r="D24" s="93" t="s">
        <v>117</v>
      </c>
      <c r="E24" s="87" t="s">
        <v>118</v>
      </c>
    </row>
    <row r="25" spans="1:6" ht="16" thickBot="1">
      <c r="A25" s="88" t="s">
        <v>114</v>
      </c>
      <c r="B25" s="89" t="str">
        <f>IF(B15="Split",   IF(B16="-",A10,CONCATENATE(B16,A10)),  IF(B15="Open",CONCATENATE(B16),"HELP"))</f>
        <v>-</v>
      </c>
      <c r="D25" s="94" t="s">
        <v>114</v>
      </c>
      <c r="E25" s="89" t="str">
        <f>IF(E15="Split",   IF(E16="-",D10,CONCATENATE(E16,D10)),  IF(E15="Open",CONCATENATE(E16),"HELP"))</f>
        <v>-</v>
      </c>
    </row>
    <row r="27" spans="1:6" ht="16" thickBot="1"/>
    <row r="28" spans="1:6">
      <c r="A28" s="383" t="str">
        <f>CONCATENATE("b",B29,"g",B30)</f>
        <v>b1g4</v>
      </c>
      <c r="B28" s="384"/>
      <c r="D28" s="387" t="str">
        <f>CONCATENATE("b",E29,"g",E30)</f>
        <v>b2g4</v>
      </c>
      <c r="E28" s="388"/>
    </row>
    <row r="29" spans="1:6">
      <c r="A29" s="90" t="s">
        <v>115</v>
      </c>
      <c r="B29" s="85">
        <f>B20</f>
        <v>1</v>
      </c>
      <c r="D29" s="95" t="s">
        <v>115</v>
      </c>
      <c r="E29" s="92">
        <f>E20</f>
        <v>2</v>
      </c>
    </row>
    <row r="30" spans="1:6">
      <c r="A30" s="90" t="s">
        <v>116</v>
      </c>
      <c r="B30" s="85">
        <f>B21+1</f>
        <v>4</v>
      </c>
      <c r="D30" s="95" t="s">
        <v>116</v>
      </c>
      <c r="E30" s="92">
        <f>E21+1</f>
        <v>4</v>
      </c>
      <c r="F30" s="82"/>
    </row>
    <row r="31" spans="1:6">
      <c r="A31" s="86" t="s">
        <v>113</v>
      </c>
      <c r="B31" s="87">
        <f>VLOOKUP(A28,Goals!$B$4:$AM$199,37,FALSE)</f>
        <v>845</v>
      </c>
      <c r="D31" s="93" t="s">
        <v>113</v>
      </c>
      <c r="E31" s="87">
        <f>VLOOKUP(D28,Goals!$B$4:$AM$199,37,FALSE)</f>
        <v>635</v>
      </c>
    </row>
    <row r="32" spans="1:6">
      <c r="A32" s="86" t="s">
        <v>112</v>
      </c>
      <c r="B32" s="87">
        <f>VLOOKUP(A28,Goals!$B$4:$AO$199,36,FALSE)</f>
        <v>0</v>
      </c>
      <c r="D32" s="93" t="s">
        <v>112</v>
      </c>
      <c r="E32" s="87">
        <f>VLOOKUP(D28,Goals!$B$4:$AO$199,36,FALSE)</f>
        <v>0</v>
      </c>
    </row>
    <row r="33" spans="1:5">
      <c r="A33" s="86" t="s">
        <v>117</v>
      </c>
      <c r="B33" s="87" t="s">
        <v>118</v>
      </c>
      <c r="D33" s="93" t="s">
        <v>117</v>
      </c>
      <c r="E33" s="87" t="s">
        <v>118</v>
      </c>
    </row>
    <row r="34" spans="1:5" ht="16" thickBot="1">
      <c r="A34" s="88" t="s">
        <v>114</v>
      </c>
      <c r="B34" s="89" t="str">
        <f>IF(B24="Split",   IF(B25="-",A19,CONCATENATE(B25,A19)),  IF(B24="Open",CONCATENATE(B25),"HELP"))</f>
        <v>-</v>
      </c>
      <c r="D34" s="94" t="s">
        <v>114</v>
      </c>
      <c r="E34" s="89" t="str">
        <f>IF(E24="Split",   IF(E25="-",D19,CONCATENATE(E25,D19)),  IF(E24="Open",CONCATENATE(E25),"HELP"))</f>
        <v>-</v>
      </c>
    </row>
    <row r="36" spans="1:5" ht="16" thickBot="1"/>
    <row r="37" spans="1:5">
      <c r="A37" s="383" t="str">
        <f>CONCATENATE("b",B38,"g",B39)</f>
        <v>b1g5</v>
      </c>
      <c r="B37" s="384"/>
      <c r="D37" s="387" t="str">
        <f>CONCATENATE("b",E38,"g",E39)</f>
        <v>b2g5</v>
      </c>
      <c r="E37" s="388"/>
    </row>
    <row r="38" spans="1:5">
      <c r="A38" s="90" t="s">
        <v>115</v>
      </c>
      <c r="B38" s="85">
        <f>B29</f>
        <v>1</v>
      </c>
      <c r="D38" s="95" t="s">
        <v>115</v>
      </c>
      <c r="E38" s="92">
        <f>E29</f>
        <v>2</v>
      </c>
    </row>
    <row r="39" spans="1:5">
      <c r="A39" s="90" t="s">
        <v>116</v>
      </c>
      <c r="B39" s="85">
        <f>B30+1</f>
        <v>5</v>
      </c>
      <c r="D39" s="95" t="s">
        <v>116</v>
      </c>
      <c r="E39" s="92">
        <f>E30+1</f>
        <v>5</v>
      </c>
    </row>
    <row r="40" spans="1:5">
      <c r="A40" s="86" t="s">
        <v>113</v>
      </c>
      <c r="B40" s="87">
        <f>VLOOKUP(A37,Goals!$B$4:$AM$199,37,FALSE)</f>
        <v>625</v>
      </c>
      <c r="D40" s="93" t="s">
        <v>113</v>
      </c>
      <c r="E40" s="87">
        <f>VLOOKUP(D37,Goals!$B$4:$AM$199,37,FALSE)</f>
        <v>870</v>
      </c>
    </row>
    <row r="41" spans="1:5">
      <c r="A41" s="86" t="s">
        <v>112</v>
      </c>
      <c r="B41" s="87">
        <f>VLOOKUP(A37,Goals!$B$4:$AO$199,36,FALSE)</f>
        <v>0</v>
      </c>
      <c r="D41" s="93" t="s">
        <v>112</v>
      </c>
      <c r="E41" s="87">
        <f>VLOOKUP(D37,Goals!$B$4:$AO$199,36,FALSE)</f>
        <v>0</v>
      </c>
    </row>
    <row r="42" spans="1:5">
      <c r="A42" s="86" t="s">
        <v>117</v>
      </c>
      <c r="B42" s="87" t="s">
        <v>118</v>
      </c>
      <c r="D42" s="93" t="s">
        <v>117</v>
      </c>
      <c r="E42" s="87" t="s">
        <v>118</v>
      </c>
    </row>
    <row r="43" spans="1:5" ht="16" thickBot="1">
      <c r="A43" s="88" t="s">
        <v>114</v>
      </c>
      <c r="B43" s="89" t="str">
        <f>IF(B33="Split",   IF(B34="-",A28,CONCATENATE(B34,A28)),  IF(B33="Open",CONCATENATE(B34),"HELP"))</f>
        <v>-</v>
      </c>
      <c r="D43" s="94" t="s">
        <v>114</v>
      </c>
      <c r="E43" s="89" t="str">
        <f>IF(E33="Split",   IF(E34="-",D28,CONCATENATE(E34,D28)),  IF(E33="Open",CONCATENATE(E34),"HELP"))</f>
        <v>-</v>
      </c>
    </row>
    <row r="45" spans="1:5" ht="16" thickBot="1"/>
    <row r="46" spans="1:5">
      <c r="A46" s="383" t="str">
        <f>CONCATENATE("b",B47,"g",B48)</f>
        <v>b1g6</v>
      </c>
      <c r="B46" s="384"/>
      <c r="D46" s="387" t="str">
        <f>CONCATENATE("b",E47,"g",E48)</f>
        <v>b2g6</v>
      </c>
      <c r="E46" s="388"/>
    </row>
    <row r="47" spans="1:5">
      <c r="A47" s="90" t="s">
        <v>115</v>
      </c>
      <c r="B47" s="85">
        <f>B38</f>
        <v>1</v>
      </c>
      <c r="D47" s="95" t="s">
        <v>115</v>
      </c>
      <c r="E47" s="92">
        <f>E38</f>
        <v>2</v>
      </c>
    </row>
    <row r="48" spans="1:5">
      <c r="A48" s="90" t="s">
        <v>116</v>
      </c>
      <c r="B48" s="85">
        <f>B39+1</f>
        <v>6</v>
      </c>
      <c r="D48" s="95" t="s">
        <v>116</v>
      </c>
      <c r="E48" s="92">
        <f>E39+1</f>
        <v>6</v>
      </c>
    </row>
    <row r="49" spans="1:5">
      <c r="A49" s="86" t="s">
        <v>113</v>
      </c>
      <c r="B49" s="87">
        <f>VLOOKUP(A46,Goals!$B$4:$AM$199,37,FALSE)</f>
        <v>-15</v>
      </c>
      <c r="D49" s="93" t="s">
        <v>113</v>
      </c>
      <c r="E49" s="87">
        <f>VLOOKUP(D46,Goals!$B$4:$AM$199,37,FALSE)</f>
        <v>1370</v>
      </c>
    </row>
    <row r="50" spans="1:5">
      <c r="A50" s="86" t="s">
        <v>112</v>
      </c>
      <c r="B50" s="87">
        <f>VLOOKUP(A46,Goals!$B$4:$AO$199,36,FALSE)</f>
        <v>0</v>
      </c>
      <c r="D50" s="93" t="s">
        <v>112</v>
      </c>
      <c r="E50" s="87">
        <f>VLOOKUP(D46,Goals!$B$4:$AO$199,36,FALSE)</f>
        <v>0</v>
      </c>
    </row>
    <row r="51" spans="1:5">
      <c r="A51" s="86" t="s">
        <v>117</v>
      </c>
      <c r="B51" s="87" t="s">
        <v>118</v>
      </c>
      <c r="D51" s="93" t="s">
        <v>117</v>
      </c>
      <c r="E51" s="87" t="s">
        <v>118</v>
      </c>
    </row>
    <row r="52" spans="1:5" ht="16" thickBot="1">
      <c r="A52" s="88" t="s">
        <v>114</v>
      </c>
      <c r="B52" s="89" t="str">
        <f>IF(B42="Split",   IF(B43="-",A37,CONCATENATE(B43,A37)),  IF(B42="Open",CONCATENATE(B43),"HELP"))</f>
        <v>-</v>
      </c>
      <c r="D52" s="94" t="s">
        <v>114</v>
      </c>
      <c r="E52" s="89" t="str">
        <f>IF(E42="Split",   IF(E43="-",D37,CONCATENATE(E43,D37)),  IF(E42="Open",CONCATENATE(E43),"HELP"))</f>
        <v>-</v>
      </c>
    </row>
    <row r="54" spans="1:5" ht="16" thickBot="1"/>
    <row r="55" spans="1:5">
      <c r="A55" s="383" t="str">
        <f>CONCATENATE("b",B56,"g",B57)</f>
        <v>b1g7</v>
      </c>
      <c r="B55" s="384"/>
      <c r="D55" s="387" t="str">
        <f>CONCATENATE("b",E56,"g",E57)</f>
        <v>b2g7</v>
      </c>
      <c r="E55" s="388"/>
    </row>
    <row r="56" spans="1:5">
      <c r="A56" s="90" t="s">
        <v>115</v>
      </c>
      <c r="B56" s="85">
        <f>B47</f>
        <v>1</v>
      </c>
      <c r="D56" s="95" t="s">
        <v>115</v>
      </c>
      <c r="E56" s="92">
        <f>E47</f>
        <v>2</v>
      </c>
    </row>
    <row r="57" spans="1:5">
      <c r="A57" s="90" t="s">
        <v>116</v>
      </c>
      <c r="B57" s="85">
        <f>B48+1</f>
        <v>7</v>
      </c>
      <c r="D57" s="95" t="s">
        <v>116</v>
      </c>
      <c r="E57" s="92">
        <f>E48+1</f>
        <v>7</v>
      </c>
    </row>
    <row r="58" spans="1:5">
      <c r="A58" s="86" t="s">
        <v>113</v>
      </c>
      <c r="B58" s="87">
        <f>VLOOKUP(A55,Goals!$B$4:$AM$199,37,FALSE)</f>
        <v>-15</v>
      </c>
      <c r="D58" s="93" t="s">
        <v>113</v>
      </c>
      <c r="E58" s="87">
        <f>VLOOKUP(D55,Goals!$B$4:$AM$199,37,FALSE)</f>
        <v>1630</v>
      </c>
    </row>
    <row r="59" spans="1:5">
      <c r="A59" s="86" t="s">
        <v>112</v>
      </c>
      <c r="B59" s="87">
        <f>VLOOKUP(A55,Goals!$B$4:$AO$199,36,FALSE)</f>
        <v>0</v>
      </c>
      <c r="D59" s="93" t="s">
        <v>112</v>
      </c>
      <c r="E59" s="87">
        <f>VLOOKUP(D55,Goals!$B$4:$AO$199,36,FALSE)</f>
        <v>0</v>
      </c>
    </row>
    <row r="60" spans="1:5">
      <c r="A60" s="86" t="s">
        <v>117</v>
      </c>
      <c r="B60" s="87" t="s">
        <v>118</v>
      </c>
      <c r="D60" s="93" t="s">
        <v>117</v>
      </c>
      <c r="E60" s="87" t="s">
        <v>118</v>
      </c>
    </row>
    <row r="61" spans="1:5" ht="16" thickBot="1">
      <c r="A61" s="88" t="s">
        <v>114</v>
      </c>
      <c r="B61" s="89" t="str">
        <f>IF(B51="Split",   IF(B52="-",A46,CONCATENATE(B52,A46)),  IF(B51="Open",CONCATENATE(B52),"HELP"))</f>
        <v>-</v>
      </c>
      <c r="D61" s="94" t="s">
        <v>114</v>
      </c>
      <c r="E61" s="89" t="str">
        <f>IF(E51="Split",   IF(E52="-",D46,CONCATENATE(E52,D46)),  IF(E51="Open",CONCATENATE(E52),"HELP"))</f>
        <v>-</v>
      </c>
    </row>
    <row r="63" spans="1:5" ht="16" thickBot="1"/>
    <row r="64" spans="1:5">
      <c r="A64" s="383" t="str">
        <f>CONCATENATE("b",B65,"g",B66)</f>
        <v>b1g8</v>
      </c>
      <c r="B64" s="384"/>
      <c r="D64" s="387" t="str">
        <f>CONCATENATE("b",E65,"g",E66)</f>
        <v>b2g8</v>
      </c>
      <c r="E64" s="388"/>
    </row>
    <row r="65" spans="1:5">
      <c r="A65" s="90" t="s">
        <v>115</v>
      </c>
      <c r="B65" s="85">
        <f>B56</f>
        <v>1</v>
      </c>
      <c r="D65" s="95" t="s">
        <v>115</v>
      </c>
      <c r="E65" s="92">
        <f>E56</f>
        <v>2</v>
      </c>
    </row>
    <row r="66" spans="1:5">
      <c r="A66" s="90" t="s">
        <v>116</v>
      </c>
      <c r="B66" s="85">
        <f>B57+1</f>
        <v>8</v>
      </c>
      <c r="D66" s="95" t="s">
        <v>116</v>
      </c>
      <c r="E66" s="92">
        <f>E57+1</f>
        <v>8</v>
      </c>
    </row>
    <row r="67" spans="1:5">
      <c r="A67" s="86" t="s">
        <v>113</v>
      </c>
      <c r="B67" s="87">
        <f>VLOOKUP(A64,Goals!$B$4:$AM$199,37,FALSE)</f>
        <v>135</v>
      </c>
      <c r="D67" s="93" t="s">
        <v>113</v>
      </c>
      <c r="E67" s="87">
        <f>VLOOKUP(D64,Goals!$B$4:$AM$199,37,FALSE)</f>
        <v>1860</v>
      </c>
    </row>
    <row r="68" spans="1:5">
      <c r="A68" s="86" t="s">
        <v>112</v>
      </c>
      <c r="B68" s="87">
        <f>VLOOKUP(A64,Goals!$B$4:$AO$199,36,FALSE)</f>
        <v>0</v>
      </c>
      <c r="D68" s="93" t="s">
        <v>112</v>
      </c>
      <c r="E68" s="87">
        <f>VLOOKUP(D64,Goals!$B$4:$AO$199,36,FALSE)</f>
        <v>0</v>
      </c>
    </row>
    <row r="69" spans="1:5">
      <c r="A69" s="86" t="s">
        <v>117</v>
      </c>
      <c r="B69" s="87" t="s">
        <v>118</v>
      </c>
      <c r="D69" s="93" t="s">
        <v>117</v>
      </c>
      <c r="E69" s="87" t="s">
        <v>118</v>
      </c>
    </row>
    <row r="70" spans="1:5" ht="16" thickBot="1">
      <c r="A70" s="88" t="s">
        <v>114</v>
      </c>
      <c r="B70" s="89" t="str">
        <f>IF(B60="Split",   IF(B61="-",A55,CONCATENATE(B61,A55)),  IF(B60="Open",CONCATENATE(B61),"HELP"))</f>
        <v>-</v>
      </c>
      <c r="D70" s="94" t="s">
        <v>114</v>
      </c>
      <c r="E70" s="89" t="str">
        <f>IF(E60="Split",   IF(E61="-",D55,CONCATENATE(E61,D55)),  IF(E60="Open",CONCATENATE(E61),"HELP"))</f>
        <v>-</v>
      </c>
    </row>
    <row r="72" spans="1:5" ht="16" thickBot="1"/>
    <row r="73" spans="1:5">
      <c r="A73" s="383" t="str">
        <f>CONCATENATE("b",B74,"g",B75)</f>
        <v>b1g9</v>
      </c>
      <c r="B73" s="384"/>
      <c r="D73" s="387" t="str">
        <f>CONCATENATE("b",E74,"g",E75)</f>
        <v>b2g9</v>
      </c>
      <c r="E73" s="388"/>
    </row>
    <row r="74" spans="1:5">
      <c r="A74" s="90" t="s">
        <v>115</v>
      </c>
      <c r="B74" s="85">
        <f>B65</f>
        <v>1</v>
      </c>
      <c r="D74" s="95" t="s">
        <v>115</v>
      </c>
      <c r="E74" s="92">
        <f>E65</f>
        <v>2</v>
      </c>
    </row>
    <row r="75" spans="1:5">
      <c r="A75" s="90" t="s">
        <v>116</v>
      </c>
      <c r="B75" s="85">
        <f>B66+1</f>
        <v>9</v>
      </c>
      <c r="D75" s="95" t="s">
        <v>116</v>
      </c>
      <c r="E75" s="92">
        <f>E66+1</f>
        <v>9</v>
      </c>
    </row>
    <row r="76" spans="1:5">
      <c r="A76" s="86" t="s">
        <v>113</v>
      </c>
      <c r="B76" s="87">
        <f>VLOOKUP(A73,Goals!$B$4:$AM$199,37,FALSE)</f>
        <v>285</v>
      </c>
      <c r="D76" s="93" t="s">
        <v>113</v>
      </c>
      <c r="E76" s="87">
        <f>VLOOKUP(D73,Goals!$B$4:$AM$199,37,FALSE)</f>
        <v>-540</v>
      </c>
    </row>
    <row r="77" spans="1:5">
      <c r="A77" s="86" t="s">
        <v>112</v>
      </c>
      <c r="B77" s="87">
        <f>VLOOKUP(A73,Goals!$B$4:$AO$199,36,FALSE)</f>
        <v>0</v>
      </c>
      <c r="D77" s="93" t="s">
        <v>112</v>
      </c>
      <c r="E77" s="87">
        <f>VLOOKUP(D73,Goals!$B$4:$AO$199,36,FALSE)</f>
        <v>0</v>
      </c>
    </row>
    <row r="78" spans="1:5">
      <c r="A78" s="86" t="s">
        <v>117</v>
      </c>
      <c r="B78" s="87" t="s">
        <v>118</v>
      </c>
      <c r="D78" s="93" t="s">
        <v>117</v>
      </c>
      <c r="E78" s="87" t="s">
        <v>118</v>
      </c>
    </row>
    <row r="79" spans="1:5" ht="16" thickBot="1">
      <c r="A79" s="88" t="s">
        <v>114</v>
      </c>
      <c r="B79" s="89" t="str">
        <f>IF(B69="Split",   IF(B70="-",A64,CONCATENATE(B70,A64)),  IF(B69="Open",CONCATENATE(B70),"HELP"))</f>
        <v>-</v>
      </c>
      <c r="D79" s="94" t="s">
        <v>114</v>
      </c>
      <c r="E79" s="89" t="str">
        <f>IF(E69="Split",   IF(E70="-",D64,CONCATENATE(E70,D64)),  IF(E69="Open",CONCATENATE(E70),"HELP"))</f>
        <v>-</v>
      </c>
    </row>
  </sheetData>
  <mergeCells count="20">
    <mergeCell ref="A73:B73"/>
    <mergeCell ref="D28:E28"/>
    <mergeCell ref="D37:E37"/>
    <mergeCell ref="D46:E46"/>
    <mergeCell ref="D55:E55"/>
    <mergeCell ref="D64:E64"/>
    <mergeCell ref="D73:E73"/>
    <mergeCell ref="A28:B28"/>
    <mergeCell ref="A37:B37"/>
    <mergeCell ref="A46:B46"/>
    <mergeCell ref="A55:B55"/>
    <mergeCell ref="A64:B64"/>
    <mergeCell ref="A1:B1"/>
    <mergeCell ref="A10:B10"/>
    <mergeCell ref="A19:B19"/>
    <mergeCell ref="G1:H1"/>
    <mergeCell ref="G10:H10"/>
    <mergeCell ref="D1:E1"/>
    <mergeCell ref="D10:E10"/>
    <mergeCell ref="D19:E1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tt7" enableFormatConditionsCalculation="0"/>
  <dimension ref="A1:R53"/>
  <sheetViews>
    <sheetView topLeftCell="B1" workbookViewId="0">
      <selection activeCell="I5" sqref="I5:I19"/>
    </sheetView>
  </sheetViews>
  <sheetFormatPr baseColWidth="10" defaultRowHeight="15" x14ac:dyDescent="0"/>
  <cols>
    <col min="3" max="3" width="16.1640625" bestFit="1" customWidth="1"/>
    <col min="5" max="5" width="14.6640625" bestFit="1" customWidth="1"/>
    <col min="6" max="6" width="14.6640625" customWidth="1"/>
    <col min="7" max="7" width="2.33203125" style="50" customWidth="1"/>
    <col min="8" max="8" width="14.6640625" bestFit="1" customWidth="1"/>
    <col min="12" max="12" width="14" bestFit="1" customWidth="1"/>
    <col min="13" max="13" width="13.1640625" bestFit="1" customWidth="1"/>
    <col min="17" max="17" width="12.1640625" bestFit="1" customWidth="1"/>
  </cols>
  <sheetData>
    <row r="1" spans="1:18" s="2" customFormat="1">
      <c r="A1" s="215"/>
      <c r="B1" s="354" t="s">
        <v>42</v>
      </c>
      <c r="C1" s="360"/>
      <c r="D1" s="360"/>
      <c r="E1" s="360"/>
      <c r="F1" s="139"/>
      <c r="G1" s="49"/>
      <c r="I1" s="262"/>
      <c r="J1" s="248"/>
      <c r="K1" s="293"/>
    </row>
    <row r="2" spans="1:18" s="2" customFormat="1">
      <c r="A2" s="216"/>
      <c r="B2" s="356" t="s">
        <v>4</v>
      </c>
      <c r="C2" s="361"/>
      <c r="D2" s="236" t="s">
        <v>18</v>
      </c>
      <c r="E2" s="236" t="s">
        <v>44</v>
      </c>
      <c r="F2" s="140"/>
      <c r="G2" s="49"/>
      <c r="I2" s="262"/>
      <c r="J2" s="248"/>
      <c r="K2" s="293"/>
    </row>
    <row r="3" spans="1:18" s="2" customFormat="1" ht="16" thickBot="1">
      <c r="A3" s="201" t="s">
        <v>131</v>
      </c>
      <c r="B3" s="59" t="s">
        <v>0</v>
      </c>
      <c r="C3" s="13" t="s">
        <v>347</v>
      </c>
      <c r="D3" s="13" t="s">
        <v>348</v>
      </c>
      <c r="E3" s="13" t="s">
        <v>5</v>
      </c>
      <c r="F3" s="14" t="s">
        <v>198</v>
      </c>
      <c r="G3" s="49"/>
      <c r="H3" s="2" t="s">
        <v>199</v>
      </c>
      <c r="I3" s="262" t="s">
        <v>495</v>
      </c>
      <c r="J3" s="248" t="s">
        <v>449</v>
      </c>
      <c r="K3" s="293" t="s">
        <v>509</v>
      </c>
      <c r="L3" s="2" t="s">
        <v>448</v>
      </c>
      <c r="M3" s="248" t="s">
        <v>450</v>
      </c>
      <c r="N3" s="2" t="s">
        <v>491</v>
      </c>
      <c r="P3" s="2" t="s">
        <v>464</v>
      </c>
      <c r="Q3" s="2" t="s">
        <v>461</v>
      </c>
      <c r="R3" s="262" t="s">
        <v>462</v>
      </c>
    </row>
    <row r="4" spans="1:18">
      <c r="A4" s="15">
        <f>IF(ISNUMBER(A3),A3,0)+1</f>
        <v>1</v>
      </c>
      <c r="B4" s="239">
        <v>1</v>
      </c>
      <c r="C4">
        <v>0</v>
      </c>
      <c r="D4">
        <v>9</v>
      </c>
      <c r="E4">
        <f>IF(J4&lt;=1800,1800,IF(J4&lt;259200,ROUNDUP(J4/3600,0)*3600,ROUNDUP(J4/86400,0)*86400))</f>
        <v>1800</v>
      </c>
      <c r="F4">
        <f>B4</f>
        <v>1</v>
      </c>
      <c r="H4" s="153">
        <f>D4^2-Others!$B$30</f>
        <v>77</v>
      </c>
      <c r="I4">
        <v>0</v>
      </c>
      <c r="J4">
        <v>1800</v>
      </c>
      <c r="K4">
        <f>C4</f>
        <v>0</v>
      </c>
      <c r="L4">
        <f t="shared" ref="L4:L19" si="0">ROUND(E4/3600,1)</f>
        <v>0.5</v>
      </c>
      <c r="M4">
        <f t="shared" ref="M4:M19" si="1">ROUND(E4/86400,1)</f>
        <v>0</v>
      </c>
      <c r="P4">
        <f>SUM(C$4:C4)</f>
        <v>0</v>
      </c>
      <c r="Q4">
        <f>VLOOKUP(B4,Overview!A$4:L$202,12)</f>
        <v>851</v>
      </c>
      <c r="R4" s="264">
        <f>P4/Q4</f>
        <v>0</v>
      </c>
    </row>
    <row r="5" spans="1:18">
      <c r="A5" s="16">
        <f t="shared" ref="A5:A53" si="2">IF(ISNUMBER(A4),A4,0)+1</f>
        <v>2</v>
      </c>
      <c r="B5" s="239">
        <v>3</v>
      </c>
      <c r="C5" s="225">
        <f>IF(I5&lt;=10000,ROUNDUP(I5/100,0)*100,IF(I5&lt;=100000,ROUNDUP(I5/1000,0)*1000,IF(I5&lt;=1000000,ROUNDUP(I5/10000,0)*10000,ROUNDUP(I5/100000,0)*100000)))</f>
        <v>1400</v>
      </c>
      <c r="D5">
        <v>10</v>
      </c>
      <c r="E5">
        <f t="shared" ref="E5:E19" si="3">IF(J5&lt;=1800,1800,IF(J5&lt;259200,ROUNDUP(J5/3600,0)*3600,ROUNDUP(J5/86400,0)*86400))</f>
        <v>3600</v>
      </c>
      <c r="F5">
        <f t="shared" ref="F5:F19" si="4">B5</f>
        <v>3</v>
      </c>
      <c r="H5" s="153">
        <f>D5^2-Others!$B$30</f>
        <v>96</v>
      </c>
      <c r="I5">
        <f>MAX(Q5*0.35-SUM(I$4:I4),C4*1.05)</f>
        <v>1318.4499999999998</v>
      </c>
      <c r="J5">
        <f>E4*1.5</f>
        <v>2700</v>
      </c>
      <c r="K5">
        <f t="shared" ref="K5:K19" si="5">C5</f>
        <v>1400</v>
      </c>
      <c r="L5">
        <f t="shared" si="0"/>
        <v>1</v>
      </c>
      <c r="M5">
        <f t="shared" si="1"/>
        <v>0</v>
      </c>
      <c r="P5">
        <f>SUM(C$4:C5)</f>
        <v>1400</v>
      </c>
      <c r="Q5">
        <f>VLOOKUP(B5,Overview!A$4:L$202,12)</f>
        <v>3767</v>
      </c>
      <c r="R5" s="264">
        <f t="shared" ref="R5:R19" si="6">P5/Q5</f>
        <v>0.37164852667905496</v>
      </c>
    </row>
    <row r="6" spans="1:18">
      <c r="A6" s="16">
        <f t="shared" si="2"/>
        <v>3</v>
      </c>
      <c r="B6" s="239">
        <v>10</v>
      </c>
      <c r="C6" s="225">
        <f t="shared" ref="C6:C19" si="7">IF(I6&lt;=10000,ROUNDUP(I6/100,0)*100,IF(I6&lt;=100000,ROUNDUP(I6/1000,0)*1000,IF(I6&lt;=1000000,ROUNDUP(I6/10000,0)*10000,ROUNDUP(I6/100000,0)*100000)))</f>
        <v>15000</v>
      </c>
      <c r="D6">
        <v>11</v>
      </c>
      <c r="E6">
        <f t="shared" si="3"/>
        <v>7200</v>
      </c>
      <c r="F6">
        <f t="shared" si="4"/>
        <v>10</v>
      </c>
      <c r="H6" s="153">
        <f>D6^2-Others!$B$30</f>
        <v>117</v>
      </c>
      <c r="I6">
        <f>MAX(Q6*0.35-SUM(I$4:I5),C5*1.05)</f>
        <v>14466.899999999998</v>
      </c>
      <c r="J6">
        <f t="shared" ref="J6:J19" si="8">E5*1.5</f>
        <v>5400</v>
      </c>
      <c r="K6">
        <f t="shared" si="5"/>
        <v>15000</v>
      </c>
      <c r="L6">
        <f t="shared" si="0"/>
        <v>2</v>
      </c>
      <c r="M6">
        <f t="shared" si="1"/>
        <v>0.1</v>
      </c>
      <c r="N6" s="272">
        <f>C6/C5-1</f>
        <v>9.7142857142857135</v>
      </c>
      <c r="P6">
        <f>SUM(C$4:C6)</f>
        <v>16400</v>
      </c>
      <c r="Q6">
        <f>VLOOKUP(B6,Overview!A$4:L$202,12)</f>
        <v>45101</v>
      </c>
      <c r="R6" s="264">
        <f t="shared" si="6"/>
        <v>0.36362830092459147</v>
      </c>
    </row>
    <row r="7" spans="1:18">
      <c r="A7" s="16">
        <f t="shared" si="2"/>
        <v>4</v>
      </c>
      <c r="B7" s="239">
        <v>17</v>
      </c>
      <c r="C7" s="225">
        <f t="shared" si="7"/>
        <v>54000</v>
      </c>
      <c r="D7">
        <v>12</v>
      </c>
      <c r="E7">
        <f t="shared" si="3"/>
        <v>10800</v>
      </c>
      <c r="F7">
        <f t="shared" si="4"/>
        <v>17</v>
      </c>
      <c r="H7" s="153">
        <f>D7^2-Others!$B$30</f>
        <v>140</v>
      </c>
      <c r="I7">
        <f>MAX(Q7*0.35-SUM(I$4:I6),C6*1.05)</f>
        <v>53824.749999999993</v>
      </c>
      <c r="J7">
        <f t="shared" si="8"/>
        <v>10800</v>
      </c>
      <c r="K7">
        <f t="shared" si="5"/>
        <v>54000</v>
      </c>
      <c r="L7">
        <f t="shared" si="0"/>
        <v>3</v>
      </c>
      <c r="M7">
        <f t="shared" si="1"/>
        <v>0.1</v>
      </c>
      <c r="N7" s="272">
        <f t="shared" ref="N7:N19" si="9">C7/C6-1</f>
        <v>2.6</v>
      </c>
      <c r="P7">
        <f>SUM(C$4:C7)</f>
        <v>70400</v>
      </c>
      <c r="Q7">
        <f>VLOOKUP(B7,Overview!A$4:L$202,12)</f>
        <v>198886</v>
      </c>
      <c r="R7" s="264">
        <f t="shared" si="6"/>
        <v>0.35397162193417336</v>
      </c>
    </row>
    <row r="8" spans="1:18">
      <c r="A8" s="16">
        <f t="shared" si="2"/>
        <v>5</v>
      </c>
      <c r="B8" s="239">
        <v>24</v>
      </c>
      <c r="C8" s="225">
        <f t="shared" si="7"/>
        <v>150000</v>
      </c>
      <c r="D8">
        <v>13</v>
      </c>
      <c r="E8">
        <f t="shared" si="3"/>
        <v>18000</v>
      </c>
      <c r="F8">
        <f t="shared" si="4"/>
        <v>24</v>
      </c>
      <c r="H8" s="153">
        <f>D8^2-Others!$B$30</f>
        <v>165</v>
      </c>
      <c r="I8">
        <f>MAX(Q8*0.35-SUM(I$4:I7),C7*1.05)</f>
        <v>145090.75</v>
      </c>
      <c r="J8">
        <f t="shared" si="8"/>
        <v>16200</v>
      </c>
      <c r="K8">
        <f t="shared" si="5"/>
        <v>150000</v>
      </c>
      <c r="L8">
        <f t="shared" si="0"/>
        <v>5</v>
      </c>
      <c r="M8">
        <f t="shared" si="1"/>
        <v>0.2</v>
      </c>
      <c r="N8" s="272">
        <f t="shared" si="9"/>
        <v>1.7777777777777777</v>
      </c>
      <c r="P8">
        <f>SUM(C$4:C8)</f>
        <v>220400</v>
      </c>
      <c r="Q8">
        <f>VLOOKUP(B8,Overview!A$4:L$202,12)</f>
        <v>613431</v>
      </c>
      <c r="R8" s="264">
        <f t="shared" si="6"/>
        <v>0.35929061296217507</v>
      </c>
    </row>
    <row r="9" spans="1:18">
      <c r="A9" s="16">
        <f t="shared" si="2"/>
        <v>6</v>
      </c>
      <c r="B9" s="239">
        <v>31</v>
      </c>
      <c r="C9" s="225">
        <f t="shared" si="7"/>
        <v>350000</v>
      </c>
      <c r="D9">
        <v>14</v>
      </c>
      <c r="E9">
        <f t="shared" si="3"/>
        <v>28800</v>
      </c>
      <c r="F9">
        <f t="shared" si="4"/>
        <v>31</v>
      </c>
      <c r="H9" s="153">
        <f>D9^2-Others!$B$30</f>
        <v>192</v>
      </c>
      <c r="I9">
        <f>MAX(Q9*0.35-SUM(I$4:I8),C8*1.05)</f>
        <v>346807.65</v>
      </c>
      <c r="J9">
        <f t="shared" si="8"/>
        <v>27000</v>
      </c>
      <c r="K9">
        <f t="shared" si="5"/>
        <v>350000</v>
      </c>
      <c r="L9">
        <f t="shared" si="0"/>
        <v>8</v>
      </c>
      <c r="M9">
        <f t="shared" si="1"/>
        <v>0.3</v>
      </c>
      <c r="N9" s="272">
        <f t="shared" si="9"/>
        <v>1.3333333333333335</v>
      </c>
      <c r="P9">
        <f>SUM(C$4:C9)</f>
        <v>570400</v>
      </c>
      <c r="Q9">
        <f>VLOOKUP(B9,Overview!A$4:L$202,12)</f>
        <v>1604310</v>
      </c>
      <c r="R9" s="264">
        <f t="shared" si="6"/>
        <v>0.35554225804239831</v>
      </c>
    </row>
    <row r="10" spans="1:18">
      <c r="A10" s="16">
        <f t="shared" si="2"/>
        <v>7</v>
      </c>
      <c r="B10" s="239">
        <v>38</v>
      </c>
      <c r="C10" s="225">
        <f t="shared" si="7"/>
        <v>520000</v>
      </c>
      <c r="D10">
        <v>15</v>
      </c>
      <c r="E10">
        <f t="shared" si="3"/>
        <v>43200</v>
      </c>
      <c r="F10">
        <f t="shared" si="4"/>
        <v>38</v>
      </c>
      <c r="H10" s="153">
        <f>D10^2-Others!$B$30</f>
        <v>221</v>
      </c>
      <c r="I10">
        <f>MAX(Q10*0.35-SUM(I$4:I9),C9*1.05)</f>
        <v>519917.64999999991</v>
      </c>
      <c r="J10">
        <f t="shared" si="8"/>
        <v>43200</v>
      </c>
      <c r="K10">
        <f t="shared" si="5"/>
        <v>520000</v>
      </c>
      <c r="L10">
        <f t="shared" si="0"/>
        <v>12</v>
      </c>
      <c r="M10">
        <f t="shared" si="1"/>
        <v>0.5</v>
      </c>
      <c r="N10" s="272">
        <f t="shared" si="9"/>
        <v>0.48571428571428577</v>
      </c>
      <c r="P10">
        <f>SUM(C$4:C10)</f>
        <v>1090400</v>
      </c>
      <c r="Q10">
        <f>VLOOKUP(B10,Overview!A$4:L$202,12)</f>
        <v>3089789</v>
      </c>
      <c r="R10" s="264">
        <f t="shared" si="6"/>
        <v>0.35290435689945171</v>
      </c>
    </row>
    <row r="11" spans="1:18">
      <c r="A11" s="16">
        <f t="shared" si="2"/>
        <v>8</v>
      </c>
      <c r="B11" s="239">
        <v>45</v>
      </c>
      <c r="C11" s="225">
        <f t="shared" si="7"/>
        <v>730000</v>
      </c>
      <c r="D11">
        <v>16</v>
      </c>
      <c r="E11">
        <f t="shared" si="3"/>
        <v>64800</v>
      </c>
      <c r="F11">
        <f t="shared" si="4"/>
        <v>45</v>
      </c>
      <c r="H11" s="153">
        <f>D11^2-Others!$B$30</f>
        <v>252</v>
      </c>
      <c r="I11">
        <f>MAX(Q11*0.35-SUM(I$4:I10),C10*1.05)</f>
        <v>724621.45</v>
      </c>
      <c r="J11">
        <f t="shared" si="8"/>
        <v>64800</v>
      </c>
      <c r="K11">
        <f t="shared" si="5"/>
        <v>730000</v>
      </c>
      <c r="L11">
        <f t="shared" si="0"/>
        <v>18</v>
      </c>
      <c r="M11">
        <f t="shared" si="1"/>
        <v>0.8</v>
      </c>
      <c r="N11" s="272">
        <f t="shared" si="9"/>
        <v>0.40384615384615374</v>
      </c>
      <c r="P11">
        <f>SUM(C$4:C11)</f>
        <v>1820400</v>
      </c>
      <c r="Q11">
        <f>VLOOKUP(B11,Overview!A$4:L$202,12)</f>
        <v>5160136</v>
      </c>
      <c r="R11" s="264">
        <f t="shared" si="6"/>
        <v>0.35278139956001159</v>
      </c>
    </row>
    <row r="12" spans="1:18">
      <c r="A12" s="16">
        <f t="shared" si="2"/>
        <v>9</v>
      </c>
      <c r="B12" s="239">
        <v>52</v>
      </c>
      <c r="C12" s="225">
        <f t="shared" si="7"/>
        <v>950000</v>
      </c>
      <c r="D12">
        <v>17</v>
      </c>
      <c r="E12">
        <f t="shared" si="3"/>
        <v>97200</v>
      </c>
      <c r="F12">
        <f t="shared" si="4"/>
        <v>52</v>
      </c>
      <c r="H12" s="153">
        <f>D12^2-Others!$B$30</f>
        <v>285</v>
      </c>
      <c r="I12">
        <f>MAX(Q12*0.35-SUM(I$4:I11),C11*1.05)</f>
        <v>949704.7</v>
      </c>
      <c r="J12">
        <f t="shared" si="8"/>
        <v>97200</v>
      </c>
      <c r="K12">
        <f t="shared" si="5"/>
        <v>950000</v>
      </c>
      <c r="L12">
        <f t="shared" si="0"/>
        <v>27</v>
      </c>
      <c r="M12">
        <f t="shared" si="1"/>
        <v>1.1000000000000001</v>
      </c>
      <c r="N12" s="272">
        <f t="shared" si="9"/>
        <v>0.30136986301369872</v>
      </c>
      <c r="P12">
        <f>SUM(C$4:C12)</f>
        <v>2770400</v>
      </c>
      <c r="Q12">
        <f>VLOOKUP(B12,Overview!A$4:L$202,12)</f>
        <v>7873578</v>
      </c>
      <c r="R12" s="264">
        <f t="shared" si="6"/>
        <v>0.35186036132492748</v>
      </c>
    </row>
    <row r="13" spans="1:18">
      <c r="A13" s="16">
        <f t="shared" si="2"/>
        <v>10</v>
      </c>
      <c r="B13" s="239">
        <v>59</v>
      </c>
      <c r="C13" s="225">
        <f t="shared" si="7"/>
        <v>1200000</v>
      </c>
      <c r="D13">
        <v>18</v>
      </c>
      <c r="E13">
        <f t="shared" si="3"/>
        <v>147600</v>
      </c>
      <c r="F13">
        <f t="shared" si="4"/>
        <v>59</v>
      </c>
      <c r="H13" s="153">
        <f>D13^2-Others!$B$30</f>
        <v>320</v>
      </c>
      <c r="I13">
        <f>MAX(Q13*0.35-SUM(I$4:I12),C12*1.05)</f>
        <v>1176979.2999999998</v>
      </c>
      <c r="J13">
        <f t="shared" si="8"/>
        <v>145800</v>
      </c>
      <c r="K13">
        <f t="shared" si="5"/>
        <v>1200000</v>
      </c>
      <c r="L13">
        <f t="shared" si="0"/>
        <v>41</v>
      </c>
      <c r="M13">
        <f t="shared" si="1"/>
        <v>1.7</v>
      </c>
      <c r="N13" s="272">
        <f t="shared" si="9"/>
        <v>0.26315789473684204</v>
      </c>
      <c r="P13">
        <f>SUM(C$4:C13)</f>
        <v>3970400</v>
      </c>
      <c r="Q13">
        <f>VLOOKUP(B13,Overview!A$4:L$202,12)</f>
        <v>11236376</v>
      </c>
      <c r="R13" s="264">
        <f t="shared" si="6"/>
        <v>0.35335236200710979</v>
      </c>
    </row>
    <row r="14" spans="1:18">
      <c r="A14" s="16">
        <f t="shared" si="2"/>
        <v>11</v>
      </c>
      <c r="B14" s="239">
        <v>66</v>
      </c>
      <c r="C14" s="225">
        <f t="shared" si="7"/>
        <v>1400000</v>
      </c>
      <c r="D14">
        <v>19</v>
      </c>
      <c r="E14">
        <f t="shared" si="3"/>
        <v>223200</v>
      </c>
      <c r="F14">
        <f t="shared" si="4"/>
        <v>66</v>
      </c>
      <c r="H14" s="153">
        <f>D14^2-Others!$B$30</f>
        <v>357</v>
      </c>
      <c r="I14">
        <f>MAX(Q14*0.35-SUM(I$4:I13),C13*1.05)</f>
        <v>1398966.7999999998</v>
      </c>
      <c r="J14">
        <f t="shared" si="8"/>
        <v>221400</v>
      </c>
      <c r="K14">
        <f t="shared" si="5"/>
        <v>1400000</v>
      </c>
      <c r="L14">
        <f t="shared" si="0"/>
        <v>62</v>
      </c>
      <c r="M14">
        <f t="shared" si="1"/>
        <v>2.6</v>
      </c>
      <c r="N14" s="272">
        <f t="shared" si="9"/>
        <v>0.16666666666666674</v>
      </c>
      <c r="P14">
        <f>SUM(C$4:C14)</f>
        <v>5370400</v>
      </c>
      <c r="Q14">
        <f>VLOOKUP(B14,Overview!A$4:L$202,12)</f>
        <v>15233424</v>
      </c>
      <c r="R14" s="264">
        <f t="shared" si="6"/>
        <v>0.35254057131213573</v>
      </c>
    </row>
    <row r="15" spans="1:18">
      <c r="A15" s="16">
        <f t="shared" si="2"/>
        <v>12</v>
      </c>
      <c r="B15" s="239">
        <v>73</v>
      </c>
      <c r="C15" s="225">
        <f t="shared" si="7"/>
        <v>1700000</v>
      </c>
      <c r="D15">
        <v>20</v>
      </c>
      <c r="E15">
        <f t="shared" si="3"/>
        <v>345600</v>
      </c>
      <c r="F15">
        <f t="shared" si="4"/>
        <v>73</v>
      </c>
      <c r="H15" s="153">
        <f>D15^2-Others!$B$30</f>
        <v>396</v>
      </c>
      <c r="I15">
        <f>MAX(Q15*0.35-SUM(I$4:I14),C14*1.05)</f>
        <v>1622956.6500000004</v>
      </c>
      <c r="J15">
        <f t="shared" si="8"/>
        <v>334800</v>
      </c>
      <c r="K15">
        <f t="shared" si="5"/>
        <v>1700000</v>
      </c>
      <c r="L15">
        <f t="shared" si="0"/>
        <v>96</v>
      </c>
      <c r="M15">
        <f t="shared" si="1"/>
        <v>4</v>
      </c>
      <c r="N15" s="272">
        <f t="shared" si="9"/>
        <v>0.21428571428571419</v>
      </c>
      <c r="P15">
        <f>SUM(C$4:C15)</f>
        <v>7070400</v>
      </c>
      <c r="Q15">
        <f>VLOOKUP(B15,Overview!A$4:L$202,12)</f>
        <v>19870443</v>
      </c>
      <c r="R15" s="264">
        <f t="shared" si="6"/>
        <v>0.35582498085221353</v>
      </c>
    </row>
    <row r="16" spans="1:18">
      <c r="A16" s="16">
        <f t="shared" si="2"/>
        <v>13</v>
      </c>
      <c r="B16" s="239">
        <v>80</v>
      </c>
      <c r="C16" s="225">
        <f t="shared" si="7"/>
        <v>1900000</v>
      </c>
      <c r="D16">
        <v>21</v>
      </c>
      <c r="E16">
        <f t="shared" si="3"/>
        <v>518400</v>
      </c>
      <c r="F16">
        <f t="shared" si="4"/>
        <v>80</v>
      </c>
      <c r="H16" s="153">
        <f>D16^2-Others!$B$30</f>
        <v>437</v>
      </c>
      <c r="I16">
        <f>MAX(Q16*0.35-SUM(I$4:I15),C15*1.05)</f>
        <v>1841776.6499999994</v>
      </c>
      <c r="J16">
        <f t="shared" si="8"/>
        <v>518400</v>
      </c>
      <c r="K16">
        <f t="shared" si="5"/>
        <v>1900000</v>
      </c>
      <c r="L16">
        <f t="shared" si="0"/>
        <v>144</v>
      </c>
      <c r="M16">
        <f t="shared" si="1"/>
        <v>6</v>
      </c>
      <c r="N16" s="272">
        <f t="shared" si="9"/>
        <v>0.11764705882352944</v>
      </c>
      <c r="P16">
        <f>SUM(C$4:C16)</f>
        <v>8970400</v>
      </c>
      <c r="Q16">
        <f>VLOOKUP(B16,Overview!A$4:L$202,12)</f>
        <v>25132662</v>
      </c>
      <c r="R16" s="264">
        <f t="shared" si="6"/>
        <v>0.3569220005425609</v>
      </c>
    </row>
    <row r="17" spans="1:18">
      <c r="A17" s="16">
        <f t="shared" si="2"/>
        <v>14</v>
      </c>
      <c r="B17" s="239">
        <v>87</v>
      </c>
      <c r="C17" s="225">
        <f t="shared" si="7"/>
        <v>2100000</v>
      </c>
      <c r="D17">
        <v>22</v>
      </c>
      <c r="E17">
        <f t="shared" si="3"/>
        <v>777600</v>
      </c>
      <c r="F17">
        <f t="shared" si="4"/>
        <v>87</v>
      </c>
      <c r="H17" s="153">
        <f>D17^2-Others!$B$30</f>
        <v>480</v>
      </c>
      <c r="I17">
        <f>MAX(Q17*0.35-SUM(I$4:I16),C16*1.05)</f>
        <v>2063480.6500000004</v>
      </c>
      <c r="J17">
        <f t="shared" si="8"/>
        <v>777600</v>
      </c>
      <c r="K17">
        <f t="shared" si="5"/>
        <v>2100000</v>
      </c>
      <c r="L17">
        <f t="shared" si="0"/>
        <v>216</v>
      </c>
      <c r="M17">
        <f t="shared" si="1"/>
        <v>9</v>
      </c>
      <c r="N17" s="272">
        <f t="shared" si="9"/>
        <v>0.10526315789473695</v>
      </c>
      <c r="P17">
        <f>SUM(C$4:C17)</f>
        <v>11070400</v>
      </c>
      <c r="Q17">
        <f>VLOOKUP(B17,Overview!A$4:L$202,12)</f>
        <v>31028321</v>
      </c>
      <c r="R17" s="264">
        <f t="shared" si="6"/>
        <v>0.35678372671212211</v>
      </c>
    </row>
    <row r="18" spans="1:18">
      <c r="A18" s="16">
        <f t="shared" si="2"/>
        <v>15</v>
      </c>
      <c r="B18" s="239">
        <v>94</v>
      </c>
      <c r="C18" s="225">
        <f t="shared" si="7"/>
        <v>2300000</v>
      </c>
      <c r="D18">
        <v>23</v>
      </c>
      <c r="E18">
        <f t="shared" si="3"/>
        <v>1209600</v>
      </c>
      <c r="F18">
        <f t="shared" si="4"/>
        <v>94</v>
      </c>
      <c r="H18" s="153">
        <f>D18^2-Others!$B$30</f>
        <v>525</v>
      </c>
      <c r="I18">
        <f>MAX(Q18*0.35-SUM(I$4:I17),C17*1.05)</f>
        <v>2292045.3499999996</v>
      </c>
      <c r="J18">
        <f t="shared" si="8"/>
        <v>1166400</v>
      </c>
      <c r="K18">
        <f t="shared" si="5"/>
        <v>2300000</v>
      </c>
      <c r="L18">
        <f t="shared" si="0"/>
        <v>336</v>
      </c>
      <c r="M18">
        <f t="shared" si="1"/>
        <v>14</v>
      </c>
      <c r="N18" s="272">
        <f t="shared" si="9"/>
        <v>9.5238095238095344E-2</v>
      </c>
      <c r="P18">
        <f>SUM(C$4:C18)</f>
        <v>13370400</v>
      </c>
      <c r="Q18">
        <f>VLOOKUP(B18,Overview!A$4:L$202,12)</f>
        <v>37577022</v>
      </c>
      <c r="R18" s="264">
        <f t="shared" si="6"/>
        <v>0.35581318817654045</v>
      </c>
    </row>
    <row r="19" spans="1:18">
      <c r="A19" s="16">
        <f t="shared" si="2"/>
        <v>16</v>
      </c>
      <c r="B19" s="239">
        <v>101</v>
      </c>
      <c r="C19" s="225">
        <f t="shared" si="7"/>
        <v>2600000</v>
      </c>
      <c r="D19">
        <v>24</v>
      </c>
      <c r="E19">
        <f t="shared" si="3"/>
        <v>1814400</v>
      </c>
      <c r="F19">
        <f t="shared" si="4"/>
        <v>101</v>
      </c>
      <c r="H19" s="153">
        <f>D19^2-Others!$B$30</f>
        <v>572</v>
      </c>
      <c r="I19">
        <f>MAX(Q19*0.35-SUM(I$4:I18),C18*1.05)</f>
        <v>2521457.4000000004</v>
      </c>
      <c r="J19">
        <f t="shared" si="8"/>
        <v>1814400</v>
      </c>
      <c r="K19">
        <f t="shared" si="5"/>
        <v>2600000</v>
      </c>
      <c r="L19">
        <f t="shared" si="0"/>
        <v>504</v>
      </c>
      <c r="M19">
        <f t="shared" si="1"/>
        <v>21</v>
      </c>
      <c r="N19" s="272">
        <f t="shared" si="9"/>
        <v>0.13043478260869557</v>
      </c>
      <c r="P19">
        <f>SUM(C$4:C19)</f>
        <v>15970400</v>
      </c>
      <c r="Q19">
        <f>VLOOKUP(B19,Overview!A$4:L$202,12)</f>
        <v>44781186</v>
      </c>
      <c r="R19" s="264">
        <f t="shared" si="6"/>
        <v>0.35663191233925784</v>
      </c>
    </row>
    <row r="20" spans="1:18">
      <c r="A20" s="16">
        <f t="shared" si="2"/>
        <v>17</v>
      </c>
      <c r="B20" s="239"/>
      <c r="H20" s="170"/>
    </row>
    <row r="21" spans="1:18">
      <c r="A21" s="16">
        <f t="shared" si="2"/>
        <v>18</v>
      </c>
      <c r="B21" s="239"/>
      <c r="H21" s="170"/>
    </row>
    <row r="22" spans="1:18">
      <c r="A22" s="16">
        <f t="shared" si="2"/>
        <v>19</v>
      </c>
      <c r="B22" s="239"/>
      <c r="H22" s="170"/>
    </row>
    <row r="23" spans="1:18">
      <c r="A23" s="16">
        <f t="shared" si="2"/>
        <v>20</v>
      </c>
      <c r="B23" s="239"/>
      <c r="H23" s="170"/>
    </row>
    <row r="24" spans="1:18">
      <c r="A24" s="16">
        <f t="shared" si="2"/>
        <v>21</v>
      </c>
      <c r="B24" s="239"/>
      <c r="H24" s="170"/>
    </row>
    <row r="25" spans="1:18">
      <c r="A25" s="16">
        <f t="shared" si="2"/>
        <v>22</v>
      </c>
      <c r="B25" s="239"/>
      <c r="H25" s="170"/>
    </row>
    <row r="26" spans="1:18">
      <c r="A26" s="16">
        <f t="shared" si="2"/>
        <v>23</v>
      </c>
      <c r="B26" s="239"/>
      <c r="H26" s="170"/>
    </row>
    <row r="27" spans="1:18">
      <c r="A27" s="16">
        <f t="shared" si="2"/>
        <v>24</v>
      </c>
      <c r="B27" s="239"/>
      <c r="H27" s="170"/>
    </row>
    <row r="28" spans="1:18">
      <c r="A28" s="16">
        <f t="shared" si="2"/>
        <v>25</v>
      </c>
      <c r="B28" s="239"/>
      <c r="H28" s="170"/>
    </row>
    <row r="29" spans="1:18">
      <c r="A29" s="16">
        <f t="shared" si="2"/>
        <v>26</v>
      </c>
      <c r="B29" s="239"/>
      <c r="H29" s="170"/>
    </row>
    <row r="30" spans="1:18">
      <c r="A30" s="16">
        <f t="shared" si="2"/>
        <v>27</v>
      </c>
      <c r="B30" s="239"/>
      <c r="H30" s="170"/>
    </row>
    <row r="31" spans="1:18">
      <c r="A31" s="16">
        <f t="shared" si="2"/>
        <v>28</v>
      </c>
      <c r="B31" s="239"/>
      <c r="H31" s="170"/>
    </row>
    <row r="32" spans="1:18">
      <c r="A32" s="16">
        <f t="shared" si="2"/>
        <v>29</v>
      </c>
      <c r="B32" s="239"/>
      <c r="H32" s="170"/>
    </row>
    <row r="33" spans="1:8">
      <c r="A33" s="16">
        <f t="shared" si="2"/>
        <v>30</v>
      </c>
      <c r="B33" s="239"/>
      <c r="H33" s="170"/>
    </row>
    <row r="34" spans="1:8">
      <c r="A34" s="16">
        <f t="shared" si="2"/>
        <v>31</v>
      </c>
      <c r="B34" s="239"/>
      <c r="H34" s="170"/>
    </row>
    <row r="35" spans="1:8">
      <c r="A35" s="16">
        <f t="shared" si="2"/>
        <v>32</v>
      </c>
      <c r="B35" s="239"/>
      <c r="H35" s="170"/>
    </row>
    <row r="36" spans="1:8">
      <c r="A36" s="16">
        <f t="shared" si="2"/>
        <v>33</v>
      </c>
      <c r="B36" s="239"/>
      <c r="H36" s="170"/>
    </row>
    <row r="37" spans="1:8">
      <c r="A37" s="16">
        <f t="shared" si="2"/>
        <v>34</v>
      </c>
      <c r="B37" s="239"/>
      <c r="H37" s="170"/>
    </row>
    <row r="38" spans="1:8">
      <c r="A38" s="16">
        <f t="shared" si="2"/>
        <v>35</v>
      </c>
      <c r="B38" s="239"/>
      <c r="H38" s="170"/>
    </row>
    <row r="39" spans="1:8">
      <c r="A39" s="16">
        <f t="shared" si="2"/>
        <v>36</v>
      </c>
      <c r="B39" s="239"/>
      <c r="H39" s="170"/>
    </row>
    <row r="40" spans="1:8">
      <c r="A40" s="16">
        <f t="shared" si="2"/>
        <v>37</v>
      </c>
      <c r="B40" s="239"/>
      <c r="H40" s="170"/>
    </row>
    <row r="41" spans="1:8">
      <c r="A41" s="16">
        <f t="shared" si="2"/>
        <v>38</v>
      </c>
      <c r="B41" s="239"/>
      <c r="H41" s="170"/>
    </row>
    <row r="42" spans="1:8">
      <c r="A42" s="16">
        <f t="shared" si="2"/>
        <v>39</v>
      </c>
      <c r="B42" s="239"/>
      <c r="H42" s="170"/>
    </row>
    <row r="43" spans="1:8">
      <c r="A43" s="16">
        <f t="shared" si="2"/>
        <v>40</v>
      </c>
      <c r="B43" s="239"/>
      <c r="H43" s="170"/>
    </row>
    <row r="44" spans="1:8">
      <c r="A44" s="16">
        <f t="shared" si="2"/>
        <v>41</v>
      </c>
      <c r="B44" s="239"/>
      <c r="H44" s="170"/>
    </row>
    <row r="45" spans="1:8">
      <c r="A45" s="16">
        <f t="shared" si="2"/>
        <v>42</v>
      </c>
      <c r="B45" s="239"/>
      <c r="H45" s="170"/>
    </row>
    <row r="46" spans="1:8">
      <c r="A46" s="16">
        <f t="shared" si="2"/>
        <v>43</v>
      </c>
      <c r="B46" s="239"/>
      <c r="H46" s="170"/>
    </row>
    <row r="47" spans="1:8">
      <c r="A47" s="16">
        <f t="shared" si="2"/>
        <v>44</v>
      </c>
      <c r="B47" s="239"/>
      <c r="H47" s="170"/>
    </row>
    <row r="48" spans="1:8">
      <c r="A48" s="16">
        <f t="shared" si="2"/>
        <v>45</v>
      </c>
      <c r="B48" s="239"/>
      <c r="H48" s="170"/>
    </row>
    <row r="49" spans="1:8">
      <c r="A49" s="16">
        <f t="shared" si="2"/>
        <v>46</v>
      </c>
      <c r="B49" s="239"/>
      <c r="H49" s="170"/>
    </row>
    <row r="50" spans="1:8">
      <c r="A50" s="16">
        <f t="shared" si="2"/>
        <v>47</v>
      </c>
      <c r="B50" s="239"/>
      <c r="H50" s="170"/>
    </row>
    <row r="51" spans="1:8">
      <c r="A51" s="16">
        <f t="shared" si="2"/>
        <v>48</v>
      </c>
      <c r="B51" s="239"/>
      <c r="H51" s="170"/>
    </row>
    <row r="52" spans="1:8">
      <c r="A52" s="16">
        <f t="shared" si="2"/>
        <v>49</v>
      </c>
      <c r="B52" s="239"/>
      <c r="H52" s="170"/>
    </row>
    <row r="53" spans="1:8">
      <c r="A53" s="16">
        <f t="shared" si="2"/>
        <v>50</v>
      </c>
      <c r="B53" s="239"/>
      <c r="H53" s="170"/>
    </row>
  </sheetData>
  <mergeCells count="2">
    <mergeCell ref="B2:C2"/>
    <mergeCell ref="B1:E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17</vt:i4>
      </vt:variant>
    </vt:vector>
  </HeadingPairs>
  <TitlesOfParts>
    <vt:vector size="17" baseType="lpstr">
      <vt:lpstr>Overview</vt:lpstr>
      <vt:lpstr>Level</vt:lpstr>
      <vt:lpstr>Plants</vt:lpstr>
      <vt:lpstr>Decoration</vt:lpstr>
      <vt:lpstr>Decoration Background</vt:lpstr>
      <vt:lpstr>Goals</vt:lpstr>
      <vt:lpstr>Tasks</vt:lpstr>
      <vt:lpstr>Goal-Flowchart</vt:lpstr>
      <vt:lpstr>Garden</vt:lpstr>
      <vt:lpstr>Plots</vt:lpstr>
      <vt:lpstr>Babygame</vt:lpstr>
      <vt:lpstr>BG_Rewards</vt:lpstr>
      <vt:lpstr>Constants</vt:lpstr>
      <vt:lpstr>Others</vt:lpstr>
      <vt:lpstr>Payment</vt:lpstr>
      <vt:lpstr>Playground_x000d_</vt:lpstr>
      <vt:lpstr>Background</vt:lpstr>
    </vt:vector>
  </TitlesOfParts>
  <Company>Wooga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Hartung</dc:creator>
  <cp:lastModifiedBy>Felix Hartung</cp:lastModifiedBy>
  <dcterms:created xsi:type="dcterms:W3CDTF">2012-04-03T09:56:32Z</dcterms:created>
  <dcterms:modified xsi:type="dcterms:W3CDTF">2012-06-01T15:41:16Z</dcterms:modified>
</cp:coreProperties>
</file>