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baumbach/Library/CloudStorage/GoogleDrive-hentschels.linda@googlemail.com/.shortcut-targets-by-id/0BxP8eKfcxX4NfjZMX2VZRElvS0tWYVo4OHlEYXd4SFN4SVV0cDBWc2NRV1RYZ3lDMG9fYmc/linda_jan_shared/linda/Documents/Reserach-projects/2021_SR_PT_CUA/Final_results/PNAS_AI_SR_2023/Resubmission/Resubmission2.0/"/>
    </mc:Choice>
  </mc:AlternateContent>
  <xr:revisionPtr revIDLastSave="0" documentId="13_ncr:1_{75CE758B-6D72-4740-81B9-93B64C0F667E}" xr6:coauthVersionLast="47" xr6:coauthVersionMax="47" xr10:uidLastSave="{00000000-0000-0000-0000-000000000000}"/>
  <bookViews>
    <workbookView xWindow="1320" yWindow="1000" windowWidth="27100" windowHeight="16440" activeTab="2" xr2:uid="{EEDB710E-E342-F144-9A29-4995F4E35365}"/>
  </bookViews>
  <sheets>
    <sheet name="Main-analysis" sheetId="1" r:id="rId1"/>
    <sheet name="RF - supp Analysis" sheetId="2" r:id="rId2"/>
    <sheet name="preproce main " sheetId="3" r:id="rId3"/>
    <sheet name="preprocess RF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1" i="4"/>
  <c r="B20" i="4"/>
  <c r="B19" i="4"/>
  <c r="B18" i="4"/>
  <c r="B17" i="4"/>
  <c r="B22" i="4" s="1"/>
  <c r="B16" i="4"/>
  <c r="B15" i="4"/>
  <c r="B14" i="4"/>
  <c r="B13" i="4"/>
  <c r="B12" i="4"/>
  <c r="B11" i="4"/>
  <c r="B10" i="4"/>
  <c r="B9" i="4"/>
  <c r="B8" i="4"/>
  <c r="B7" i="4"/>
  <c r="B25" i="4" s="1"/>
  <c r="B6" i="4"/>
  <c r="B5" i="4"/>
  <c r="B4" i="4"/>
  <c r="B21" i="3"/>
  <c r="B20" i="3"/>
  <c r="B19" i="3"/>
  <c r="B18" i="3"/>
  <c r="B26" i="3" s="1"/>
  <c r="B17" i="3"/>
  <c r="B16" i="3"/>
  <c r="B15" i="3"/>
  <c r="B14" i="3"/>
  <c r="B22" i="3" s="1"/>
  <c r="B23" i="3" s="1"/>
  <c r="B13" i="3"/>
  <c r="B12" i="3"/>
  <c r="B11" i="3"/>
  <c r="B10" i="3"/>
  <c r="B9" i="3"/>
  <c r="B8" i="3"/>
  <c r="B7" i="3"/>
  <c r="B6" i="3"/>
  <c r="B5" i="3"/>
  <c r="B4" i="3"/>
  <c r="B21" i="2"/>
  <c r="B22" i="2" s="1"/>
  <c r="B23" i="2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6" i="2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D26" i="3"/>
  <c r="C26" i="3"/>
  <c r="C25" i="3"/>
  <c r="D25" i="3"/>
  <c r="B25" i="3"/>
  <c r="C24" i="3"/>
  <c r="D24" i="3"/>
  <c r="C23" i="3"/>
  <c r="D23" i="3"/>
  <c r="C26" i="4"/>
  <c r="D26" i="4"/>
  <c r="B26" i="4"/>
  <c r="C25" i="4"/>
  <c r="D25" i="4"/>
  <c r="C24" i="4"/>
  <c r="D24" i="4"/>
  <c r="C23" i="4"/>
  <c r="D23" i="4"/>
  <c r="D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2" i="4" s="1"/>
  <c r="C4" i="4"/>
  <c r="D22" i="3"/>
  <c r="C22" i="3"/>
  <c r="D26" i="2"/>
  <c r="D25" i="2"/>
  <c r="C21" i="2"/>
  <c r="C20" i="2"/>
  <c r="C19" i="2"/>
  <c r="C18" i="2"/>
  <c r="C25" i="2" s="1"/>
  <c r="C17" i="2"/>
  <c r="C16" i="2"/>
  <c r="C15" i="2"/>
  <c r="C14" i="2"/>
  <c r="C26" i="2" s="1"/>
  <c r="C13" i="2"/>
  <c r="C12" i="2"/>
  <c r="C11" i="2"/>
  <c r="C10" i="2"/>
  <c r="C9" i="2"/>
  <c r="C8" i="2"/>
  <c r="C7" i="2"/>
  <c r="C5" i="2"/>
  <c r="C4" i="2"/>
  <c r="B25" i="2"/>
  <c r="D22" i="2"/>
  <c r="D23" i="2" s="1"/>
  <c r="D26" i="1"/>
  <c r="D25" i="1"/>
  <c r="C25" i="1"/>
  <c r="C26" i="1"/>
  <c r="B25" i="1"/>
  <c r="D22" i="1"/>
  <c r="D23" i="1" s="1"/>
  <c r="C22" i="1"/>
  <c r="C23" i="1" s="1"/>
  <c r="B23" i="4" l="1"/>
  <c r="B24" i="4"/>
  <c r="B24" i="3"/>
  <c r="B22" i="1"/>
  <c r="B23" i="1" s="1"/>
  <c r="B24" i="2"/>
  <c r="C22" i="2"/>
  <c r="C23" i="2" s="1"/>
  <c r="B26" i="2"/>
  <c r="D24" i="2"/>
  <c r="D24" i="1"/>
  <c r="C24" i="1"/>
  <c r="C24" i="2" l="1"/>
  <c r="B24" i="1"/>
</calcChain>
</file>

<file path=xl/sharedStrings.xml><?xml version="1.0" encoding="utf-8"?>
<sst xmlns="http://schemas.openxmlformats.org/spreadsheetml/2006/main" count="44" uniqueCount="11">
  <si>
    <t>Review I</t>
  </si>
  <si>
    <t>Review II</t>
  </si>
  <si>
    <t>Review III</t>
  </si>
  <si>
    <t xml:space="preserve">Identified arrticles </t>
  </si>
  <si>
    <t>True positives plus true negatives</t>
  </si>
  <si>
    <t>Mean (classiefeid correctly)</t>
  </si>
  <si>
    <t xml:space="preserve">Percentage of mean (classified correctly </t>
  </si>
  <si>
    <t xml:space="preserve">Avarage remaining articles to be screend by a 2. reviewer </t>
  </si>
  <si>
    <t xml:space="preserve">after preprocessing </t>
  </si>
  <si>
    <t xml:space="preserve">Correctly classified Percentage of min </t>
  </si>
  <si>
    <t>Correctly classified Percentage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</si>
</sst>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6"/>
      <name val="Aptos Narrow"/>
      <scheme val="minor"/>
    </font>
    <font>
      <b/>
      <sz val="12"/>
      <color theme="6" tint="-0.249977111117893"/>
      <name val="Aptos Narrow"/>
      <scheme val="minor"/>
    </font>
    <font>
      <b/>
      <sz val="12"/>
      <color rgb="FFC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190500</xdr:rowOff>
    </xdr:from>
    <xdr:to>
      <xdr:col>17</xdr:col>
      <xdr:colOff>317500</xdr:colOff>
      <xdr:row>66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815EC-5E87-AED5-6E25-3B1DC6DE6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66929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393700</xdr:colOff>
      <xdr:row>27</xdr:row>
      <xdr:rowOff>165100</xdr:rowOff>
    </xdr:from>
    <xdr:to>
      <xdr:col>7</xdr:col>
      <xdr:colOff>152400</xdr:colOff>
      <xdr:row>58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452F35-9251-2932-AFC2-C23CDC944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52451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17</xdr:col>
      <xdr:colOff>317500</xdr:colOff>
      <xdr:row>30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476150-13B8-1DCA-47A4-3AF235664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2032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0</xdr:rowOff>
    </xdr:from>
    <xdr:to>
      <xdr:col>18</xdr:col>
      <xdr:colOff>317500</xdr:colOff>
      <xdr:row>61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11852C-2DE7-BB9B-2FB8-124F8C4A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3700" y="71882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596900</xdr:colOff>
      <xdr:row>30</xdr:row>
      <xdr:rowOff>127000</xdr:rowOff>
    </xdr:from>
    <xdr:to>
      <xdr:col>7</xdr:col>
      <xdr:colOff>711200</xdr:colOff>
      <xdr:row>61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C5DDC1-F03B-6479-88EA-79D697C5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73152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14</xdr:col>
      <xdr:colOff>317500</xdr:colOff>
      <xdr:row>26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5574CB-BFD5-1806-07F6-D787C54A8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032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190500</xdr:rowOff>
    </xdr:from>
    <xdr:to>
      <xdr:col>17</xdr:col>
      <xdr:colOff>317500</xdr:colOff>
      <xdr:row>66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82989-F14A-C648-86F6-7BEA95651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73279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393700</xdr:colOff>
      <xdr:row>27</xdr:row>
      <xdr:rowOff>165100</xdr:rowOff>
    </xdr:from>
    <xdr:to>
      <xdr:col>7</xdr:col>
      <xdr:colOff>152400</xdr:colOff>
      <xdr:row>58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EE6BD-C681-2941-A049-5E89773B4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588010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17</xdr:col>
      <xdr:colOff>317500</xdr:colOff>
      <xdr:row>31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7D21B-6E86-D64F-8805-A3842F7C5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0"/>
          <a:ext cx="7747000" cy="631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E6B-5A11-1245-8AFA-F3F2A827B878}">
  <dimension ref="A1:D26"/>
  <sheetViews>
    <sheetView zoomScale="119" workbookViewId="0">
      <selection activeCell="F9" sqref="F9"/>
    </sheetView>
  </sheetViews>
  <sheetFormatPr baseColWidth="10" defaultRowHeight="16" x14ac:dyDescent="0.2"/>
  <cols>
    <col min="1" max="1" width="35.83203125" style="1" customWidth="1"/>
    <col min="2" max="2" width="13.83203125" customWidth="1"/>
    <col min="3" max="3" width="11.6640625" bestFit="1" customWidth="1"/>
    <col min="4" max="4" width="11" bestFit="1" customWidth="1"/>
  </cols>
  <sheetData>
    <row r="1" spans="1:4" s="1" customFormat="1" x14ac:dyDescent="0.2">
      <c r="B1" s="1" t="s">
        <v>0</v>
      </c>
      <c r="C1" s="1" t="s">
        <v>1</v>
      </c>
      <c r="D1" s="1" t="s">
        <v>2</v>
      </c>
    </row>
    <row r="2" spans="1:4" x14ac:dyDescent="0.2">
      <c r="A2" s="9" t="s">
        <v>3</v>
      </c>
      <c r="B2">
        <v>4662</v>
      </c>
      <c r="C2">
        <v>1741</v>
      </c>
      <c r="D2">
        <v>66</v>
      </c>
    </row>
    <row r="3" spans="1:4" x14ac:dyDescent="0.2">
      <c r="A3" s="9" t="s">
        <v>8</v>
      </c>
      <c r="B3">
        <v>4501</v>
      </c>
      <c r="C3">
        <v>1650</v>
      </c>
      <c r="D3">
        <v>66</v>
      </c>
    </row>
    <row r="4" spans="1:4" x14ac:dyDescent="0.2">
      <c r="A4" s="15" t="s">
        <v>4</v>
      </c>
      <c r="B4">
        <f>4320+7</f>
        <v>4327</v>
      </c>
      <c r="C4">
        <v>1547</v>
      </c>
      <c r="D4">
        <v>23</v>
      </c>
    </row>
    <row r="5" spans="1:4" x14ac:dyDescent="0.2">
      <c r="A5" s="15"/>
      <c r="B5">
        <f>4131+39</f>
        <v>4170</v>
      </c>
      <c r="C5">
        <v>1543</v>
      </c>
      <c r="D5">
        <v>24</v>
      </c>
    </row>
    <row r="6" spans="1:4" x14ac:dyDescent="0.2">
      <c r="A6" s="15"/>
      <c r="B6" s="2">
        <f>4323+6</f>
        <v>4329</v>
      </c>
      <c r="C6">
        <v>1544</v>
      </c>
      <c r="D6">
        <v>34</v>
      </c>
    </row>
    <row r="7" spans="1:4" x14ac:dyDescent="0.2">
      <c r="A7" s="15"/>
      <c r="B7">
        <f>4324+0</f>
        <v>4324</v>
      </c>
      <c r="C7">
        <v>1451</v>
      </c>
      <c r="D7">
        <v>29</v>
      </c>
    </row>
    <row r="8" spans="1:4" x14ac:dyDescent="0.2">
      <c r="A8" s="15"/>
      <c r="B8">
        <f>4112+38</f>
        <v>4150</v>
      </c>
      <c r="C8">
        <v>1542</v>
      </c>
      <c r="D8">
        <v>26</v>
      </c>
    </row>
    <row r="9" spans="1:4" x14ac:dyDescent="0.2">
      <c r="A9" s="15"/>
      <c r="B9">
        <f>4266+67</f>
        <v>4333</v>
      </c>
      <c r="C9">
        <v>1557</v>
      </c>
      <c r="D9">
        <v>23</v>
      </c>
    </row>
    <row r="10" spans="1:4" x14ac:dyDescent="0.2">
      <c r="A10" s="15"/>
      <c r="B10">
        <f>4307+26</f>
        <v>4333</v>
      </c>
      <c r="C10">
        <v>1565</v>
      </c>
      <c r="D10">
        <v>26</v>
      </c>
    </row>
    <row r="11" spans="1:4" x14ac:dyDescent="0.2">
      <c r="A11" s="15"/>
      <c r="B11">
        <f>4242+47</f>
        <v>4289</v>
      </c>
      <c r="C11">
        <v>1561</v>
      </c>
      <c r="D11" s="4">
        <v>22</v>
      </c>
    </row>
    <row r="12" spans="1:4" x14ac:dyDescent="0.2">
      <c r="A12" s="15"/>
      <c r="B12">
        <f>4308+10</f>
        <v>4318</v>
      </c>
      <c r="C12">
        <v>1554</v>
      </c>
      <c r="D12">
        <v>23</v>
      </c>
    </row>
    <row r="13" spans="1:4" x14ac:dyDescent="0.2">
      <c r="A13" s="15"/>
      <c r="B13" s="4">
        <f>4048+82</f>
        <v>4130</v>
      </c>
      <c r="C13">
        <v>1548</v>
      </c>
      <c r="D13">
        <v>24</v>
      </c>
    </row>
    <row r="14" spans="1:4" x14ac:dyDescent="0.2">
      <c r="A14" s="15"/>
      <c r="B14">
        <f>4327+0</f>
        <v>4327</v>
      </c>
      <c r="C14">
        <v>1542</v>
      </c>
      <c r="D14">
        <v>27</v>
      </c>
    </row>
    <row r="15" spans="1:4" x14ac:dyDescent="0.2">
      <c r="A15" s="15"/>
      <c r="B15">
        <f>4326+1</f>
        <v>4327</v>
      </c>
      <c r="C15">
        <v>1567</v>
      </c>
      <c r="D15">
        <v>25</v>
      </c>
    </row>
    <row r="16" spans="1:4" x14ac:dyDescent="0.2">
      <c r="A16" s="15"/>
      <c r="B16">
        <f>4303+7</f>
        <v>4310</v>
      </c>
      <c r="C16">
        <v>1551</v>
      </c>
      <c r="D16">
        <v>26</v>
      </c>
    </row>
    <row r="17" spans="1:4" x14ac:dyDescent="0.2">
      <c r="A17" s="15"/>
      <c r="B17">
        <f>4326+0</f>
        <v>4326</v>
      </c>
      <c r="C17">
        <v>1551</v>
      </c>
      <c r="D17">
        <v>23</v>
      </c>
    </row>
    <row r="18" spans="1:4" x14ac:dyDescent="0.2">
      <c r="A18" s="15"/>
      <c r="B18" s="2">
        <f>4329+0</f>
        <v>4329</v>
      </c>
      <c r="C18" s="4">
        <v>1449</v>
      </c>
      <c r="D18" s="3">
        <v>37</v>
      </c>
    </row>
    <row r="19" spans="1:4" x14ac:dyDescent="0.2">
      <c r="A19" s="15"/>
      <c r="B19" s="2">
        <f>4329+0</f>
        <v>4329</v>
      </c>
      <c r="C19">
        <v>1500</v>
      </c>
      <c r="D19" s="3">
        <v>37</v>
      </c>
    </row>
    <row r="20" spans="1:4" x14ac:dyDescent="0.2">
      <c r="A20" s="15"/>
      <c r="B20">
        <f>4288+21</f>
        <v>4309</v>
      </c>
      <c r="C20">
        <v>1558</v>
      </c>
      <c r="D20">
        <v>24</v>
      </c>
    </row>
    <row r="21" spans="1:4" x14ac:dyDescent="0.2">
      <c r="A21" s="15"/>
      <c r="B21">
        <f>4329+0</f>
        <v>4329</v>
      </c>
      <c r="C21" s="2">
        <v>1574</v>
      </c>
      <c r="D21">
        <v>24</v>
      </c>
    </row>
    <row r="22" spans="1:4" x14ac:dyDescent="0.2">
      <c r="A22" s="11" t="s">
        <v>5</v>
      </c>
      <c r="B22" s="7">
        <f>SUM(B4:B21)/18</f>
        <v>4293.833333333333</v>
      </c>
      <c r="C22" s="7">
        <f>SUM(C4:C21)/18</f>
        <v>1539.1111111111111</v>
      </c>
      <c r="D22" s="7">
        <f>SUM(D4:D21)/18</f>
        <v>26.5</v>
      </c>
    </row>
    <row r="23" spans="1:4" x14ac:dyDescent="0.2">
      <c r="A23" s="10" t="s">
        <v>6</v>
      </c>
      <c r="B23" s="7">
        <f>100/B2*B22</f>
        <v>92.102817102817099</v>
      </c>
      <c r="C23" s="7">
        <f t="shared" ref="C23:D23" si="0">100/C2*C22</f>
        <v>88.403854745037975</v>
      </c>
      <c r="D23" s="7">
        <f t="shared" si="0"/>
        <v>40.151515151515149</v>
      </c>
    </row>
    <row r="24" spans="1:4" ht="34" x14ac:dyDescent="0.2">
      <c r="A24" s="14" t="s">
        <v>7</v>
      </c>
      <c r="B24" s="7">
        <f>B2-B22</f>
        <v>368.16666666666697</v>
      </c>
      <c r="C24" s="7">
        <f t="shared" ref="C24:D24" si="1">C2-C22</f>
        <v>201.88888888888891</v>
      </c>
      <c r="D24" s="7">
        <f t="shared" si="1"/>
        <v>39.5</v>
      </c>
    </row>
    <row r="25" spans="1:4" x14ac:dyDescent="0.2">
      <c r="A25" s="12" t="s">
        <v>9</v>
      </c>
      <c r="B25" s="6">
        <f>100/B2*B13</f>
        <v>88.588588588588593</v>
      </c>
      <c r="C25" s="6">
        <f>100/C2*C18</f>
        <v>83.228029867892019</v>
      </c>
      <c r="D25" s="6">
        <f>100/D2*D11</f>
        <v>33.333333333333336</v>
      </c>
    </row>
    <row r="26" spans="1:4" x14ac:dyDescent="0.2">
      <c r="A26" s="13" t="s">
        <v>10</v>
      </c>
      <c r="B26" s="5">
        <f>100/B2*B18</f>
        <v>92.857142857142861</v>
      </c>
      <c r="C26" s="5">
        <f>100/C2*C21</f>
        <v>90.407811602527289</v>
      </c>
      <c r="D26" s="5">
        <f>100/D2*D18</f>
        <v>56.060606060606062</v>
      </c>
    </row>
  </sheetData>
  <mergeCells count="1">
    <mergeCell ref="A4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FF33-1449-7C47-AFD4-52161963B66B}">
  <dimension ref="A1:D26"/>
  <sheetViews>
    <sheetView zoomScale="92" workbookViewId="0">
      <selection activeCell="B23" sqref="B23"/>
    </sheetView>
  </sheetViews>
  <sheetFormatPr baseColWidth="10" defaultRowHeight="16" x14ac:dyDescent="0.2"/>
  <cols>
    <col min="1" max="1" width="35.1640625" customWidth="1"/>
  </cols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s="9" t="s">
        <v>3</v>
      </c>
      <c r="B2" s="8">
        <v>4662</v>
      </c>
      <c r="C2" s="8">
        <v>1741</v>
      </c>
      <c r="D2" s="8">
        <v>66</v>
      </c>
    </row>
    <row r="3" spans="1:4" x14ac:dyDescent="0.2">
      <c r="A3" s="9" t="s">
        <v>8</v>
      </c>
      <c r="B3" s="8">
        <v>4501</v>
      </c>
      <c r="C3" s="8">
        <v>1650</v>
      </c>
      <c r="D3" s="8">
        <v>66</v>
      </c>
    </row>
    <row r="4" spans="1:4" x14ac:dyDescent="0.2">
      <c r="A4" s="15" t="s">
        <v>4</v>
      </c>
      <c r="B4" s="3">
        <f>3721+127</f>
        <v>3848</v>
      </c>
      <c r="C4" s="8">
        <f>1352+92</f>
        <v>1444</v>
      </c>
      <c r="D4" s="8">
        <v>42</v>
      </c>
    </row>
    <row r="5" spans="1:4" x14ac:dyDescent="0.2">
      <c r="A5" s="15"/>
      <c r="B5" s="8">
        <f>3398+158</f>
        <v>3556</v>
      </c>
      <c r="C5" s="8">
        <f>1392+100</f>
        <v>1492</v>
      </c>
      <c r="D5" s="8">
        <v>38</v>
      </c>
    </row>
    <row r="6" spans="1:4" x14ac:dyDescent="0.2">
      <c r="A6" s="15"/>
      <c r="B6" s="8">
        <f>3462+155</f>
        <v>3617</v>
      </c>
      <c r="C6" s="8">
        <f>1401+95</f>
        <v>1496</v>
      </c>
      <c r="D6" s="8">
        <v>42</v>
      </c>
    </row>
    <row r="7" spans="1:4" x14ac:dyDescent="0.2">
      <c r="A7" s="15"/>
      <c r="B7" s="4">
        <f>2471+151</f>
        <v>2622</v>
      </c>
      <c r="C7" s="8">
        <f>1351+95</f>
        <v>1446</v>
      </c>
      <c r="D7" s="8">
        <v>34</v>
      </c>
    </row>
    <row r="8" spans="1:4" x14ac:dyDescent="0.2">
      <c r="A8" s="15"/>
      <c r="B8" s="8">
        <f>3390+139</f>
        <v>3529</v>
      </c>
      <c r="C8" s="8">
        <f>1418+96</f>
        <v>1514</v>
      </c>
      <c r="D8" s="8">
        <v>46</v>
      </c>
    </row>
    <row r="9" spans="1:4" x14ac:dyDescent="0.2">
      <c r="A9" s="15"/>
      <c r="B9" s="8">
        <f>3528+149</f>
        <v>3677</v>
      </c>
      <c r="C9" s="8">
        <f>1432+87</f>
        <v>1519</v>
      </c>
      <c r="D9" s="8">
        <v>48</v>
      </c>
    </row>
    <row r="10" spans="1:4" x14ac:dyDescent="0.2">
      <c r="A10" s="15"/>
      <c r="B10" s="8">
        <f>3446+146</f>
        <v>3592</v>
      </c>
      <c r="C10" s="8">
        <f>1454+93</f>
        <v>1547</v>
      </c>
      <c r="D10" s="8">
        <v>47</v>
      </c>
    </row>
    <row r="11" spans="1:4" x14ac:dyDescent="0.2">
      <c r="A11" s="15"/>
      <c r="B11" s="8">
        <f>3442+150</f>
        <v>3592</v>
      </c>
      <c r="C11" s="8">
        <f>1446+91</f>
        <v>1537</v>
      </c>
      <c r="D11" s="8">
        <v>46</v>
      </c>
    </row>
    <row r="12" spans="1:4" x14ac:dyDescent="0.2">
      <c r="A12" s="15"/>
      <c r="B12" s="8">
        <f>3454+147</f>
        <v>3601</v>
      </c>
      <c r="C12" s="8">
        <f>1464+88</f>
        <v>1552</v>
      </c>
      <c r="D12" s="3">
        <v>51</v>
      </c>
    </row>
    <row r="13" spans="1:4" x14ac:dyDescent="0.2">
      <c r="A13" s="15"/>
      <c r="B13" s="8">
        <f>3540+127</f>
        <v>3667</v>
      </c>
      <c r="C13" s="8">
        <f>1445+100</f>
        <v>1545</v>
      </c>
      <c r="D13" s="8">
        <v>43</v>
      </c>
    </row>
    <row r="14" spans="1:4" x14ac:dyDescent="0.2">
      <c r="A14" s="15"/>
      <c r="B14" s="8">
        <f>3039+151</f>
        <v>3190</v>
      </c>
      <c r="C14" s="3">
        <f>1498+74</f>
        <v>1572</v>
      </c>
      <c r="D14" s="8">
        <v>41</v>
      </c>
    </row>
    <row r="15" spans="1:4" x14ac:dyDescent="0.2">
      <c r="A15" s="15"/>
      <c r="B15" s="8">
        <f>2792+154</f>
        <v>2946</v>
      </c>
      <c r="C15" s="8">
        <f>1445+96</f>
        <v>1541</v>
      </c>
      <c r="D15" s="8">
        <v>34</v>
      </c>
    </row>
    <row r="16" spans="1:4" x14ac:dyDescent="0.2">
      <c r="A16" s="15"/>
      <c r="B16" s="8">
        <f>3090+157</f>
        <v>3247</v>
      </c>
      <c r="C16" s="8">
        <f>1441+97</f>
        <v>1538</v>
      </c>
      <c r="D16" s="4">
        <v>32</v>
      </c>
    </row>
    <row r="17" spans="1:4" x14ac:dyDescent="0.2">
      <c r="A17" s="15"/>
      <c r="B17" s="8">
        <f>3456+141</f>
        <v>3597</v>
      </c>
      <c r="C17" s="8">
        <f>1439+101</f>
        <v>1540</v>
      </c>
      <c r="D17" s="8">
        <v>46</v>
      </c>
    </row>
    <row r="18" spans="1:4" x14ac:dyDescent="0.2">
      <c r="A18" s="15"/>
      <c r="B18" s="8">
        <f>3364+149</f>
        <v>3513</v>
      </c>
      <c r="C18" s="4">
        <f>1341+98</f>
        <v>1439</v>
      </c>
      <c r="D18" s="8">
        <v>44</v>
      </c>
    </row>
    <row r="19" spans="1:4" x14ac:dyDescent="0.2">
      <c r="A19" s="15"/>
      <c r="B19" s="8">
        <f>3291+141</f>
        <v>3432</v>
      </c>
      <c r="C19" s="8">
        <f>1377+98</f>
        <v>1475</v>
      </c>
      <c r="D19" s="8">
        <v>41</v>
      </c>
    </row>
    <row r="20" spans="1:4" x14ac:dyDescent="0.2">
      <c r="A20" s="15"/>
      <c r="B20" s="8">
        <f>3501+152</f>
        <v>3653</v>
      </c>
      <c r="C20" s="8">
        <f>1444+96</f>
        <v>1540</v>
      </c>
      <c r="D20" s="8">
        <v>42</v>
      </c>
    </row>
    <row r="21" spans="1:4" x14ac:dyDescent="0.2">
      <c r="A21" s="15"/>
      <c r="B21" s="8">
        <f>3250+153</f>
        <v>3403</v>
      </c>
      <c r="C21" s="8">
        <f>1399+78</f>
        <v>1477</v>
      </c>
      <c r="D21" s="8">
        <v>50</v>
      </c>
    </row>
    <row r="22" spans="1:4" x14ac:dyDescent="0.2">
      <c r="A22" s="11" t="s">
        <v>5</v>
      </c>
      <c r="B22" s="7">
        <f>SUM(B4:B21)/18</f>
        <v>3460.1111111111113</v>
      </c>
      <c r="C22" s="7">
        <f>SUM(C4:C21)/18</f>
        <v>1511.8888888888889</v>
      </c>
      <c r="D22" s="7">
        <f>SUM(D4:D21)/18</f>
        <v>42.611111111111114</v>
      </c>
    </row>
    <row r="23" spans="1:4" x14ac:dyDescent="0.2">
      <c r="A23" s="10" t="s">
        <v>6</v>
      </c>
      <c r="B23" s="7">
        <f>100/B2*B22</f>
        <v>74.219457552790885</v>
      </c>
      <c r="C23" s="7">
        <f t="shared" ref="C23:D23" si="0">100/C2*C22</f>
        <v>86.840257833939631</v>
      </c>
      <c r="D23" s="7">
        <f t="shared" si="0"/>
        <v>64.562289562289564</v>
      </c>
    </row>
    <row r="24" spans="1:4" ht="102" x14ac:dyDescent="0.2">
      <c r="A24" s="14" t="s">
        <v>7</v>
      </c>
      <c r="B24" s="7">
        <f>B2-B22</f>
        <v>1201.8888888888887</v>
      </c>
      <c r="C24" s="7">
        <f t="shared" ref="C24:D24" si="1">C2-C22</f>
        <v>229.11111111111109</v>
      </c>
      <c r="D24" s="7">
        <f t="shared" si="1"/>
        <v>23.388888888888886</v>
      </c>
    </row>
    <row r="25" spans="1:4" x14ac:dyDescent="0.2">
      <c r="A25" s="12" t="s">
        <v>9</v>
      </c>
      <c r="B25" s="6">
        <f>100/B2*B7</f>
        <v>56.241956241956245</v>
      </c>
      <c r="C25" s="6">
        <f>100/C2*C18</f>
        <v>82.653647329121199</v>
      </c>
      <c r="D25" s="6">
        <f>100/D2*D16</f>
        <v>48.484848484848484</v>
      </c>
    </row>
    <row r="26" spans="1:4" x14ac:dyDescent="0.2">
      <c r="A26" s="13" t="s">
        <v>10</v>
      </c>
      <c r="B26" s="5">
        <f>100/B2*B4</f>
        <v>82.539682539682545</v>
      </c>
      <c r="C26" s="5">
        <f>100/C2*C14</f>
        <v>90.292935094773114</v>
      </c>
      <c r="D26" s="5">
        <f>100/D2*D12</f>
        <v>77.272727272727266</v>
      </c>
    </row>
  </sheetData>
  <mergeCells count="1">
    <mergeCell ref="A4:A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0E0E-EC55-5F45-8F74-756E73907700}">
  <dimension ref="A1:D26"/>
  <sheetViews>
    <sheetView tabSelected="1" workbookViewId="0">
      <selection activeCell="B4" sqref="B4:B21"/>
    </sheetView>
  </sheetViews>
  <sheetFormatPr baseColWidth="10" defaultRowHeight="16" x14ac:dyDescent="0.2"/>
  <cols>
    <col min="1" max="1" width="35.83203125" style="1" customWidth="1"/>
    <col min="2" max="2" width="13.83203125" customWidth="1"/>
    <col min="3" max="3" width="11.6640625" bestFit="1" customWidth="1"/>
    <col min="4" max="4" width="11" bestFit="1" customWidth="1"/>
  </cols>
  <sheetData>
    <row r="1" spans="1:4" s="1" customFormat="1" x14ac:dyDescent="0.2">
      <c r="B1" s="1" t="s">
        <v>0</v>
      </c>
      <c r="C1" s="1" t="s">
        <v>1</v>
      </c>
      <c r="D1" s="1" t="s">
        <v>2</v>
      </c>
    </row>
    <row r="2" spans="1:4" x14ac:dyDescent="0.2">
      <c r="A2" s="9" t="s">
        <v>3</v>
      </c>
      <c r="B2">
        <v>4662</v>
      </c>
      <c r="C2">
        <v>1741</v>
      </c>
      <c r="D2">
        <v>66</v>
      </c>
    </row>
    <row r="3" spans="1:4" x14ac:dyDescent="0.2">
      <c r="A3" s="9" t="s">
        <v>8</v>
      </c>
      <c r="B3">
        <v>4501</v>
      </c>
      <c r="C3">
        <v>1650</v>
      </c>
      <c r="D3">
        <v>66</v>
      </c>
    </row>
    <row r="4" spans="1:4" x14ac:dyDescent="0.2">
      <c r="A4" s="15" t="s">
        <v>4</v>
      </c>
      <c r="B4">
        <f>4320+7</f>
        <v>4327</v>
      </c>
      <c r="C4">
        <v>1547</v>
      </c>
      <c r="D4">
        <v>23</v>
      </c>
    </row>
    <row r="5" spans="1:4" x14ac:dyDescent="0.2">
      <c r="A5" s="15"/>
      <c r="B5">
        <f>4131+39</f>
        <v>4170</v>
      </c>
      <c r="C5">
        <v>1543</v>
      </c>
      <c r="D5">
        <v>24</v>
      </c>
    </row>
    <row r="6" spans="1:4" x14ac:dyDescent="0.2">
      <c r="A6" s="15"/>
      <c r="B6" s="2">
        <f>4323+6</f>
        <v>4329</v>
      </c>
      <c r="C6">
        <v>1544</v>
      </c>
      <c r="D6">
        <v>34</v>
      </c>
    </row>
    <row r="7" spans="1:4" x14ac:dyDescent="0.2">
      <c r="A7" s="15"/>
      <c r="B7">
        <f>4324+0</f>
        <v>4324</v>
      </c>
      <c r="C7">
        <v>1451</v>
      </c>
      <c r="D7">
        <v>29</v>
      </c>
    </row>
    <row r="8" spans="1:4" x14ac:dyDescent="0.2">
      <c r="A8" s="15"/>
      <c r="B8">
        <f>4112+38</f>
        <v>4150</v>
      </c>
      <c r="C8">
        <v>1542</v>
      </c>
      <c r="D8">
        <v>26</v>
      </c>
    </row>
    <row r="9" spans="1:4" x14ac:dyDescent="0.2">
      <c r="A9" s="15"/>
      <c r="B9">
        <f>4266+67</f>
        <v>4333</v>
      </c>
      <c r="C9">
        <v>1557</v>
      </c>
      <c r="D9">
        <v>23</v>
      </c>
    </row>
    <row r="10" spans="1:4" x14ac:dyDescent="0.2">
      <c r="A10" s="15"/>
      <c r="B10">
        <f>4307+26</f>
        <v>4333</v>
      </c>
      <c r="C10">
        <v>1565</v>
      </c>
      <c r="D10">
        <v>26</v>
      </c>
    </row>
    <row r="11" spans="1:4" x14ac:dyDescent="0.2">
      <c r="A11" s="15"/>
      <c r="B11">
        <f>4242+47</f>
        <v>4289</v>
      </c>
      <c r="C11">
        <v>1561</v>
      </c>
      <c r="D11" s="4">
        <v>22</v>
      </c>
    </row>
    <row r="12" spans="1:4" x14ac:dyDescent="0.2">
      <c r="A12" s="15"/>
      <c r="B12">
        <f>4308+10</f>
        <v>4318</v>
      </c>
      <c r="C12">
        <v>1554</v>
      </c>
      <c r="D12">
        <v>23</v>
      </c>
    </row>
    <row r="13" spans="1:4" x14ac:dyDescent="0.2">
      <c r="A13" s="15"/>
      <c r="B13" s="4">
        <f>4048+82</f>
        <v>4130</v>
      </c>
      <c r="C13">
        <v>1548</v>
      </c>
      <c r="D13">
        <v>24</v>
      </c>
    </row>
    <row r="14" spans="1:4" x14ac:dyDescent="0.2">
      <c r="A14" s="15"/>
      <c r="B14">
        <f>4327+0</f>
        <v>4327</v>
      </c>
      <c r="C14">
        <v>1542</v>
      </c>
      <c r="D14">
        <v>27</v>
      </c>
    </row>
    <row r="15" spans="1:4" x14ac:dyDescent="0.2">
      <c r="A15" s="15"/>
      <c r="B15">
        <f>4326+1</f>
        <v>4327</v>
      </c>
      <c r="C15">
        <v>1567</v>
      </c>
      <c r="D15">
        <v>25</v>
      </c>
    </row>
    <row r="16" spans="1:4" x14ac:dyDescent="0.2">
      <c r="A16" s="15"/>
      <c r="B16">
        <f>4303+7</f>
        <v>4310</v>
      </c>
      <c r="C16">
        <v>1551</v>
      </c>
      <c r="D16">
        <v>26</v>
      </c>
    </row>
    <row r="17" spans="1:4" x14ac:dyDescent="0.2">
      <c r="A17" s="15"/>
      <c r="B17">
        <f>4326+0</f>
        <v>4326</v>
      </c>
      <c r="C17">
        <v>1551</v>
      </c>
      <c r="D17">
        <v>23</v>
      </c>
    </row>
    <row r="18" spans="1:4" x14ac:dyDescent="0.2">
      <c r="A18" s="15"/>
      <c r="B18" s="2">
        <f>4329+0</f>
        <v>4329</v>
      </c>
      <c r="C18" s="4">
        <v>1449</v>
      </c>
      <c r="D18" s="3">
        <v>37</v>
      </c>
    </row>
    <row r="19" spans="1:4" x14ac:dyDescent="0.2">
      <c r="A19" s="15"/>
      <c r="B19" s="2">
        <f>4329+0</f>
        <v>4329</v>
      </c>
      <c r="C19">
        <v>1500</v>
      </c>
      <c r="D19" s="3">
        <v>37</v>
      </c>
    </row>
    <row r="20" spans="1:4" x14ac:dyDescent="0.2">
      <c r="A20" s="15"/>
      <c r="B20">
        <f>4288+21</f>
        <v>4309</v>
      </c>
      <c r="C20">
        <v>1558</v>
      </c>
      <c r="D20">
        <v>24</v>
      </c>
    </row>
    <row r="21" spans="1:4" x14ac:dyDescent="0.2">
      <c r="A21" s="15"/>
      <c r="B21">
        <f>4329+0</f>
        <v>4329</v>
      </c>
      <c r="C21" s="2">
        <v>1574</v>
      </c>
      <c r="D21">
        <v>24</v>
      </c>
    </row>
    <row r="22" spans="1:4" x14ac:dyDescent="0.2">
      <c r="A22" s="11" t="s">
        <v>5</v>
      </c>
      <c r="B22" s="7">
        <f>SUM(B4:B21)/18</f>
        <v>4293.833333333333</v>
      </c>
      <c r="C22" s="7">
        <f>SUM(C4:C21)/18</f>
        <v>1539.1111111111111</v>
      </c>
      <c r="D22" s="7">
        <f>SUM(D4:D21)/18</f>
        <v>26.5</v>
      </c>
    </row>
    <row r="23" spans="1:4" x14ac:dyDescent="0.2">
      <c r="A23" s="10" t="s">
        <v>6</v>
      </c>
      <c r="B23" s="7">
        <f>100/B3*B22</f>
        <v>95.397319114270886</v>
      </c>
      <c r="C23" s="7">
        <f t="shared" ref="C23:D23" si="0">100/C3*C22</f>
        <v>93.279461279461287</v>
      </c>
      <c r="D23" s="7">
        <f t="shared" si="0"/>
        <v>40.151515151515149</v>
      </c>
    </row>
    <row r="24" spans="1:4" ht="34" x14ac:dyDescent="0.2">
      <c r="A24" s="14" t="s">
        <v>7</v>
      </c>
      <c r="B24" s="7">
        <f>B3-B22</f>
        <v>207.16666666666697</v>
      </c>
      <c r="C24" s="7">
        <f t="shared" ref="C24:D24" si="1">C3-C22</f>
        <v>110.88888888888891</v>
      </c>
      <c r="D24" s="7">
        <f t="shared" si="1"/>
        <v>39.5</v>
      </c>
    </row>
    <row r="25" spans="1:4" x14ac:dyDescent="0.2">
      <c r="A25" s="12" t="s">
        <v>9</v>
      </c>
      <c r="B25" s="6">
        <f>100/B3*B13</f>
        <v>91.757387247278373</v>
      </c>
      <c r="C25" s="6">
        <f t="shared" ref="C25:D25" si="2">100/C3*C13</f>
        <v>93.818181818181827</v>
      </c>
      <c r="D25" s="6">
        <f t="shared" si="2"/>
        <v>36.36363636363636</v>
      </c>
    </row>
    <row r="26" spans="1:4" x14ac:dyDescent="0.2">
      <c r="A26" s="13" t="s">
        <v>10</v>
      </c>
      <c r="B26" s="5">
        <f>100/B3*B18</f>
        <v>96.178626971784041</v>
      </c>
      <c r="C26" s="5">
        <f t="shared" ref="C26" si="3">100/C3*C18</f>
        <v>87.818181818181827</v>
      </c>
      <c r="D26" s="5">
        <f>100/D3*D18</f>
        <v>56.060606060606062</v>
      </c>
    </row>
  </sheetData>
  <mergeCells count="1">
    <mergeCell ref="A4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C417-5B6B-124D-BCD6-CCDD72CF04F1}">
  <dimension ref="A1:D26"/>
  <sheetViews>
    <sheetView workbookViewId="0">
      <selection activeCell="G18" sqref="G18"/>
    </sheetView>
  </sheetViews>
  <sheetFormatPr baseColWidth="10" defaultRowHeight="16" x14ac:dyDescent="0.2"/>
  <cols>
    <col min="1" max="1" width="33.1640625" customWidth="1"/>
  </cols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s="9" t="s">
        <v>3</v>
      </c>
      <c r="B2" s="8">
        <v>4662</v>
      </c>
      <c r="C2" s="8">
        <v>1741</v>
      </c>
      <c r="D2" s="8">
        <v>66</v>
      </c>
    </row>
    <row r="3" spans="1:4" x14ac:dyDescent="0.2">
      <c r="A3" s="9" t="s">
        <v>8</v>
      </c>
      <c r="B3" s="8">
        <v>4501</v>
      </c>
      <c r="C3" s="8">
        <v>1650</v>
      </c>
      <c r="D3" s="8">
        <v>66</v>
      </c>
    </row>
    <row r="4" spans="1:4" x14ac:dyDescent="0.2">
      <c r="A4" s="15" t="s">
        <v>4</v>
      </c>
      <c r="B4" s="3">
        <f>3721+127</f>
        <v>3848</v>
      </c>
      <c r="C4" s="8">
        <f>1352+92</f>
        <v>1444</v>
      </c>
      <c r="D4" s="8">
        <v>42</v>
      </c>
    </row>
    <row r="5" spans="1:4" x14ac:dyDescent="0.2">
      <c r="A5" s="15"/>
      <c r="B5" s="8">
        <f>3398+158</f>
        <v>3556</v>
      </c>
      <c r="C5" s="8">
        <f>1392+100</f>
        <v>1492</v>
      </c>
      <c r="D5" s="8">
        <v>38</v>
      </c>
    </row>
    <row r="6" spans="1:4" x14ac:dyDescent="0.2">
      <c r="A6" s="15"/>
      <c r="B6" s="8">
        <f>3462+155</f>
        <v>3617</v>
      </c>
      <c r="C6" s="8">
        <f>1401+95</f>
        <v>1496</v>
      </c>
      <c r="D6" s="8">
        <v>42</v>
      </c>
    </row>
    <row r="7" spans="1:4" x14ac:dyDescent="0.2">
      <c r="A7" s="15"/>
      <c r="B7" s="4">
        <f>2471+151</f>
        <v>2622</v>
      </c>
      <c r="C7" s="8">
        <f>1351+95</f>
        <v>1446</v>
      </c>
      <c r="D7" s="8">
        <v>34</v>
      </c>
    </row>
    <row r="8" spans="1:4" x14ac:dyDescent="0.2">
      <c r="A8" s="15"/>
      <c r="B8" s="8">
        <f>3390+139</f>
        <v>3529</v>
      </c>
      <c r="C8" s="8">
        <f>1418+96</f>
        <v>1514</v>
      </c>
      <c r="D8" s="8">
        <v>46</v>
      </c>
    </row>
    <row r="9" spans="1:4" x14ac:dyDescent="0.2">
      <c r="A9" s="15"/>
      <c r="B9" s="8">
        <f>3528+149</f>
        <v>3677</v>
      </c>
      <c r="C9" s="8">
        <f>1432+87</f>
        <v>1519</v>
      </c>
      <c r="D9" s="8">
        <v>48</v>
      </c>
    </row>
    <row r="10" spans="1:4" x14ac:dyDescent="0.2">
      <c r="A10" s="15"/>
      <c r="B10" s="8">
        <f>3446+146</f>
        <v>3592</v>
      </c>
      <c r="C10" s="8">
        <f>1454+93</f>
        <v>1547</v>
      </c>
      <c r="D10" s="8">
        <v>47</v>
      </c>
    </row>
    <row r="11" spans="1:4" x14ac:dyDescent="0.2">
      <c r="A11" s="15"/>
      <c r="B11" s="8">
        <f>3442+150</f>
        <v>3592</v>
      </c>
      <c r="C11" s="8">
        <f>1446+91</f>
        <v>1537</v>
      </c>
      <c r="D11" s="8">
        <v>46</v>
      </c>
    </row>
    <row r="12" spans="1:4" x14ac:dyDescent="0.2">
      <c r="A12" s="15"/>
      <c r="B12" s="8">
        <f>3454+147</f>
        <v>3601</v>
      </c>
      <c r="C12" s="8">
        <f>1464+88</f>
        <v>1552</v>
      </c>
      <c r="D12" s="3">
        <v>51</v>
      </c>
    </row>
    <row r="13" spans="1:4" x14ac:dyDescent="0.2">
      <c r="A13" s="15"/>
      <c r="B13" s="8">
        <f>3540+127</f>
        <v>3667</v>
      </c>
      <c r="C13" s="8">
        <f>1445+100</f>
        <v>1545</v>
      </c>
      <c r="D13" s="8">
        <v>43</v>
      </c>
    </row>
    <row r="14" spans="1:4" x14ac:dyDescent="0.2">
      <c r="A14" s="15"/>
      <c r="B14" s="8">
        <f>3039+151</f>
        <v>3190</v>
      </c>
      <c r="C14" s="3">
        <f>1498+74</f>
        <v>1572</v>
      </c>
      <c r="D14" s="8">
        <v>41</v>
      </c>
    </row>
    <row r="15" spans="1:4" x14ac:dyDescent="0.2">
      <c r="A15" s="15"/>
      <c r="B15" s="8">
        <f>2792+154</f>
        <v>2946</v>
      </c>
      <c r="C15" s="8">
        <f>1445+96</f>
        <v>1541</v>
      </c>
      <c r="D15" s="8">
        <v>34</v>
      </c>
    </row>
    <row r="16" spans="1:4" x14ac:dyDescent="0.2">
      <c r="A16" s="15"/>
      <c r="B16" s="8">
        <f>3090+157</f>
        <v>3247</v>
      </c>
      <c r="C16" s="8">
        <f>1441+97</f>
        <v>1538</v>
      </c>
      <c r="D16" s="4">
        <v>32</v>
      </c>
    </row>
    <row r="17" spans="1:4" x14ac:dyDescent="0.2">
      <c r="A17" s="15"/>
      <c r="B17" s="8">
        <f>3456+141</f>
        <v>3597</v>
      </c>
      <c r="C17" s="8">
        <f>1439+101</f>
        <v>1540</v>
      </c>
      <c r="D17" s="8">
        <v>46</v>
      </c>
    </row>
    <row r="18" spans="1:4" x14ac:dyDescent="0.2">
      <c r="A18" s="15"/>
      <c r="B18" s="8">
        <f>3364+149</f>
        <v>3513</v>
      </c>
      <c r="C18" s="4">
        <f>1341+98</f>
        <v>1439</v>
      </c>
      <c r="D18" s="8">
        <v>44</v>
      </c>
    </row>
    <row r="19" spans="1:4" x14ac:dyDescent="0.2">
      <c r="A19" s="15"/>
      <c r="B19" s="8">
        <f>3291+141</f>
        <v>3432</v>
      </c>
      <c r="C19" s="8">
        <f>1377+98</f>
        <v>1475</v>
      </c>
      <c r="D19" s="8">
        <v>41</v>
      </c>
    </row>
    <row r="20" spans="1:4" x14ac:dyDescent="0.2">
      <c r="A20" s="15"/>
      <c r="B20" s="8">
        <f>3501+152</f>
        <v>3653</v>
      </c>
      <c r="C20" s="8">
        <f>1444+96</f>
        <v>1540</v>
      </c>
      <c r="D20" s="8">
        <v>42</v>
      </c>
    </row>
    <row r="21" spans="1:4" x14ac:dyDescent="0.2">
      <c r="A21" s="15"/>
      <c r="B21" s="8">
        <f>3250+153</f>
        <v>3403</v>
      </c>
      <c r="C21" s="8">
        <f>1399+78</f>
        <v>1477</v>
      </c>
      <c r="D21" s="8">
        <v>50</v>
      </c>
    </row>
    <row r="22" spans="1:4" x14ac:dyDescent="0.2">
      <c r="A22" s="11" t="s">
        <v>5</v>
      </c>
      <c r="B22" s="7">
        <f>SUM(B4:B21)/18</f>
        <v>3460.1111111111113</v>
      </c>
      <c r="C22" s="7">
        <f>SUM(C4:C21)/18</f>
        <v>1511.8888888888889</v>
      </c>
      <c r="D22" s="7">
        <f>SUM(D4:D21)/18</f>
        <v>42.611111111111114</v>
      </c>
    </row>
    <row r="23" spans="1:4" x14ac:dyDescent="0.2">
      <c r="A23" s="10" t="s">
        <v>6</v>
      </c>
      <c r="B23" s="7">
        <f>100/B3*B22</f>
        <v>76.874274852501912</v>
      </c>
      <c r="C23" s="7">
        <f t="shared" ref="C23:D23" si="0">100/C3*C22</f>
        <v>91.629629629629633</v>
      </c>
      <c r="D23" s="7">
        <f t="shared" si="0"/>
        <v>64.562289562289564</v>
      </c>
    </row>
    <row r="24" spans="1:4" ht="102" x14ac:dyDescent="0.2">
      <c r="A24" s="14" t="s">
        <v>7</v>
      </c>
      <c r="B24" s="7">
        <f>B3-B22</f>
        <v>1040.8888888888887</v>
      </c>
      <c r="C24" s="7">
        <f>C3-C22</f>
        <v>138.11111111111109</v>
      </c>
      <c r="D24" s="7">
        <f t="shared" ref="D24" si="1">D3-D22</f>
        <v>23.388888888888886</v>
      </c>
    </row>
    <row r="25" spans="1:4" x14ac:dyDescent="0.2">
      <c r="A25" s="12" t="s">
        <v>9</v>
      </c>
      <c r="B25" s="6">
        <f>100/B3*B7</f>
        <v>58.253721395245499</v>
      </c>
      <c r="C25" s="6">
        <f t="shared" ref="C25:D25" si="2">100/C3*C7</f>
        <v>87.63636363636364</v>
      </c>
      <c r="D25" s="6">
        <f t="shared" si="2"/>
        <v>51.515151515151516</v>
      </c>
    </row>
    <row r="26" spans="1:4" x14ac:dyDescent="0.2">
      <c r="A26" s="13" t="s">
        <v>10</v>
      </c>
      <c r="B26" s="5">
        <f>100/B3*B4</f>
        <v>85.492112863808032</v>
      </c>
      <c r="C26" s="5">
        <f t="shared" ref="C26:D26" si="3">100/C3*C4</f>
        <v>87.515151515151516</v>
      </c>
      <c r="D26" s="5">
        <f t="shared" si="3"/>
        <v>63.636363636363633</v>
      </c>
    </row>
  </sheetData>
  <mergeCells count="1">
    <mergeCell ref="A4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Main-analysis</vt:lpstr>
      <vt:lpstr>RF - supp Analysis</vt:lpstr>
      <vt:lpstr>preproce main </vt:lpstr>
      <vt:lpstr>preprocess RF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Baumbach</dc:creator>
  <cp:lastModifiedBy>Linda Baumbach</cp:lastModifiedBy>
  <dcterms:created xsi:type="dcterms:W3CDTF">2024-11-04T15:52:07Z</dcterms:created>
  <dcterms:modified xsi:type="dcterms:W3CDTF">2024-11-07T12:38:18Z</dcterms:modified>
</cp:coreProperties>
</file>