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filterPrivacy="1"/>
  <xr:revisionPtr revIDLastSave="0" documentId="8_{546F550A-EB12-4F02-B514-1B91BC8DDCDE}" xr6:coauthVersionLast="47" xr6:coauthVersionMax="47" xr10:uidLastSave="{00000000-0000-0000-0000-000000000000}"/>
  <bookViews>
    <workbookView xWindow="28680" yWindow="-8295" windowWidth="18240" windowHeight="283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A67" i="1" s="1"/>
  <c r="A62" i="1" l="1"/>
  <c r="C53" i="1"/>
  <c r="D53" i="1" s="1"/>
  <c r="E53" i="1" s="1"/>
  <c r="C52" i="1"/>
  <c r="D52" i="1" s="1"/>
  <c r="E52" i="1" s="1"/>
  <c r="C51" i="1"/>
  <c r="D51" i="1" s="1"/>
  <c r="E51" i="1" s="1"/>
  <c r="C50" i="1"/>
  <c r="D50" i="1" s="1"/>
  <c r="E50" i="1" s="1"/>
  <c r="C49" i="1"/>
  <c r="D49" i="1" s="1"/>
  <c r="E49" i="1" s="1"/>
  <c r="C48" i="1"/>
  <c r="D48" i="1" s="1"/>
  <c r="E48" i="1" s="1"/>
  <c r="C47" i="1"/>
  <c r="D47" i="1" s="1"/>
  <c r="E47" i="1" s="1"/>
  <c r="C46" i="1"/>
  <c r="D46" i="1" s="1"/>
  <c r="E46" i="1" s="1"/>
  <c r="C45" i="1"/>
  <c r="D45" i="1" s="1"/>
  <c r="E45" i="1" s="1"/>
  <c r="C44" i="1"/>
  <c r="D44" i="1" s="1"/>
  <c r="E44" i="1" s="1"/>
  <c r="C43" i="1"/>
  <c r="D43" i="1" s="1"/>
  <c r="E43" i="1" s="1"/>
  <c r="C42" i="1"/>
  <c r="D42" i="1" s="1"/>
  <c r="E42" i="1" s="1"/>
  <c r="C41" i="1"/>
  <c r="D41" i="1" s="1"/>
  <c r="E41" i="1" s="1"/>
  <c r="C40" i="1"/>
  <c r="D40" i="1" s="1"/>
  <c r="E40" i="1" s="1"/>
  <c r="C39" i="1"/>
  <c r="D39" i="1" s="1"/>
  <c r="E39" i="1" s="1"/>
  <c r="C38" i="1"/>
  <c r="D38" i="1" s="1"/>
  <c r="E38" i="1" s="1"/>
  <c r="C37" i="1"/>
  <c r="D37" i="1" s="1"/>
  <c r="E37" i="1" s="1"/>
  <c r="C36" i="1"/>
  <c r="D36" i="1" s="1"/>
  <c r="E36" i="1" s="1"/>
  <c r="C35" i="1"/>
  <c r="D35" i="1" s="1"/>
  <c r="E35" i="1" s="1"/>
  <c r="C34" i="1"/>
  <c r="D34" i="1" s="1"/>
  <c r="E34" i="1" s="1"/>
  <c r="C33" i="1"/>
  <c r="D33" i="1" s="1"/>
  <c r="E33" i="1" s="1"/>
  <c r="C32" i="1"/>
  <c r="D32" i="1" s="1"/>
  <c r="E32" i="1" s="1"/>
  <c r="C31" i="1"/>
  <c r="D31" i="1" s="1"/>
  <c r="E31" i="1" s="1"/>
  <c r="C30" i="1"/>
  <c r="D30" i="1" s="1"/>
  <c r="E30" i="1" s="1"/>
  <c r="C29" i="1"/>
  <c r="D29" i="1" s="1"/>
  <c r="E29" i="1" s="1"/>
  <c r="C28" i="1"/>
  <c r="D28" i="1" s="1"/>
  <c r="E28" i="1" s="1"/>
  <c r="C27" i="1"/>
  <c r="D27" i="1" s="1"/>
  <c r="E27" i="1" s="1"/>
  <c r="A18" i="1"/>
  <c r="A69" i="1" s="1"/>
  <c r="A70" i="1" s="1"/>
  <c r="A16" i="1"/>
  <c r="A17" i="1" s="1"/>
  <c r="A14" i="1"/>
  <c r="A15" i="1" s="1"/>
  <c r="A68" i="1" l="1"/>
  <c r="A71" i="1" s="1"/>
  <c r="A75" i="1" s="1"/>
  <c r="A63" i="1"/>
  <c r="F51" i="1"/>
  <c r="G51" i="1"/>
  <c r="G52" i="1"/>
  <c r="F52" i="1"/>
  <c r="G37" i="1"/>
  <c r="F37" i="1"/>
  <c r="G30" i="1"/>
  <c r="F30" i="1"/>
  <c r="G50" i="1"/>
  <c r="F50" i="1"/>
  <c r="G45" i="1"/>
  <c r="F45" i="1"/>
  <c r="F27" i="1"/>
  <c r="G27" i="1"/>
  <c r="G31" i="1"/>
  <c r="F31" i="1"/>
  <c r="G32" i="1"/>
  <c r="F32" i="1"/>
  <c r="G33" i="1"/>
  <c r="F33" i="1"/>
  <c r="G53" i="1"/>
  <c r="F53" i="1"/>
  <c r="F48" i="1"/>
  <c r="G48" i="1"/>
  <c r="G44" i="1"/>
  <c r="F44" i="1"/>
  <c r="G38" i="1"/>
  <c r="F38" i="1"/>
  <c r="G39" i="1"/>
  <c r="F39" i="1"/>
  <c r="F40" i="1"/>
  <c r="G40" i="1"/>
  <c r="G46" i="1"/>
  <c r="F46" i="1"/>
  <c r="G28" i="1"/>
  <c r="F28" i="1"/>
  <c r="G34" i="1"/>
  <c r="F34" i="1"/>
  <c r="G41" i="1"/>
  <c r="F41" i="1"/>
  <c r="G47" i="1"/>
  <c r="F47" i="1"/>
  <c r="G29" i="1"/>
  <c r="F29" i="1"/>
  <c r="F35" i="1"/>
  <c r="G35" i="1"/>
  <c r="G36" i="1"/>
  <c r="F36" i="1"/>
  <c r="G42" i="1"/>
  <c r="F42" i="1"/>
  <c r="F49" i="1"/>
  <c r="G49" i="1"/>
  <c r="F43" i="1"/>
  <c r="G43" i="1"/>
  <c r="A74" i="1" l="1"/>
</calcChain>
</file>

<file path=xl/sharedStrings.xml><?xml version="1.0" encoding="utf-8"?>
<sst xmlns="http://schemas.openxmlformats.org/spreadsheetml/2006/main" count="92" uniqueCount="83">
  <si>
    <t>Part 1: obtain maximum number of sequences and block length by choosing mi, mo and l</t>
  </si>
  <si>
    <t>input value</t>
  </si>
  <si>
    <t>output value</t>
  </si>
  <si>
    <t>description</t>
  </si>
  <si>
    <t>default value</t>
  </si>
  <si>
    <t>origin</t>
  </si>
  <si>
    <t>mi</t>
  </si>
  <si>
    <t>multiple of 2</t>
  </si>
  <si>
    <t xml:space="preserve">Maximum DNA sequence length is about 200 nt. mi should be as small as possible. mi = 6 good choice, maximum data load: 189 nt per sequence. </t>
  </si>
  <si>
    <t>mo</t>
  </si>
  <si>
    <t>mo compromises statistical problems (too small), and decoder inefficiency (too large). mo = 14 allows a maximum of 16383 sequences per block</t>
  </si>
  <si>
    <t>index</t>
  </si>
  <si>
    <t>Index of 24 bits allows a maximum sequence pool of 16777216. This exceeds the number of sequences that can be synthesized with current technology</t>
  </si>
  <si>
    <t>l</t>
  </si>
  <si>
    <t>max(sequences per block * number of blocks)</t>
  </si>
  <si>
    <t>max(N)</t>
  </si>
  <si>
    <t>2^mi-1</t>
  </si>
  <si>
    <t>constraint: N &lt; 2mi - 1</t>
  </si>
  <si>
    <t>max sequence length (nt)</t>
  </si>
  <si>
    <t>max(N)*mi/2</t>
  </si>
  <si>
    <t>max(n)</t>
  </si>
  <si>
    <t>2^mo-1</t>
  </si>
  <si>
    <t>constraint: n &lt; 2mo - 1</t>
  </si>
  <si>
    <t>Part 2: choose inner code redundancy symbols to allow correction for substitution errors and erasures</t>
  </si>
  <si>
    <t>redundancy symbols inner code</t>
  </si>
  <si>
    <r>
      <t xml:space="preserve">A redundancy symbol of the inner code consists of </t>
    </r>
    <r>
      <rPr>
        <i/>
        <sz val="11"/>
        <color theme="1"/>
        <rFont val="Calibri"/>
        <family val="2"/>
        <scheme val="minor"/>
      </rPr>
      <t>mi</t>
    </r>
    <r>
      <rPr>
        <sz val="11"/>
        <color theme="1"/>
        <rFont val="Calibri"/>
        <family val="2"/>
        <scheme val="minor"/>
      </rPr>
      <t xml:space="preserve"> bits and determines the difference N-K</t>
    </r>
  </si>
  <si>
    <t>Possible sequence length for parameters chosen</t>
  </si>
  <si>
    <t>Length (nt)</t>
  </si>
  <si>
    <t>N</t>
  </si>
  <si>
    <t>K</t>
  </si>
  <si>
    <t>constraint</t>
  </si>
  <si>
    <t>nuss</t>
  </si>
  <si>
    <t>Part 3: choose size of sequence pool to be synthesized and file size to obtain outer redundancy and number of blocks</t>
  </si>
  <si>
    <t>file size (byte)</t>
  </si>
  <si>
    <t>number of sequences to be synthesized</t>
  </si>
  <si>
    <t>n</t>
  </si>
  <si>
    <t>sequence length (nt)</t>
  </si>
  <si>
    <t>chosen in part 2</t>
  </si>
  <si>
    <t>when shaded, you copied a wrong sequence length from part 2 to part 3</t>
  </si>
  <si>
    <t>file size (bit)</t>
  </si>
  <si>
    <t>k</t>
  </si>
  <si>
    <t>% outer code redundancy</t>
  </si>
  <si>
    <t>Outer code redundancy must be positive. (If red, file size too large. Reduce file size, inner code redundancy, or allow  more sequences to be synthesized)</t>
  </si>
  <si>
    <t>All sequences are split into blocks. The block size and number of blocks are chosen for optimal statistical output and high decoder efficiency</t>
  </si>
  <si>
    <t>when shaded, exceed the maximum possible number of sequences that can be synthesized with current index length</t>
  </si>
  <si>
    <t>The user is advised not to alter parameters mi and mo, as these connect inner and outer code, and are chosen such that coding parameters function optimally.</t>
  </si>
  <si>
    <t>information density</t>
  </si>
  <si>
    <t>bits per nucleotide</t>
  </si>
  <si>
    <t>2*k/n*(K-l)/N</t>
  </si>
  <si>
    <t>index / mi</t>
  </si>
  <si>
    <t>multiple of mi</t>
  </si>
  <si>
    <t>Inner Code symbol size (bit)</t>
  </si>
  <si>
    <t>Oter Code symbol size (bit)</t>
  </si>
  <si>
    <t>length of index (bit)</t>
  </si>
  <si>
    <t>number of index symbols (in mi)</t>
  </si>
  <si>
    <t>maximum number of possible sequences for index</t>
  </si>
  <si>
    <t>Maximum of nucleotides inner code</t>
  </si>
  <si>
    <t>max sequences per outer code</t>
  </si>
  <si>
    <t>N-K</t>
  </si>
  <si>
    <t>when shaded, N is greater than allowed (A16). Do not choose corresponding sequence lengths</t>
  </si>
  <si>
    <t>only green marked combinations of N and K are allowed</t>
  </si>
  <si>
    <t>(n-k)/k</t>
  </si>
  <si>
    <t>number of outer code symbols per sequence</t>
  </si>
  <si>
    <t>inner and outer code have to fit together</t>
  </si>
  <si>
    <t>bits free for original information plus outer redundancy</t>
  </si>
  <si>
    <t>Code parameters</t>
  </si>
  <si>
    <t>Code properties</t>
  </si>
  <si>
    <t>filsize * 8</t>
  </si>
  <si>
    <t>Part 2, and constraints of synthesis company</t>
  </si>
  <si>
    <t>Range of DNA synthesis copany</t>
  </si>
  <si>
    <t>file to be stored</t>
  </si>
  <si>
    <t>Total storage space minus index and inner redundancy</t>
  </si>
  <si>
    <t>Sequencelength * 2 / mi</t>
  </si>
  <si>
    <t>N minus number of inner redundancy symbols</t>
  </si>
  <si>
    <t>Ratio of sequences to be written and max code length</t>
  </si>
  <si>
    <t>Maximum code length inner code</t>
  </si>
  <si>
    <t>Code length inner code</t>
  </si>
  <si>
    <t>Message length inner code</t>
  </si>
  <si>
    <t>numblock</t>
  </si>
  <si>
    <t>Number of blocks required</t>
  </si>
  <si>
    <t>Outer code message length</t>
  </si>
  <si>
    <t>Outer code code length</t>
  </si>
  <si>
    <t>Ratio of redundancy and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</si>
</sst>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gray125">
        <bgColor rgb="FFC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0" xfId="0" applyFill="1" applyBorder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5" borderId="1" xfId="0" applyFont="1" applyFill="1" applyBorder="1"/>
    <xf numFmtId="0" fontId="6" fillId="5" borderId="5" xfId="0" applyFont="1" applyFill="1" applyBorder="1"/>
    <xf numFmtId="0" fontId="6" fillId="5" borderId="2" xfId="0" applyFont="1" applyFill="1" applyBorder="1"/>
    <xf numFmtId="0" fontId="3" fillId="3" borderId="6" xfId="0" applyFont="1" applyFill="1" applyBorder="1"/>
    <xf numFmtId="0" fontId="0" fillId="6" borderId="7" xfId="0" applyFill="1" applyBorder="1"/>
    <xf numFmtId="0" fontId="0" fillId="7" borderId="8" xfId="0" applyFill="1" applyBorder="1"/>
    <xf numFmtId="0" fontId="7" fillId="0" borderId="0" xfId="0" applyFont="1"/>
    <xf numFmtId="0" fontId="0" fillId="7" borderId="9" xfId="0" applyFill="1" applyBorder="1"/>
    <xf numFmtId="0" fontId="0" fillId="2" borderId="0" xfId="0" applyFill="1" applyBorder="1" applyAlignment="1"/>
    <xf numFmtId="0" fontId="0" fillId="7" borderId="10" xfId="0" applyFill="1" applyBorder="1"/>
    <xf numFmtId="0" fontId="3" fillId="4" borderId="6" xfId="0" applyFont="1" applyFill="1" applyBorder="1"/>
    <xf numFmtId="0" fontId="0" fillId="8" borderId="6" xfId="0" applyFill="1" applyBorder="1"/>
    <xf numFmtId="0" fontId="0" fillId="2" borderId="11" xfId="0" applyFill="1" applyBorder="1"/>
    <xf numFmtId="0" fontId="8" fillId="2" borderId="0" xfId="0" applyFont="1" applyFill="1" applyBorder="1"/>
    <xf numFmtId="0" fontId="8" fillId="2" borderId="0" xfId="0" applyFont="1" applyFill="1"/>
    <xf numFmtId="0" fontId="9" fillId="9" borderId="1" xfId="0" applyFont="1" applyFill="1" applyBorder="1"/>
    <xf numFmtId="0" fontId="9" fillId="9" borderId="5" xfId="0" applyFont="1" applyFill="1" applyBorder="1"/>
    <xf numFmtId="0" fontId="9" fillId="9" borderId="2" xfId="0" applyFont="1" applyFill="1" applyBorder="1"/>
    <xf numFmtId="0" fontId="0" fillId="3" borderId="6" xfId="0" applyFill="1" applyBorder="1"/>
    <xf numFmtId="0" fontId="3" fillId="7" borderId="6" xfId="0" applyFont="1" applyFill="1" applyBorder="1"/>
    <xf numFmtId="0" fontId="0" fillId="7" borderId="6" xfId="0" applyFill="1" applyBorder="1"/>
    <xf numFmtId="0" fontId="0" fillId="0" borderId="0" xfId="0" applyAlignment="1">
      <alignment vertical="center"/>
    </xf>
    <xf numFmtId="0" fontId="2" fillId="2" borderId="0" xfId="0" applyFont="1" applyFill="1"/>
    <xf numFmtId="0" fontId="0" fillId="2" borderId="0" xfId="0" applyFont="1" applyFill="1"/>
    <xf numFmtId="0" fontId="0" fillId="9" borderId="5" xfId="0" applyFill="1" applyBorder="1"/>
    <xf numFmtId="0" fontId="0" fillId="9" borderId="2" xfId="0" applyFill="1" applyBorder="1"/>
    <xf numFmtId="0" fontId="0" fillId="10" borderId="0" xfId="0" applyFill="1"/>
    <xf numFmtId="0" fontId="8" fillId="9" borderId="12" xfId="0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7" borderId="13" xfId="0" applyFill="1" applyBorder="1"/>
    <xf numFmtId="0" fontId="10" fillId="2" borderId="0" xfId="0" applyFont="1" applyFill="1"/>
    <xf numFmtId="0" fontId="0" fillId="7" borderId="4" xfId="0" applyFill="1" applyBorder="1"/>
    <xf numFmtId="0" fontId="6" fillId="5" borderId="7" xfId="0" applyFont="1" applyFill="1" applyBorder="1"/>
    <xf numFmtId="0" fontId="6" fillId="5" borderId="14" xfId="0" applyFont="1" applyFill="1" applyBorder="1"/>
    <xf numFmtId="0" fontId="6" fillId="5" borderId="15" xfId="0" applyFont="1" applyFill="1" applyBorder="1"/>
    <xf numFmtId="0" fontId="0" fillId="6" borderId="6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4" borderId="6" xfId="0" applyNumberFormat="1" applyFill="1" applyBorder="1"/>
    <xf numFmtId="0" fontId="0" fillId="4" borderId="6" xfId="0" applyFill="1" applyBorder="1"/>
    <xf numFmtId="0" fontId="0" fillId="8" borderId="7" xfId="0" applyFill="1" applyBorder="1"/>
    <xf numFmtId="0" fontId="3" fillId="8" borderId="7" xfId="0" applyFont="1" applyFill="1" applyBorder="1"/>
    <xf numFmtId="0" fontId="12" fillId="2" borderId="0" xfId="0" applyFont="1" applyFill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12" borderId="0" xfId="0" applyFill="1"/>
    <xf numFmtId="11" fontId="0" fillId="3" borderId="6" xfId="0" applyNumberFormat="1" applyFill="1" applyBorder="1"/>
    <xf numFmtId="0" fontId="0" fillId="8" borderId="6" xfId="0" applyFont="1" applyFill="1" applyBorder="1"/>
    <xf numFmtId="0" fontId="11" fillId="7" borderId="8" xfId="0" applyFont="1" applyFill="1" applyBorder="1"/>
    <xf numFmtId="164" fontId="0" fillId="4" borderId="6" xfId="0" applyNumberFormat="1" applyFont="1" applyFill="1" applyBorder="1"/>
    <xf numFmtId="0" fontId="0" fillId="8" borderId="7" xfId="0" applyFont="1" applyFill="1" applyBorder="1"/>
    <xf numFmtId="2" fontId="0" fillId="4" borderId="6" xfId="0" applyNumberFormat="1" applyFont="1" applyFill="1" applyBorder="1"/>
    <xf numFmtId="0" fontId="0" fillId="0" borderId="0" xfId="0" applyFill="1"/>
    <xf numFmtId="0" fontId="3" fillId="2" borderId="0" xfId="0" applyFont="1" applyFill="1"/>
    <xf numFmtId="0" fontId="3" fillId="8" borderId="16" xfId="0" applyFont="1" applyFill="1" applyBorder="1"/>
    <xf numFmtId="0" fontId="0" fillId="7" borderId="8" xfId="0" applyFont="1" applyFill="1" applyBorder="1"/>
    <xf numFmtId="0" fontId="3" fillId="8" borderId="6" xfId="0" applyFont="1" applyFill="1" applyBorder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5" fillId="3" borderId="1" xfId="0" applyFont="1" applyFill="1" applyBorder="1"/>
    <xf numFmtId="0" fontId="5" fillId="3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4" fillId="2" borderId="0" xfId="0" applyFont="1" applyFill="1" applyBorder="1"/>
    <xf numFmtId="0" fontId="1" fillId="2" borderId="0" xfId="0" applyFont="1" applyFill="1" applyBorder="1"/>
    <xf numFmtId="0" fontId="0" fillId="9" borderId="1" xfId="0" applyFill="1" applyBorder="1"/>
    <xf numFmtId="0" fontId="0" fillId="9" borderId="5" xfId="0" applyFill="1" applyBorder="1"/>
  </cellXfs>
  <cellStyles count="1">
    <cellStyle name="Normal" xfId="0" builtinId="0"/>
  </cellStyles>
  <dxfs count="8">
    <dxf>
      <fill>
        <patternFill patternType="gray125">
          <bgColor rgb="FFC00000"/>
        </patternFill>
      </fill>
    </dxf>
    <dxf>
      <fill>
        <patternFill patternType="gray125">
          <bgColor rgb="FFC00000"/>
        </patternFill>
      </fill>
    </dxf>
    <dxf>
      <fill>
        <patternFill patternType="gray125">
          <bgColor rgb="FFC00000"/>
        </patternFill>
      </fill>
    </dxf>
    <dxf>
      <fill>
        <patternFill patternType="gray125">
          <bgColor rgb="FFC00000"/>
        </patternFill>
      </fill>
    </dxf>
    <dxf>
      <fill>
        <patternFill>
          <bgColor rgb="FF92D050"/>
        </patternFill>
      </fill>
    </dxf>
    <dxf>
      <fill>
        <patternFill patternType="gray125"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 patternType="gray0625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5"/>
  <sheetViews>
    <sheetView tabSelected="1" topLeftCell="A19" workbookViewId="0">
      <selection activeCell="A58" sqref="A58"/>
    </sheetView>
  </sheetViews>
  <sheetFormatPr defaultColWidth="9.140625" defaultRowHeight="15" x14ac:dyDescent="0.25"/>
  <cols>
    <col min="1" max="1" width="9.140625" style="1"/>
    <col min="2" max="2" width="43.7109375" style="1" bestFit="1" customWidth="1"/>
    <col min="3" max="3" width="34.85546875" style="1" bestFit="1" customWidth="1"/>
    <col min="4" max="4" width="13" style="1" bestFit="1" customWidth="1"/>
    <col min="5" max="5" width="42.42578125" style="1" bestFit="1" customWidth="1"/>
    <col min="6" max="16384" width="9.140625" style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ht="18.75" x14ac:dyDescent="0.3">
      <c r="A2" s="64" t="s">
        <v>0</v>
      </c>
      <c r="B2" s="65"/>
      <c r="C2" s="65"/>
      <c r="D2" s="65"/>
      <c r="E2" s="65"/>
      <c r="F2" s="65"/>
      <c r="G2" s="65"/>
      <c r="H2" s="65"/>
      <c r="I2" s="65"/>
    </row>
    <row r="3" spans="1:9" ht="18.75" x14ac:dyDescent="0.3">
      <c r="A3" s="50"/>
      <c r="B3" s="51"/>
      <c r="C3" s="51"/>
      <c r="D3" s="51"/>
      <c r="E3" s="51"/>
      <c r="F3" s="51"/>
      <c r="G3" s="51"/>
      <c r="H3" s="51"/>
      <c r="I3" s="51"/>
    </row>
    <row r="4" spans="1:9" x14ac:dyDescent="0.25">
      <c r="A4" s="51" t="s">
        <v>45</v>
      </c>
      <c r="B4" s="51"/>
      <c r="C4" s="51"/>
      <c r="D4" s="51"/>
      <c r="E4" s="51"/>
      <c r="F4" s="51"/>
      <c r="G4" s="51"/>
      <c r="H4" s="51"/>
      <c r="I4" s="51"/>
    </row>
    <row r="5" spans="1:9" ht="18.75" x14ac:dyDescent="0.3">
      <c r="A5" s="3"/>
      <c r="B5" s="4"/>
      <c r="C5" s="4"/>
      <c r="D5" s="4"/>
      <c r="E5" s="4"/>
      <c r="F5" s="4"/>
      <c r="G5" s="4"/>
      <c r="H5" s="4"/>
      <c r="I5" s="4"/>
    </row>
    <row r="6" spans="1:9" ht="18.75" x14ac:dyDescent="0.3">
      <c r="A6" s="3"/>
      <c r="B6" s="4"/>
      <c r="C6" s="66" t="s">
        <v>1</v>
      </c>
      <c r="D6" s="67"/>
      <c r="E6" s="4"/>
      <c r="F6" s="4"/>
      <c r="G6" s="4"/>
      <c r="H6" s="4"/>
      <c r="I6" s="4"/>
    </row>
    <row r="7" spans="1:9" ht="18.75" x14ac:dyDescent="0.3">
      <c r="A7" s="3"/>
      <c r="B7" s="4"/>
      <c r="C7" s="68" t="s">
        <v>2</v>
      </c>
      <c r="D7" s="69"/>
      <c r="E7" s="4"/>
      <c r="F7" s="4"/>
      <c r="G7" s="4"/>
      <c r="H7" s="4"/>
      <c r="I7" s="4"/>
    </row>
    <row r="9" spans="1:9" x14ac:dyDescent="0.25">
      <c r="C9" s="5" t="s">
        <v>3</v>
      </c>
      <c r="D9" s="6" t="s">
        <v>4</v>
      </c>
      <c r="E9" s="7" t="s">
        <v>30</v>
      </c>
    </row>
    <row r="10" spans="1:9" x14ac:dyDescent="0.25">
      <c r="A10" s="8">
        <v>6</v>
      </c>
      <c r="B10" s="9" t="s">
        <v>6</v>
      </c>
      <c r="C10" s="10" t="s">
        <v>51</v>
      </c>
      <c r="D10" s="10">
        <v>6</v>
      </c>
      <c r="E10" s="10" t="s">
        <v>7</v>
      </c>
      <c r="F10" s="11" t="s">
        <v>8</v>
      </c>
    </row>
    <row r="11" spans="1:9" x14ac:dyDescent="0.25">
      <c r="A11" s="8">
        <v>14</v>
      </c>
      <c r="B11" s="9" t="s">
        <v>9</v>
      </c>
      <c r="C11" s="12" t="s">
        <v>52</v>
      </c>
      <c r="D11" s="12">
        <v>14</v>
      </c>
      <c r="E11" s="12"/>
      <c r="F11" s="11" t="s">
        <v>10</v>
      </c>
      <c r="G11" s="13"/>
      <c r="H11" s="13"/>
      <c r="I11" s="13"/>
    </row>
    <row r="12" spans="1:9" x14ac:dyDescent="0.25">
      <c r="A12" s="8">
        <v>24</v>
      </c>
      <c r="B12" s="9" t="s">
        <v>11</v>
      </c>
      <c r="C12" s="14" t="s">
        <v>53</v>
      </c>
      <c r="D12" s="14">
        <v>24</v>
      </c>
      <c r="E12" s="14" t="s">
        <v>50</v>
      </c>
      <c r="F12" s="11" t="s">
        <v>12</v>
      </c>
    </row>
    <row r="13" spans="1:9" x14ac:dyDescent="0.25">
      <c r="E13" s="2"/>
      <c r="F13" s="2"/>
    </row>
    <row r="14" spans="1:9" x14ac:dyDescent="0.25">
      <c r="A14" s="15">
        <f>A12/A10</f>
        <v>4</v>
      </c>
      <c r="B14" s="16" t="s">
        <v>13</v>
      </c>
      <c r="C14" s="10" t="s">
        <v>54</v>
      </c>
      <c r="D14" s="10">
        <v>4</v>
      </c>
      <c r="E14" s="10" t="s">
        <v>49</v>
      </c>
      <c r="F14" s="2"/>
    </row>
    <row r="15" spans="1:9" x14ac:dyDescent="0.25">
      <c r="A15" s="15">
        <f>2^(A14*A10)</f>
        <v>16777216</v>
      </c>
      <c r="B15" s="16" t="s">
        <v>55</v>
      </c>
      <c r="C15" s="12"/>
      <c r="D15" s="12">
        <v>16777216</v>
      </c>
      <c r="E15" s="12" t="s">
        <v>14</v>
      </c>
      <c r="F15" s="2"/>
    </row>
    <row r="16" spans="1:9" x14ac:dyDescent="0.25">
      <c r="A16" s="15">
        <f>2^A10-1</f>
        <v>63</v>
      </c>
      <c r="B16" s="16" t="s">
        <v>15</v>
      </c>
      <c r="C16" s="12" t="s">
        <v>75</v>
      </c>
      <c r="D16" s="12">
        <v>63</v>
      </c>
      <c r="E16" s="12" t="s">
        <v>16</v>
      </c>
      <c r="F16" s="1" t="s">
        <v>17</v>
      </c>
      <c r="G16" s="2"/>
      <c r="H16" s="2"/>
      <c r="I16" s="2"/>
    </row>
    <row r="17" spans="1:10" x14ac:dyDescent="0.25">
      <c r="A17" s="15">
        <f>A16*A10/2</f>
        <v>189</v>
      </c>
      <c r="B17" s="16" t="s">
        <v>18</v>
      </c>
      <c r="C17" s="12" t="s">
        <v>56</v>
      </c>
      <c r="D17" s="12">
        <v>189</v>
      </c>
      <c r="E17" s="12" t="s">
        <v>19</v>
      </c>
      <c r="G17" s="2"/>
      <c r="H17" s="2"/>
      <c r="I17" s="2"/>
    </row>
    <row r="18" spans="1:10" x14ac:dyDescent="0.25">
      <c r="A18" s="15">
        <f>2^A11-1</f>
        <v>16383</v>
      </c>
      <c r="B18" s="16" t="s">
        <v>20</v>
      </c>
      <c r="C18" s="14" t="s">
        <v>57</v>
      </c>
      <c r="D18" s="14">
        <v>16383</v>
      </c>
      <c r="E18" s="14" t="s">
        <v>21</v>
      </c>
      <c r="F18" s="1" t="s">
        <v>22</v>
      </c>
      <c r="G18" s="2"/>
      <c r="H18" s="2"/>
      <c r="I18" s="2"/>
    </row>
    <row r="19" spans="1:10" ht="15.75" thickBot="1" x14ac:dyDescent="0.3">
      <c r="A19" s="17"/>
      <c r="B19" s="17"/>
      <c r="C19" s="17"/>
      <c r="D19" s="17"/>
      <c r="E19" s="17"/>
      <c r="F19" s="17"/>
      <c r="G19" s="17"/>
      <c r="H19" s="17"/>
      <c r="I19" s="17"/>
    </row>
    <row r="20" spans="1:10" ht="18.75" x14ac:dyDescent="0.3">
      <c r="A20" s="70" t="s">
        <v>23</v>
      </c>
      <c r="B20" s="71"/>
      <c r="C20" s="71"/>
      <c r="D20" s="71"/>
      <c r="E20" s="71"/>
      <c r="F20" s="2"/>
    </row>
    <row r="21" spans="1:10" x14ac:dyDescent="0.25">
      <c r="A21" s="18"/>
      <c r="B21" s="19"/>
      <c r="C21" s="18"/>
      <c r="D21" s="18"/>
      <c r="E21" s="18"/>
      <c r="F21" s="18"/>
      <c r="G21" s="19"/>
      <c r="H21" s="19"/>
      <c r="I21" s="19"/>
    </row>
    <row r="22" spans="1:10" x14ac:dyDescent="0.25">
      <c r="C22" s="20" t="s">
        <v>3</v>
      </c>
      <c r="D22" s="21" t="s">
        <v>4</v>
      </c>
      <c r="E22" s="22" t="s">
        <v>5</v>
      </c>
    </row>
    <row r="23" spans="1:10" x14ac:dyDescent="0.25">
      <c r="A23" s="23">
        <v>2</v>
      </c>
      <c r="B23" s="9" t="s">
        <v>24</v>
      </c>
      <c r="C23" s="24" t="s">
        <v>58</v>
      </c>
      <c r="D23" s="25">
        <v>2</v>
      </c>
      <c r="E23" s="25"/>
      <c r="F23" s="26" t="s">
        <v>25</v>
      </c>
    </row>
    <row r="24" spans="1:10" x14ac:dyDescent="0.25">
      <c r="C24" s="27"/>
      <c r="D24" s="28"/>
    </row>
    <row r="25" spans="1:10" x14ac:dyDescent="0.25">
      <c r="C25" s="72" t="s">
        <v>26</v>
      </c>
      <c r="D25" s="73"/>
      <c r="E25" s="73"/>
      <c r="F25" s="29"/>
      <c r="G25" s="30"/>
      <c r="I25" s="31"/>
      <c r="J25" s="1" t="s">
        <v>59</v>
      </c>
    </row>
    <row r="26" spans="1:10" x14ac:dyDescent="0.25">
      <c r="C26" s="32" t="s">
        <v>27</v>
      </c>
      <c r="D26" s="33" t="s">
        <v>28</v>
      </c>
      <c r="E26" s="33" t="s">
        <v>29</v>
      </c>
      <c r="F26" s="33" t="s">
        <v>30</v>
      </c>
      <c r="G26" s="34" t="s">
        <v>31</v>
      </c>
      <c r="I26" s="52"/>
      <c r="J26" s="1" t="s">
        <v>60</v>
      </c>
    </row>
    <row r="27" spans="1:10" x14ac:dyDescent="0.25">
      <c r="C27" s="10">
        <f>6*A$10</f>
        <v>36</v>
      </c>
      <c r="D27" s="10">
        <f t="shared" ref="D27:D53" si="0">C27*2/A$10</f>
        <v>12</v>
      </c>
      <c r="E27" s="10">
        <f t="shared" ref="E27:E53" si="1">D27-A$23</f>
        <v>10</v>
      </c>
      <c r="F27" s="10">
        <f t="shared" ref="F27:F53" si="2">E27*A$10</f>
        <v>60</v>
      </c>
      <c r="G27" s="35">
        <f t="shared" ref="G27:G53" si="3">(E27*A$10-A$14*A$10)/A$11</f>
        <v>2.5714285714285716</v>
      </c>
    </row>
    <row r="28" spans="1:10" x14ac:dyDescent="0.25">
      <c r="C28" s="12">
        <f>7*A$10</f>
        <v>42</v>
      </c>
      <c r="D28" s="12">
        <f t="shared" si="0"/>
        <v>14</v>
      </c>
      <c r="E28" s="12">
        <f t="shared" si="1"/>
        <v>12</v>
      </c>
      <c r="F28" s="12">
        <f t="shared" si="2"/>
        <v>72</v>
      </c>
      <c r="G28" s="35">
        <f t="shared" si="3"/>
        <v>3.4285714285714284</v>
      </c>
    </row>
    <row r="29" spans="1:10" x14ac:dyDescent="0.25">
      <c r="C29" s="12">
        <f>8*A$10</f>
        <v>48</v>
      </c>
      <c r="D29" s="12">
        <f t="shared" si="0"/>
        <v>16</v>
      </c>
      <c r="E29" s="12">
        <f t="shared" si="1"/>
        <v>14</v>
      </c>
      <c r="F29" s="12">
        <f t="shared" si="2"/>
        <v>84</v>
      </c>
      <c r="G29" s="35">
        <f t="shared" si="3"/>
        <v>4.2857142857142856</v>
      </c>
    </row>
    <row r="30" spans="1:10" x14ac:dyDescent="0.25">
      <c r="C30" s="12">
        <f>9*A$10</f>
        <v>54</v>
      </c>
      <c r="D30" s="12">
        <f t="shared" si="0"/>
        <v>18</v>
      </c>
      <c r="E30" s="12">
        <f t="shared" si="1"/>
        <v>16</v>
      </c>
      <c r="F30" s="12">
        <f t="shared" si="2"/>
        <v>96</v>
      </c>
      <c r="G30" s="35">
        <f t="shared" si="3"/>
        <v>5.1428571428571432</v>
      </c>
    </row>
    <row r="31" spans="1:10" x14ac:dyDescent="0.25">
      <c r="C31" s="12">
        <f>10*A$10</f>
        <v>60</v>
      </c>
      <c r="D31" s="12">
        <f t="shared" si="0"/>
        <v>20</v>
      </c>
      <c r="E31" s="12">
        <f t="shared" si="1"/>
        <v>18</v>
      </c>
      <c r="F31" s="12">
        <f t="shared" si="2"/>
        <v>108</v>
      </c>
      <c r="G31" s="35">
        <f t="shared" si="3"/>
        <v>6</v>
      </c>
    </row>
    <row r="32" spans="1:10" x14ac:dyDescent="0.25">
      <c r="C32" s="12">
        <f>11*A$10</f>
        <v>66</v>
      </c>
      <c r="D32" s="12">
        <f t="shared" si="0"/>
        <v>22</v>
      </c>
      <c r="E32" s="12">
        <f t="shared" si="1"/>
        <v>20</v>
      </c>
      <c r="F32" s="12">
        <f t="shared" si="2"/>
        <v>120</v>
      </c>
      <c r="G32" s="35">
        <f t="shared" si="3"/>
        <v>6.8571428571428568</v>
      </c>
    </row>
    <row r="33" spans="2:9" x14ac:dyDescent="0.25">
      <c r="C33" s="12">
        <f>12*A$10</f>
        <v>72</v>
      </c>
      <c r="D33" s="12">
        <f t="shared" si="0"/>
        <v>24</v>
      </c>
      <c r="E33" s="12">
        <f t="shared" si="1"/>
        <v>22</v>
      </c>
      <c r="F33" s="12">
        <f t="shared" si="2"/>
        <v>132</v>
      </c>
      <c r="G33" s="35">
        <f t="shared" si="3"/>
        <v>7.7142857142857144</v>
      </c>
    </row>
    <row r="34" spans="2:9" x14ac:dyDescent="0.25">
      <c r="B34" s="2"/>
      <c r="C34" s="12">
        <f>13*A$10</f>
        <v>78</v>
      </c>
      <c r="D34" s="12">
        <f t="shared" si="0"/>
        <v>26</v>
      </c>
      <c r="E34" s="12">
        <f t="shared" si="1"/>
        <v>24</v>
      </c>
      <c r="F34" s="12">
        <f t="shared" si="2"/>
        <v>144</v>
      </c>
      <c r="G34" s="35">
        <f t="shared" si="3"/>
        <v>8.5714285714285712</v>
      </c>
    </row>
    <row r="35" spans="2:9" x14ac:dyDescent="0.25">
      <c r="C35" s="12">
        <f>14*A$10</f>
        <v>84</v>
      </c>
      <c r="D35" s="12">
        <f t="shared" si="0"/>
        <v>28</v>
      </c>
      <c r="E35" s="12">
        <f t="shared" si="1"/>
        <v>26</v>
      </c>
      <c r="F35" s="12">
        <f t="shared" si="2"/>
        <v>156</v>
      </c>
      <c r="G35" s="35">
        <f t="shared" si="3"/>
        <v>9.4285714285714288</v>
      </c>
      <c r="I35" s="36"/>
    </row>
    <row r="36" spans="2:9" x14ac:dyDescent="0.25">
      <c r="C36" s="12">
        <f>15*A$10</f>
        <v>90</v>
      </c>
      <c r="D36" s="12">
        <f t="shared" si="0"/>
        <v>30</v>
      </c>
      <c r="E36" s="12">
        <f t="shared" si="1"/>
        <v>28</v>
      </c>
      <c r="F36" s="12">
        <f t="shared" si="2"/>
        <v>168</v>
      </c>
      <c r="G36" s="35">
        <f t="shared" si="3"/>
        <v>10.285714285714286</v>
      </c>
    </row>
    <row r="37" spans="2:9" x14ac:dyDescent="0.25">
      <c r="C37" s="12">
        <f>16*A$10</f>
        <v>96</v>
      </c>
      <c r="D37" s="12">
        <f t="shared" si="0"/>
        <v>32</v>
      </c>
      <c r="E37" s="12">
        <f t="shared" si="1"/>
        <v>30</v>
      </c>
      <c r="F37" s="12">
        <f t="shared" si="2"/>
        <v>180</v>
      </c>
      <c r="G37" s="35">
        <f t="shared" si="3"/>
        <v>11.142857142857142</v>
      </c>
    </row>
    <row r="38" spans="2:9" x14ac:dyDescent="0.25">
      <c r="C38" s="12">
        <f>17*A$10</f>
        <v>102</v>
      </c>
      <c r="D38" s="12">
        <f t="shared" si="0"/>
        <v>34</v>
      </c>
      <c r="E38" s="12">
        <f t="shared" si="1"/>
        <v>32</v>
      </c>
      <c r="F38" s="12">
        <f t="shared" si="2"/>
        <v>192</v>
      </c>
      <c r="G38" s="35">
        <f t="shared" si="3"/>
        <v>12</v>
      </c>
    </row>
    <row r="39" spans="2:9" x14ac:dyDescent="0.25">
      <c r="C39" s="12">
        <f>18*A$10</f>
        <v>108</v>
      </c>
      <c r="D39" s="12">
        <f t="shared" si="0"/>
        <v>36</v>
      </c>
      <c r="E39" s="12">
        <f t="shared" si="1"/>
        <v>34</v>
      </c>
      <c r="F39" s="12">
        <f t="shared" si="2"/>
        <v>204</v>
      </c>
      <c r="G39" s="35">
        <f t="shared" si="3"/>
        <v>12.857142857142858</v>
      </c>
    </row>
    <row r="40" spans="2:9" x14ac:dyDescent="0.25">
      <c r="C40" s="12">
        <f>19*A$10</f>
        <v>114</v>
      </c>
      <c r="D40" s="12">
        <f t="shared" si="0"/>
        <v>38</v>
      </c>
      <c r="E40" s="12">
        <f t="shared" si="1"/>
        <v>36</v>
      </c>
      <c r="F40" s="12">
        <f t="shared" si="2"/>
        <v>216</v>
      </c>
      <c r="G40" s="35">
        <f t="shared" si="3"/>
        <v>13.714285714285714</v>
      </c>
    </row>
    <row r="41" spans="2:9" x14ac:dyDescent="0.25">
      <c r="C41" s="12">
        <f>20*A$10</f>
        <v>120</v>
      </c>
      <c r="D41" s="12">
        <f t="shared" si="0"/>
        <v>40</v>
      </c>
      <c r="E41" s="12">
        <f t="shared" si="1"/>
        <v>38</v>
      </c>
      <c r="F41" s="12">
        <f t="shared" si="2"/>
        <v>228</v>
      </c>
      <c r="G41" s="35">
        <f t="shared" si="3"/>
        <v>14.571428571428571</v>
      </c>
      <c r="I41" s="36"/>
    </row>
    <row r="42" spans="2:9" x14ac:dyDescent="0.25">
      <c r="C42" s="12">
        <f>21*A$10</f>
        <v>126</v>
      </c>
      <c r="D42" s="12">
        <f t="shared" si="0"/>
        <v>42</v>
      </c>
      <c r="E42" s="12">
        <f t="shared" si="1"/>
        <v>40</v>
      </c>
      <c r="F42" s="12">
        <f t="shared" si="2"/>
        <v>240</v>
      </c>
      <c r="G42" s="35">
        <f t="shared" si="3"/>
        <v>15.428571428571429</v>
      </c>
    </row>
    <row r="43" spans="2:9" x14ac:dyDescent="0.25">
      <c r="C43" s="12">
        <f>22*A$10</f>
        <v>132</v>
      </c>
      <c r="D43" s="12">
        <f t="shared" si="0"/>
        <v>44</v>
      </c>
      <c r="E43" s="12">
        <f t="shared" si="1"/>
        <v>42</v>
      </c>
      <c r="F43" s="12">
        <f t="shared" si="2"/>
        <v>252</v>
      </c>
      <c r="G43" s="35">
        <f t="shared" si="3"/>
        <v>16.285714285714285</v>
      </c>
    </row>
    <row r="44" spans="2:9" x14ac:dyDescent="0.25">
      <c r="C44" s="12">
        <f>23*A$10</f>
        <v>138</v>
      </c>
      <c r="D44" s="12">
        <f t="shared" si="0"/>
        <v>46</v>
      </c>
      <c r="E44" s="12">
        <f t="shared" si="1"/>
        <v>44</v>
      </c>
      <c r="F44" s="12">
        <f t="shared" si="2"/>
        <v>264</v>
      </c>
      <c r="G44" s="35">
        <f t="shared" si="3"/>
        <v>17.142857142857142</v>
      </c>
    </row>
    <row r="45" spans="2:9" x14ac:dyDescent="0.25">
      <c r="C45" s="12">
        <f>24*A$10</f>
        <v>144</v>
      </c>
      <c r="D45" s="12">
        <f t="shared" si="0"/>
        <v>48</v>
      </c>
      <c r="E45" s="12">
        <f t="shared" si="1"/>
        <v>46</v>
      </c>
      <c r="F45" s="12">
        <f t="shared" si="2"/>
        <v>276</v>
      </c>
      <c r="G45" s="35">
        <f t="shared" si="3"/>
        <v>18</v>
      </c>
    </row>
    <row r="46" spans="2:9" x14ac:dyDescent="0.25">
      <c r="C46" s="12">
        <f>25*A$10</f>
        <v>150</v>
      </c>
      <c r="D46" s="12">
        <f t="shared" si="0"/>
        <v>50</v>
      </c>
      <c r="E46" s="12">
        <f t="shared" si="1"/>
        <v>48</v>
      </c>
      <c r="F46" s="12">
        <f t="shared" si="2"/>
        <v>288</v>
      </c>
      <c r="G46" s="35">
        <f t="shared" si="3"/>
        <v>18.857142857142858</v>
      </c>
    </row>
    <row r="47" spans="2:9" x14ac:dyDescent="0.25">
      <c r="C47" s="12">
        <f>26*A$10</f>
        <v>156</v>
      </c>
      <c r="D47" s="12">
        <f t="shared" si="0"/>
        <v>52</v>
      </c>
      <c r="E47" s="12">
        <f t="shared" si="1"/>
        <v>50</v>
      </c>
      <c r="F47" s="12">
        <f t="shared" si="2"/>
        <v>300</v>
      </c>
      <c r="G47" s="35">
        <f t="shared" si="3"/>
        <v>19.714285714285715</v>
      </c>
    </row>
    <row r="48" spans="2:9" x14ac:dyDescent="0.25">
      <c r="C48" s="12">
        <f>27*A$10</f>
        <v>162</v>
      </c>
      <c r="D48" s="12">
        <f t="shared" si="0"/>
        <v>54</v>
      </c>
      <c r="E48" s="12">
        <f t="shared" si="1"/>
        <v>52</v>
      </c>
      <c r="F48" s="12">
        <f t="shared" si="2"/>
        <v>312</v>
      </c>
      <c r="G48" s="35">
        <f t="shared" si="3"/>
        <v>20.571428571428573</v>
      </c>
    </row>
    <row r="49" spans="1:9" x14ac:dyDescent="0.25">
      <c r="C49" s="12">
        <f>28*A$10</f>
        <v>168</v>
      </c>
      <c r="D49" s="12">
        <f t="shared" si="0"/>
        <v>56</v>
      </c>
      <c r="E49" s="12">
        <f t="shared" si="1"/>
        <v>54</v>
      </c>
      <c r="F49" s="12">
        <f t="shared" si="2"/>
        <v>324</v>
      </c>
      <c r="G49" s="35">
        <f t="shared" si="3"/>
        <v>21.428571428571427</v>
      </c>
    </row>
    <row r="50" spans="1:9" x14ac:dyDescent="0.25">
      <c r="C50" s="12">
        <f>29*A$10</f>
        <v>174</v>
      </c>
      <c r="D50" s="12">
        <f t="shared" si="0"/>
        <v>58</v>
      </c>
      <c r="E50" s="12">
        <f t="shared" si="1"/>
        <v>56</v>
      </c>
      <c r="F50" s="12">
        <f t="shared" si="2"/>
        <v>336</v>
      </c>
      <c r="G50" s="35">
        <f t="shared" si="3"/>
        <v>22.285714285714285</v>
      </c>
    </row>
    <row r="51" spans="1:9" x14ac:dyDescent="0.25">
      <c r="C51" s="12">
        <f>30*A$10</f>
        <v>180</v>
      </c>
      <c r="D51" s="12">
        <f t="shared" si="0"/>
        <v>60</v>
      </c>
      <c r="E51" s="12">
        <f t="shared" si="1"/>
        <v>58</v>
      </c>
      <c r="F51" s="12">
        <f t="shared" si="2"/>
        <v>348</v>
      </c>
      <c r="G51" s="35">
        <f t="shared" si="3"/>
        <v>23.142857142857142</v>
      </c>
    </row>
    <row r="52" spans="1:9" x14ac:dyDescent="0.25">
      <c r="C52" s="12">
        <f>31*A$10</f>
        <v>186</v>
      </c>
      <c r="D52" s="12">
        <f t="shared" si="0"/>
        <v>62</v>
      </c>
      <c r="E52" s="12">
        <f t="shared" si="1"/>
        <v>60</v>
      </c>
      <c r="F52" s="12">
        <f t="shared" si="2"/>
        <v>360</v>
      </c>
      <c r="G52" s="35">
        <f t="shared" si="3"/>
        <v>24</v>
      </c>
    </row>
    <row r="53" spans="1:9" x14ac:dyDescent="0.25">
      <c r="C53" s="14">
        <f>32*A$10</f>
        <v>192</v>
      </c>
      <c r="D53" s="14">
        <f t="shared" si="0"/>
        <v>64</v>
      </c>
      <c r="E53" s="14">
        <f t="shared" si="1"/>
        <v>62</v>
      </c>
      <c r="F53" s="14">
        <f t="shared" si="2"/>
        <v>372</v>
      </c>
      <c r="G53" s="37">
        <f t="shared" si="3"/>
        <v>24.857142857142858</v>
      </c>
    </row>
    <row r="54" spans="1:9" ht="15.75" thickBot="1" x14ac:dyDescent="0.3">
      <c r="A54" s="17"/>
      <c r="B54" s="17"/>
      <c r="C54" s="17"/>
      <c r="D54" s="17"/>
      <c r="E54" s="17"/>
      <c r="F54" s="17"/>
      <c r="G54" s="17"/>
      <c r="H54" s="17"/>
      <c r="I54" s="17"/>
    </row>
    <row r="55" spans="1:9" ht="21" x14ac:dyDescent="0.35">
      <c r="A55" s="49" t="s">
        <v>32</v>
      </c>
    </row>
    <row r="57" spans="1:9" x14ac:dyDescent="0.25">
      <c r="C57" s="38" t="s">
        <v>3</v>
      </c>
      <c r="D57" s="39" t="s">
        <v>4</v>
      </c>
      <c r="E57" s="40" t="s">
        <v>5</v>
      </c>
    </row>
    <row r="58" spans="1:9" x14ac:dyDescent="0.25">
      <c r="A58" s="53">
        <v>15000</v>
      </c>
      <c r="B58" s="41" t="s">
        <v>33</v>
      </c>
      <c r="C58" s="42"/>
      <c r="D58" s="42"/>
      <c r="E58" s="42" t="s">
        <v>70</v>
      </c>
    </row>
    <row r="59" spans="1:9" x14ac:dyDescent="0.25">
      <c r="A59" s="53">
        <v>1000</v>
      </c>
      <c r="B59" s="41" t="s">
        <v>34</v>
      </c>
      <c r="C59" s="43"/>
      <c r="D59" s="43">
        <v>12472</v>
      </c>
      <c r="E59" s="43" t="s">
        <v>69</v>
      </c>
      <c r="F59" s="36"/>
      <c r="G59" s="31"/>
      <c r="H59" s="1" t="s">
        <v>44</v>
      </c>
    </row>
    <row r="60" spans="1:9" x14ac:dyDescent="0.25">
      <c r="A60" s="23">
        <v>102</v>
      </c>
      <c r="B60" s="41" t="s">
        <v>36</v>
      </c>
      <c r="C60" s="44" t="s">
        <v>37</v>
      </c>
      <c r="D60" s="44">
        <v>102</v>
      </c>
      <c r="E60" s="44" t="s">
        <v>68</v>
      </c>
      <c r="F60"/>
      <c r="G60" s="31"/>
      <c r="H60" s="1" t="s">
        <v>38</v>
      </c>
    </row>
    <row r="62" spans="1:9" x14ac:dyDescent="0.25">
      <c r="A62" s="45">
        <f>A58*8</f>
        <v>120000</v>
      </c>
      <c r="B62" s="47" t="s">
        <v>39</v>
      </c>
      <c r="C62" s="55"/>
      <c r="D62" s="55"/>
      <c r="E62" s="62" t="s">
        <v>67</v>
      </c>
    </row>
    <row r="63" spans="1:9" x14ac:dyDescent="0.25">
      <c r="A63" s="46">
        <f>A59*(A60*2/A10-A23-A14)*A10</f>
        <v>168000</v>
      </c>
      <c r="B63" s="47" t="s">
        <v>64</v>
      </c>
      <c r="C63" s="14"/>
      <c r="D63" s="14"/>
      <c r="E63" s="14" t="s">
        <v>71</v>
      </c>
    </row>
    <row r="65" spans="1:26" s="59" customFormat="1" x14ac:dyDescent="0.25">
      <c r="A65" s="60" t="s">
        <v>65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5">
        <f>A60*2/A10</f>
        <v>34</v>
      </c>
      <c r="B66" s="48" t="s">
        <v>28</v>
      </c>
      <c r="C66" s="10" t="s">
        <v>76</v>
      </c>
      <c r="D66" s="10">
        <v>34</v>
      </c>
      <c r="E66" s="10" t="s">
        <v>72</v>
      </c>
    </row>
    <row r="67" spans="1:26" x14ac:dyDescent="0.25">
      <c r="A67" s="15">
        <f>A66-A23</f>
        <v>32</v>
      </c>
      <c r="B67" s="48" t="s">
        <v>29</v>
      </c>
      <c r="C67" s="12" t="s">
        <v>77</v>
      </c>
      <c r="D67" s="12">
        <v>32</v>
      </c>
      <c r="E67" s="12" t="s">
        <v>73</v>
      </c>
    </row>
    <row r="68" spans="1:26" x14ac:dyDescent="0.25">
      <c r="A68" s="15">
        <f>((A60*2/A10-A23)*A10-A14*A10)/A11</f>
        <v>12</v>
      </c>
      <c r="B68" s="48" t="s">
        <v>31</v>
      </c>
      <c r="C68" s="12" t="s">
        <v>62</v>
      </c>
      <c r="D68" s="12">
        <v>12</v>
      </c>
      <c r="E68" s="12" t="s">
        <v>63</v>
      </c>
    </row>
    <row r="69" spans="1:26" x14ac:dyDescent="0.25">
      <c r="A69" s="15">
        <f>INT((A59-1)/A18)+1</f>
        <v>1</v>
      </c>
      <c r="B69" s="48" t="s">
        <v>78</v>
      </c>
      <c r="C69" s="12" t="s">
        <v>79</v>
      </c>
      <c r="D69" s="12">
        <v>1</v>
      </c>
      <c r="E69" s="12" t="s">
        <v>74</v>
      </c>
      <c r="F69" t="s">
        <v>43</v>
      </c>
      <c r="G69" s="2"/>
      <c r="H69" s="2"/>
      <c r="I69" s="2"/>
    </row>
    <row r="70" spans="1:26" x14ac:dyDescent="0.25">
      <c r="A70" s="15">
        <f>INT(A59/A69-1)+1</f>
        <v>1000</v>
      </c>
      <c r="B70" s="63" t="s">
        <v>35</v>
      </c>
      <c r="C70" s="12" t="s">
        <v>81</v>
      </c>
      <c r="D70" s="12">
        <v>12472</v>
      </c>
      <c r="E70" s="12"/>
      <c r="F70"/>
      <c r="G70" s="2"/>
      <c r="H70" s="2"/>
      <c r="I70" s="2"/>
    </row>
    <row r="71" spans="1:26" x14ac:dyDescent="0.25">
      <c r="A71" s="15">
        <f>INT(A62/(A68*A$11)/A69)+1</f>
        <v>715</v>
      </c>
      <c r="B71" s="61" t="s">
        <v>40</v>
      </c>
      <c r="C71" s="14" t="s">
        <v>80</v>
      </c>
      <c r="D71" s="14"/>
      <c r="E71" s="14"/>
    </row>
    <row r="73" spans="1:26" x14ac:dyDescent="0.25">
      <c r="A73" s="60" t="s">
        <v>66</v>
      </c>
      <c r="F73" s="59"/>
    </row>
    <row r="74" spans="1:26" x14ac:dyDescent="0.25">
      <c r="A74" s="56">
        <f>(A70-A71)/A71*100</f>
        <v>39.86013986013986</v>
      </c>
      <c r="B74" s="57" t="s">
        <v>41</v>
      </c>
      <c r="C74" s="10" t="s">
        <v>82</v>
      </c>
      <c r="D74" s="10"/>
      <c r="E74" s="10" t="s">
        <v>61</v>
      </c>
      <c r="F74" s="26" t="s">
        <v>42</v>
      </c>
      <c r="G74" s="2"/>
      <c r="H74" s="2"/>
      <c r="I74" s="2"/>
    </row>
    <row r="75" spans="1:26" x14ac:dyDescent="0.25">
      <c r="A75" s="58">
        <f>2*(A71/A70)*(((A68*A11+A14*A10)/A10)-A14)/(((A68*A11+A14*A10)/A10)+A23)</f>
        <v>1.1776470588235295</v>
      </c>
      <c r="B75" s="54" t="s">
        <v>46</v>
      </c>
      <c r="C75" s="14" t="s">
        <v>47</v>
      </c>
      <c r="D75" s="14"/>
      <c r="E75" s="14" t="s">
        <v>48</v>
      </c>
    </row>
  </sheetData>
  <mergeCells count="5">
    <mergeCell ref="A2:I2"/>
    <mergeCell ref="C6:D6"/>
    <mergeCell ref="C7:D7"/>
    <mergeCell ref="A20:E20"/>
    <mergeCell ref="C25:E25"/>
  </mergeCells>
  <conditionalFormatting sqref="A10">
    <cfRule type="expression" dxfId="7" priority="9">
      <formula>MOD($A$10, 2)&gt;0</formula>
    </cfRule>
    <cfRule type="expression" priority="10">
      <formula>"mode($A$3/2)=0"</formula>
    </cfRule>
    <cfRule type="iconSet" priority="11">
      <iconSet>
        <cfvo type="percent" val="0"/>
        <cfvo type="percent" val="33"/>
        <cfvo type="formula" val="&quot;mode($A$3)/2&quot;"/>
      </iconSet>
    </cfRule>
  </conditionalFormatting>
  <conditionalFormatting sqref="A12">
    <cfRule type="expression" priority="8">
      <formula>MOD($A$12, $A$10)&gt;0</formula>
    </cfRule>
  </conditionalFormatting>
  <conditionalFormatting sqref="G27:G53">
    <cfRule type="expression" dxfId="6" priority="6">
      <formula>IF(LEN($G27),MOD($G27,1)=0,"")</formula>
    </cfRule>
    <cfRule type="expression" dxfId="5" priority="7">
      <formula>IF(LEN(G27),MOD(G27,1)&gt;0,"")</formula>
    </cfRule>
  </conditionalFormatting>
  <conditionalFormatting sqref="C27:F53">
    <cfRule type="expression" dxfId="4" priority="5">
      <formula>IF(LEN($C$27),MOD($G27,1)=0,"")</formula>
    </cfRule>
  </conditionalFormatting>
  <conditionalFormatting sqref="A74">
    <cfRule type="expression" dxfId="3" priority="4">
      <formula>$A$74&lt;0</formula>
    </cfRule>
  </conditionalFormatting>
  <conditionalFormatting sqref="A59">
    <cfRule type="expression" dxfId="2" priority="3">
      <formula>$A$59&gt;$A$15</formula>
    </cfRule>
  </conditionalFormatting>
  <conditionalFormatting sqref="D27:D53">
    <cfRule type="expression" dxfId="1" priority="2">
      <formula>D27&gt;$A$16</formula>
    </cfRule>
  </conditionalFormatting>
  <conditionalFormatting sqref="A60">
    <cfRule type="expression" dxfId="0" priority="1">
      <formula>IF(LEN($A$60),MOD($A$68,1)&gt;0,"")</formula>
    </cfRule>
  </conditionalFormatting>
  <dataValidations count="5">
    <dataValidation type="custom" errorStyle="warning" allowBlank="1" showInputMessage="1" showErrorMessage="1" errorTitle="Warning" error="For one or more sequence length, N exceeds its maximum possible value" sqref="D53" xr:uid="{00000000-0002-0000-0000-000000000000}">
      <formula1>D27&gt;A16</formula1>
    </dataValidation>
    <dataValidation type="custom" operator="greaterThan" allowBlank="1" errorTitle="Error" error="File size too large. Reduce file size, inner code redundancy symbols, or increase number of sequences to be synthesized" sqref="A74" xr:uid="{00000000-0002-0000-0000-000001000000}">
      <formula1>A$74&gt;0</formula1>
    </dataValidation>
    <dataValidation type="custom" allowBlank="1" showInputMessage="1" showErrorMessage="1" errorTitle="Error" error="Value must be a multiple of 'mi'" sqref="A12" xr:uid="{00000000-0002-0000-0000-000002000000}">
      <formula1>MOD(A12, A10)=0</formula1>
    </dataValidation>
    <dataValidation type="custom" allowBlank="1" showErrorMessage="1" errorTitle="Error" error="Value must be a multiple of 2" promptTitle="Error" prompt="Value must be a multiple of 2" sqref="A10" xr:uid="{00000000-0002-0000-0000-000003000000}">
      <formula1>MOD(A10, 2)=0</formula1>
    </dataValidation>
    <dataValidation type="custom" allowBlank="1" showInputMessage="1" showErrorMessage="1" errorTitle="Error" error="Sequences exceed index length. Please choose larger index or reduce number of sequences you want to synthesize" sqref="A59" xr:uid="{00000000-0002-0000-0000-000004000000}">
      <formula1>A$59&lt;(A$15+1)</formula1>
    </dataValidation>
  </dataValidations>
  <pageMargins left="0.70866141732283472" right="0.70866141732283472" top="0.74803149606299213" bottom="0.74803149606299213" header="0.31496062992125984" footer="0.31496062992125984"/>
  <pageSetup paperSize="9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2025-07-09T07:17:24Z</dcterms:modified>
</cp:coreProperties>
</file>