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mura\Desktop\DMSP_Osmotic_Shock\"/>
    </mc:Choice>
  </mc:AlternateContent>
  <xr:revisionPtr revIDLastSave="0" documentId="8_{786CC5F1-27F7-445B-A65E-CEC131D2DE93}" xr6:coauthVersionLast="47" xr6:coauthVersionMax="47" xr10:uidLastSave="{00000000-0000-0000-0000-000000000000}"/>
  <bookViews>
    <workbookView xWindow="-108" yWindow="-108" windowWidth="23256" windowHeight="12456" tabRatio="793" xr2:uid="{00000000-000D-0000-FFFF-FFFF00000000}"/>
  </bookViews>
  <sheets>
    <sheet name="Polarella" sheetId="7" r:id="rId1"/>
    <sheet name="Chryso" sheetId="6" r:id="rId2"/>
    <sheet name="DMSPraw (JS)" sheetId="5" r:id="rId3"/>
    <sheet name="dic" sheetId="8" r:id="rId4"/>
    <sheet name="Picarro" sheetId="3" r:id="rId5"/>
    <sheet name="Cell Count" sheetId="4" r:id="rId6"/>
    <sheet name="DMSPraw" sheetId="1" r:id="rId7"/>
  </sheets>
  <externalReferences>
    <externalReference r:id="rId8"/>
  </externalReferences>
  <definedNames>
    <definedName name="_xlnm._FilterDatabase" localSheetId="2" hidden="1">'DMSPraw (JS)'!$B$3:$G$1001</definedName>
    <definedName name="_xlnm._FilterDatabase" localSheetId="0" hidden="1">Polarella!$C$1:$C$69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9" roundtripDataChecksum="RnydvsjYhFhAuz3hcpUkbV0KJJRxa9TEh9hDzVUXKzE="/>
    </ext>
  </extLst>
</workbook>
</file>

<file path=xl/calcChain.xml><?xml version="1.0" encoding="utf-8"?>
<calcChain xmlns="http://schemas.openxmlformats.org/spreadsheetml/2006/main">
  <c r="N50" i="7" l="1"/>
  <c r="M54" i="7"/>
  <c r="AO58" i="7"/>
  <c r="AO56" i="7"/>
  <c r="AS18" i="7"/>
  <c r="AS20" i="7"/>
  <c r="AS19" i="7"/>
  <c r="W10" i="5"/>
  <c r="AR30" i="7"/>
  <c r="AR31" i="7"/>
  <c r="AR32" i="7"/>
  <c r="AR19" i="7"/>
  <c r="AR20" i="7"/>
  <c r="AR18" i="7"/>
  <c r="AR10" i="7"/>
  <c r="AR11" i="7"/>
  <c r="AR9" i="7"/>
  <c r="AR70" i="6"/>
  <c r="AR71" i="6"/>
  <c r="AR69" i="6"/>
  <c r="AN49" i="6"/>
  <c r="Z20" i="5" l="1"/>
  <c r="I31" i="7"/>
  <c r="R63" i="7"/>
  <c r="R53" i="6" l="1"/>
  <c r="AR67" i="6"/>
  <c r="AR66" i="6"/>
  <c r="AR65" i="6"/>
  <c r="AR53" i="6"/>
  <c r="AR54" i="6"/>
  <c r="AR55" i="6"/>
  <c r="AR45" i="6"/>
  <c r="AR46" i="6"/>
  <c r="AR31" i="6"/>
  <c r="AR32" i="6"/>
  <c r="AR33" i="6"/>
  <c r="AR19" i="6"/>
  <c r="AR20" i="6"/>
  <c r="AR21" i="6"/>
  <c r="AR11" i="6"/>
  <c r="AR12" i="6"/>
  <c r="AR10" i="6"/>
  <c r="AQ67" i="6"/>
  <c r="AQ66" i="6"/>
  <c r="AQ65" i="6"/>
  <c r="AQ55" i="6"/>
  <c r="AQ54" i="6"/>
  <c r="AQ53" i="6"/>
  <c r="AQ46" i="6"/>
  <c r="AQ45" i="6"/>
  <c r="AQ33" i="6"/>
  <c r="AQ32" i="6"/>
  <c r="AQ31" i="6"/>
  <c r="AQ21" i="6"/>
  <c r="AQ20" i="6"/>
  <c r="AQ19" i="6"/>
  <c r="AQ12" i="6"/>
  <c r="AQ11" i="6"/>
  <c r="AQ10" i="6"/>
  <c r="AT61" i="7"/>
  <c r="AT62" i="7"/>
  <c r="AT50" i="7"/>
  <c r="AT51" i="7"/>
  <c r="AT52" i="7"/>
  <c r="AT41" i="7"/>
  <c r="AT42" i="7"/>
  <c r="AT43" i="7"/>
  <c r="AT30" i="7"/>
  <c r="AT31" i="7"/>
  <c r="AT32" i="7"/>
  <c r="AT18" i="7"/>
  <c r="AT19" i="7"/>
  <c r="AT20" i="7"/>
  <c r="AT11" i="7"/>
  <c r="AT10" i="7"/>
  <c r="AT9" i="7"/>
  <c r="AQ62" i="7"/>
  <c r="AQ61" i="7"/>
  <c r="AQ52" i="7"/>
  <c r="AQ51" i="7"/>
  <c r="AQ50" i="7"/>
  <c r="AQ43" i="7"/>
  <c r="AQ42" i="7"/>
  <c r="AQ41" i="7"/>
  <c r="AQ32" i="7"/>
  <c r="AQ31" i="7"/>
  <c r="AQ30" i="7"/>
  <c r="AQ20" i="7"/>
  <c r="AQ19" i="7"/>
  <c r="AQ18" i="7"/>
  <c r="AQ11" i="7"/>
  <c r="AQ10" i="7"/>
  <c r="AQ9" i="7"/>
  <c r="M3" i="4"/>
  <c r="N3" i="4"/>
  <c r="O3" i="4"/>
  <c r="P3" i="4"/>
  <c r="Q3" i="4"/>
  <c r="R19" i="7" l="1"/>
  <c r="L29" i="4" l="1"/>
  <c r="N15" i="4"/>
  <c r="N10" i="4"/>
  <c r="N17" i="4"/>
  <c r="J10" i="4"/>
  <c r="J31" i="4"/>
  <c r="J28" i="4"/>
  <c r="J8" i="4"/>
  <c r="J9" i="4"/>
  <c r="J11" i="4"/>
  <c r="J12" i="4"/>
  <c r="J13" i="4"/>
  <c r="J14" i="4"/>
  <c r="J15" i="4"/>
  <c r="J16" i="4"/>
  <c r="J17" i="4"/>
  <c r="J18" i="4"/>
  <c r="J19" i="4"/>
  <c r="J21" i="4"/>
  <c r="J23" i="4"/>
  <c r="J24" i="4"/>
  <c r="J25" i="4"/>
  <c r="J26" i="4"/>
  <c r="J29" i="4"/>
  <c r="J32" i="4"/>
  <c r="J33" i="4"/>
  <c r="J34" i="4"/>
  <c r="J35" i="4"/>
  <c r="J36" i="4"/>
  <c r="J37" i="4"/>
  <c r="J38" i="4"/>
  <c r="J4" i="4"/>
  <c r="J7" i="4"/>
  <c r="J6" i="4"/>
  <c r="J5" i="4"/>
  <c r="J3" i="4"/>
  <c r="M67" i="6" l="1"/>
  <c r="G68" i="7" l="1"/>
  <c r="AF9" i="7" l="1"/>
  <c r="AC19" i="7"/>
  <c r="S62" i="7"/>
  <c r="AD62" i="7" s="1"/>
  <c r="S63" i="7"/>
  <c r="AD63" i="7" s="1"/>
  <c r="S61" i="7"/>
  <c r="AD61" i="7" s="1"/>
  <c r="R62" i="7"/>
  <c r="AC62" i="7" s="1"/>
  <c r="AC63" i="7"/>
  <c r="R61" i="7"/>
  <c r="AC61" i="7" s="1"/>
  <c r="S51" i="7"/>
  <c r="AD51" i="7" s="1"/>
  <c r="S52" i="7"/>
  <c r="AD52" i="7" s="1"/>
  <c r="S50" i="7"/>
  <c r="AD50" i="7" s="1"/>
  <c r="R51" i="7"/>
  <c r="AC51" i="7" s="1"/>
  <c r="R52" i="7"/>
  <c r="AC52" i="7" s="1"/>
  <c r="R50" i="7"/>
  <c r="AC50" i="7" s="1"/>
  <c r="S31" i="7"/>
  <c r="AD31" i="7" s="1"/>
  <c r="S32" i="7"/>
  <c r="AD32" i="7" s="1"/>
  <c r="S30" i="7"/>
  <c r="AD30" i="7" s="1"/>
  <c r="R31" i="7"/>
  <c r="AC31" i="7" s="1"/>
  <c r="R32" i="7"/>
  <c r="AC32" i="7" s="1"/>
  <c r="R30" i="7"/>
  <c r="AC30" i="7" s="1"/>
  <c r="S19" i="7"/>
  <c r="AD19" i="7" s="1"/>
  <c r="S20" i="7"/>
  <c r="AD20" i="7" s="1"/>
  <c r="S18" i="7"/>
  <c r="AD18" i="7" s="1"/>
  <c r="R20" i="7"/>
  <c r="AC20" i="7" s="1"/>
  <c r="R18" i="7"/>
  <c r="AC18" i="7" s="1"/>
  <c r="M45" i="6"/>
  <c r="AG46" i="6"/>
  <c r="AH46" i="6" s="1"/>
  <c r="AF46" i="6"/>
  <c r="AG45" i="6"/>
  <c r="AF45" i="6"/>
  <c r="AJ46" i="6" l="1"/>
  <c r="AE62" i="7"/>
  <c r="AH45" i="6"/>
  <c r="AJ45" i="6"/>
  <c r="AF11" i="6" l="1"/>
  <c r="T62" i="7" l="1"/>
  <c r="T63" i="7"/>
  <c r="S67" i="6"/>
  <c r="AD67" i="6" s="1"/>
  <c r="S66" i="6"/>
  <c r="AD66" i="6" s="1"/>
  <c r="S65" i="6"/>
  <c r="AD65" i="6" s="1"/>
  <c r="R67" i="6"/>
  <c r="AC67" i="6" s="1"/>
  <c r="R66" i="6"/>
  <c r="AC66" i="6" s="1"/>
  <c r="R65" i="6"/>
  <c r="AC65" i="6" s="1"/>
  <c r="S55" i="6"/>
  <c r="AD55" i="6" s="1"/>
  <c r="S54" i="6"/>
  <c r="AD54" i="6" s="1"/>
  <c r="S53" i="6"/>
  <c r="AD53" i="6" s="1"/>
  <c r="R55" i="6"/>
  <c r="AC55" i="6" s="1"/>
  <c r="R54" i="6"/>
  <c r="AC54" i="6" s="1"/>
  <c r="AC53" i="6"/>
  <c r="S33" i="6"/>
  <c r="AD33" i="6" s="1"/>
  <c r="S32" i="6"/>
  <c r="AD32" i="6" s="1"/>
  <c r="S31" i="6"/>
  <c r="AD31" i="6" s="1"/>
  <c r="R33" i="6"/>
  <c r="AC33" i="6" s="1"/>
  <c r="R32" i="6"/>
  <c r="AC32" i="6" s="1"/>
  <c r="R31" i="6"/>
  <c r="AC31" i="6" s="1"/>
  <c r="S21" i="6"/>
  <c r="AD21" i="6" s="1"/>
  <c r="S20" i="6"/>
  <c r="AD20" i="6" s="1"/>
  <c r="S19" i="6"/>
  <c r="AD19" i="6" s="1"/>
  <c r="R21" i="6"/>
  <c r="AC21" i="6" s="1"/>
  <c r="R20" i="6"/>
  <c r="AC20" i="6" s="1"/>
  <c r="R19" i="6"/>
  <c r="AC19" i="6" s="1"/>
  <c r="AE19" i="6" l="1"/>
  <c r="T19" i="6"/>
  <c r="U19" i="6" s="1"/>
  <c r="AE63" i="7"/>
  <c r="AE61" i="7"/>
  <c r="AE52" i="7"/>
  <c r="AE51" i="7"/>
  <c r="AE50" i="7"/>
  <c r="U62" i="7"/>
  <c r="V62" i="7" s="1"/>
  <c r="W62" i="7" l="1"/>
  <c r="X62" i="7" s="1"/>
  <c r="AE66" i="6" l="1"/>
  <c r="AE67" i="6"/>
  <c r="AE65" i="6"/>
  <c r="AE55" i="6"/>
  <c r="AE54" i="6"/>
  <c r="AE53" i="6"/>
  <c r="AE33" i="6"/>
  <c r="AE32" i="6"/>
  <c r="AE31" i="6"/>
  <c r="AE21" i="6"/>
  <c r="AE20" i="6"/>
  <c r="T54" i="6"/>
  <c r="U54" i="6" s="1"/>
  <c r="V54" i="6" s="1"/>
  <c r="T55" i="6"/>
  <c r="U55" i="6" s="1"/>
  <c r="W55" i="6" s="1"/>
  <c r="T53" i="6"/>
  <c r="U53" i="6" s="1"/>
  <c r="W53" i="6" s="1"/>
  <c r="T66" i="6"/>
  <c r="U66" i="6" s="1"/>
  <c r="V66" i="6" s="1"/>
  <c r="T67" i="6"/>
  <c r="U67" i="6" s="1"/>
  <c r="W67" i="6" s="1"/>
  <c r="T65" i="6"/>
  <c r="U65" i="6" s="1"/>
  <c r="T32" i="6"/>
  <c r="U32" i="6" s="1"/>
  <c r="V32" i="6" s="1"/>
  <c r="T33" i="6"/>
  <c r="U33" i="6" s="1"/>
  <c r="V33" i="6" s="1"/>
  <c r="T31" i="6"/>
  <c r="U31" i="6" s="1"/>
  <c r="T20" i="6"/>
  <c r="U20" i="6" s="1"/>
  <c r="T21" i="6"/>
  <c r="U21" i="6" s="1"/>
  <c r="V21" i="6" s="1"/>
  <c r="AE32" i="7"/>
  <c r="AE31" i="7"/>
  <c r="AE30" i="7"/>
  <c r="T31" i="7"/>
  <c r="U31" i="7" s="1"/>
  <c r="T32" i="7"/>
  <c r="U32" i="7" s="1"/>
  <c r="T30" i="7"/>
  <c r="U30" i="7" s="1"/>
  <c r="W32" i="7" l="1"/>
  <c r="V32" i="7"/>
  <c r="V31" i="7"/>
  <c r="W31" i="7"/>
  <c r="V30" i="7"/>
  <c r="W30" i="7"/>
  <c r="V67" i="6"/>
  <c r="X67" i="6" s="1"/>
  <c r="W66" i="6"/>
  <c r="X66" i="6" s="1"/>
  <c r="V65" i="6"/>
  <c r="W65" i="6"/>
  <c r="V55" i="6"/>
  <c r="X55" i="6"/>
  <c r="W54" i="6"/>
  <c r="X54" i="6" s="1"/>
  <c r="V53" i="6"/>
  <c r="X53" i="6" s="1"/>
  <c r="W33" i="6"/>
  <c r="X33" i="6" s="1"/>
  <c r="W32" i="6"/>
  <c r="X32" i="6" s="1"/>
  <c r="V31" i="6"/>
  <c r="W31" i="6"/>
  <c r="W20" i="6"/>
  <c r="V20" i="6"/>
  <c r="X20" i="6" s="1"/>
  <c r="W19" i="6"/>
  <c r="V19" i="6"/>
  <c r="W21" i="6"/>
  <c r="X21" i="6" s="1"/>
  <c r="AE20" i="7"/>
  <c r="AE19" i="7"/>
  <c r="AE18" i="7"/>
  <c r="AF10" i="7"/>
  <c r="AF11" i="7"/>
  <c r="U63" i="7"/>
  <c r="T61" i="7"/>
  <c r="U61" i="7" s="1"/>
  <c r="T51" i="7"/>
  <c r="U51" i="7" s="1"/>
  <c r="T52" i="7"/>
  <c r="U52" i="7" s="1"/>
  <c r="T50" i="7"/>
  <c r="U50" i="7" s="1"/>
  <c r="T19" i="7"/>
  <c r="U19" i="7" s="1"/>
  <c r="T20" i="7"/>
  <c r="U20" i="7" s="1"/>
  <c r="T18" i="7"/>
  <c r="U18" i="7" s="1"/>
  <c r="X19" i="6" l="1"/>
  <c r="X32" i="7"/>
  <c r="X31" i="7"/>
  <c r="X31" i="6"/>
  <c r="W63" i="7"/>
  <c r="V63" i="7"/>
  <c r="W61" i="7"/>
  <c r="V61" i="7"/>
  <c r="W52" i="7"/>
  <c r="V52" i="7"/>
  <c r="V51" i="7"/>
  <c r="W51" i="7"/>
  <c r="W50" i="7"/>
  <c r="V50" i="7"/>
  <c r="X30" i="7"/>
  <c r="X65" i="6"/>
  <c r="W20" i="7"/>
  <c r="V20" i="7"/>
  <c r="W19" i="7"/>
  <c r="V19" i="7"/>
  <c r="W18" i="7"/>
  <c r="V18" i="7"/>
  <c r="X18" i="7" l="1"/>
  <c r="X20" i="7"/>
  <c r="X50" i="7"/>
  <c r="X19" i="7"/>
  <c r="X63" i="7"/>
  <c r="X52" i="7"/>
  <c r="X51" i="7"/>
  <c r="X61" i="7"/>
  <c r="N3" i="6"/>
  <c r="N3" i="7"/>
  <c r="AF36" i="7"/>
  <c r="AG36" i="7"/>
  <c r="AF37" i="7"/>
  <c r="AG37" i="7"/>
  <c r="AF38" i="7"/>
  <c r="AG38" i="7"/>
  <c r="AF24" i="7"/>
  <c r="AG24" i="7"/>
  <c r="AF25" i="7"/>
  <c r="AG25" i="7"/>
  <c r="AF26" i="7"/>
  <c r="AG26" i="7"/>
  <c r="AG9" i="7"/>
  <c r="AJ9" i="7" s="1"/>
  <c r="AG10" i="7"/>
  <c r="AJ10" i="7" s="1"/>
  <c r="AG11" i="7"/>
  <c r="AJ11" i="7" s="1"/>
  <c r="AF67" i="7"/>
  <c r="AG67" i="7"/>
  <c r="AF68" i="7"/>
  <c r="AG68" i="7"/>
  <c r="AF69" i="7"/>
  <c r="AG69" i="7"/>
  <c r="AF56" i="7"/>
  <c r="AG56" i="7"/>
  <c r="AF58" i="7"/>
  <c r="AG58" i="7"/>
  <c r="AF41" i="7"/>
  <c r="AG41" i="7"/>
  <c r="AF42" i="7"/>
  <c r="AG42" i="7"/>
  <c r="AH60" i="6"/>
  <c r="AI60" i="6" s="1"/>
  <c r="AF59" i="6"/>
  <c r="AG59" i="6"/>
  <c r="AF60" i="6"/>
  <c r="AG60" i="6"/>
  <c r="AF61" i="6"/>
  <c r="AG61" i="6"/>
  <c r="AF71" i="6"/>
  <c r="AG71" i="6"/>
  <c r="AF72" i="6"/>
  <c r="AG72" i="6"/>
  <c r="AF37" i="6"/>
  <c r="AG37" i="6"/>
  <c r="AF38" i="6"/>
  <c r="AG38" i="6"/>
  <c r="AF39" i="6"/>
  <c r="AG39" i="6"/>
  <c r="AF25" i="6"/>
  <c r="AG25" i="6"/>
  <c r="AH25" i="6" s="1"/>
  <c r="AF26" i="6"/>
  <c r="AG26" i="6"/>
  <c r="AF27" i="6"/>
  <c r="AG27" i="6"/>
  <c r="AF10" i="6"/>
  <c r="AG10" i="6"/>
  <c r="AG11" i="6"/>
  <c r="AJ11" i="6" s="1"/>
  <c r="AF12" i="6"/>
  <c r="AG12" i="6"/>
  <c r="AH36" i="7" l="1"/>
  <c r="AJ27" i="6"/>
  <c r="AH71" i="6"/>
  <c r="AH27" i="6"/>
  <c r="AJ69" i="7"/>
  <c r="AH67" i="7"/>
  <c r="AJ25" i="7"/>
  <c r="AJ36" i="7"/>
  <c r="AJ58" i="7"/>
  <c r="AJ12" i="6"/>
  <c r="AJ10" i="6"/>
  <c r="AJ59" i="6"/>
  <c r="AJ61" i="6"/>
  <c r="AH12" i="6"/>
  <c r="AH26" i="6"/>
  <c r="AH37" i="6"/>
  <c r="AH61" i="6"/>
  <c r="AI71" i="6"/>
  <c r="AJ25" i="6"/>
  <c r="AJ60" i="6"/>
  <c r="AH39" i="6"/>
  <c r="AH72" i="6"/>
  <c r="AI72" i="6" s="1"/>
  <c r="AH59" i="6"/>
  <c r="AI59" i="6" s="1"/>
  <c r="AJ71" i="6"/>
  <c r="AJ39" i="6"/>
  <c r="AJ72" i="6"/>
  <c r="AH11" i="6"/>
  <c r="AH10" i="6"/>
  <c r="AJ56" i="7"/>
  <c r="AJ38" i="7"/>
  <c r="AJ37" i="7"/>
  <c r="AJ24" i="7"/>
  <c r="AH24" i="7"/>
  <c r="AJ41" i="7"/>
  <c r="AJ67" i="7"/>
  <c r="AJ68" i="7"/>
  <c r="AH56" i="7"/>
  <c r="AH42" i="7"/>
  <c r="AH25" i="7"/>
  <c r="AH10" i="7"/>
  <c r="AH58" i="7"/>
  <c r="AH68" i="7"/>
  <c r="AH9" i="7"/>
  <c r="AJ26" i="7"/>
  <c r="AH41" i="7"/>
  <c r="AH69" i="7"/>
  <c r="AJ42" i="7"/>
  <c r="AH26" i="7"/>
  <c r="AH37" i="7"/>
  <c r="AH38" i="7"/>
  <c r="AJ26" i="6"/>
  <c r="AJ38" i="6"/>
  <c r="AJ37" i="6"/>
  <c r="AH38" i="6"/>
  <c r="AI37" i="6" l="1"/>
  <c r="AI25" i="7"/>
  <c r="AI68" i="7"/>
  <c r="AI56" i="7"/>
  <c r="AI58" i="7"/>
  <c r="AI69" i="7"/>
  <c r="AI67" i="7"/>
  <c r="AI61" i="6"/>
  <c r="AI38" i="6"/>
  <c r="AI39" i="6"/>
  <c r="AI27" i="6"/>
  <c r="AI26" i="6"/>
  <c r="AI25" i="6"/>
  <c r="AI38" i="7"/>
  <c r="AI36" i="7"/>
  <c r="AI37" i="7"/>
  <c r="AI26" i="7"/>
  <c r="AI24" i="7"/>
  <c r="V174" i="5" l="1"/>
  <c r="U174" i="5"/>
  <c r="T174" i="5"/>
  <c r="V161" i="5"/>
  <c r="U161" i="5"/>
  <c r="T161" i="5"/>
  <c r="V154" i="5"/>
  <c r="U154" i="5"/>
  <c r="T154" i="5"/>
  <c r="V150" i="5"/>
  <c r="U150" i="5"/>
  <c r="T150" i="5"/>
  <c r="V143" i="5"/>
  <c r="U143" i="5"/>
  <c r="T143" i="5"/>
  <c r="V130" i="5"/>
  <c r="U130" i="5"/>
  <c r="T130" i="5"/>
  <c r="V120" i="5"/>
  <c r="U120" i="5"/>
  <c r="T120" i="5"/>
  <c r="V116" i="5"/>
  <c r="U116" i="5"/>
  <c r="T116" i="5"/>
  <c r="V106" i="5"/>
  <c r="U106" i="5"/>
  <c r="T106" i="5"/>
  <c r="V93" i="5"/>
  <c r="U93" i="5"/>
  <c r="T93" i="5"/>
  <c r="V83" i="5"/>
  <c r="U83" i="5"/>
  <c r="T83" i="5"/>
  <c r="V76" i="5"/>
  <c r="U76" i="5"/>
  <c r="T76" i="5"/>
  <c r="V66" i="5"/>
  <c r="U66" i="5"/>
  <c r="T66" i="5"/>
  <c r="V59" i="5"/>
  <c r="U59" i="5"/>
  <c r="T59" i="5"/>
  <c r="V49" i="5"/>
  <c r="U49" i="5"/>
  <c r="T49" i="5"/>
  <c r="V39" i="5"/>
  <c r="U39" i="5"/>
  <c r="T39" i="5"/>
  <c r="V32" i="5"/>
  <c r="U32" i="5"/>
  <c r="T32" i="5"/>
  <c r="V28" i="5"/>
  <c r="U28" i="5"/>
  <c r="V21" i="5"/>
  <c r="U21" i="5"/>
  <c r="T21" i="5"/>
  <c r="V15" i="5"/>
  <c r="U15" i="5"/>
  <c r="T15" i="5"/>
  <c r="U7" i="5"/>
  <c r="V7" i="5"/>
  <c r="T7" i="5"/>
  <c r="N13" i="5"/>
  <c r="P25" i="5" s="1"/>
  <c r="N153" i="5"/>
  <c r="N129" i="5"/>
  <c r="O133" i="5" s="1"/>
  <c r="N119" i="5"/>
  <c r="O123" i="5" s="1"/>
  <c r="N102" i="5"/>
  <c r="O105" i="5" s="1"/>
  <c r="N75" i="5"/>
  <c r="Q82" i="5" s="1"/>
  <c r="N58" i="5"/>
  <c r="R64" i="5" s="1"/>
  <c r="N31" i="5"/>
  <c r="N4" i="5"/>
  <c r="Q87" i="5" l="1"/>
  <c r="T4" i="5"/>
  <c r="O14" i="5"/>
  <c r="O156" i="5"/>
  <c r="R177" i="5"/>
  <c r="U4" i="5"/>
  <c r="P166" i="5"/>
  <c r="V4" i="5"/>
  <c r="R144" i="5"/>
  <c r="P162" i="5"/>
  <c r="R138" i="5"/>
  <c r="Q132" i="5"/>
  <c r="P132" i="5"/>
  <c r="Q160" i="5"/>
  <c r="O131" i="5"/>
  <c r="R155" i="5"/>
  <c r="O170" i="5"/>
  <c r="P157" i="5"/>
  <c r="R164" i="5"/>
  <c r="R136" i="5"/>
  <c r="R169" i="5"/>
  <c r="Q173" i="5"/>
  <c r="R160" i="5"/>
  <c r="P170" i="5"/>
  <c r="R149" i="5"/>
  <c r="P178" i="5"/>
  <c r="Q156" i="5"/>
  <c r="O145" i="5"/>
  <c r="O178" i="5"/>
  <c r="Q166" i="5"/>
  <c r="R142" i="5"/>
  <c r="R180" i="5"/>
  <c r="P107" i="5"/>
  <c r="P136" i="5"/>
  <c r="R168" i="5"/>
  <c r="R135" i="5"/>
  <c r="O164" i="5"/>
  <c r="Q113" i="5"/>
  <c r="P113" i="5"/>
  <c r="Q149" i="5"/>
  <c r="R104" i="5"/>
  <c r="O142" i="5"/>
  <c r="R172" i="5"/>
  <c r="P126" i="5"/>
  <c r="O136" i="5"/>
  <c r="R176" i="5"/>
  <c r="P164" i="5"/>
  <c r="R175" i="5"/>
  <c r="R124" i="5"/>
  <c r="R146" i="5"/>
  <c r="O140" i="5"/>
  <c r="P134" i="5"/>
  <c r="R179" i="5"/>
  <c r="Q175" i="5"/>
  <c r="Q167" i="5"/>
  <c r="R163" i="5"/>
  <c r="Q158" i="5"/>
  <c r="Q136" i="5"/>
  <c r="P149" i="5"/>
  <c r="Q177" i="5"/>
  <c r="Q164" i="5"/>
  <c r="R159" i="5"/>
  <c r="R147" i="5"/>
  <c r="Q140" i="5"/>
  <c r="Q180" i="5"/>
  <c r="P172" i="5"/>
  <c r="O168" i="5"/>
  <c r="W168" i="5" s="1"/>
  <c r="O159" i="5"/>
  <c r="O126" i="5"/>
  <c r="O147" i="5"/>
  <c r="P140" i="5"/>
  <c r="P180" i="5"/>
  <c r="O172" i="5"/>
  <c r="R167" i="5"/>
  <c r="R158" i="5"/>
  <c r="R171" i="5"/>
  <c r="Q80" i="5"/>
  <c r="O122" i="5"/>
  <c r="R145" i="5"/>
  <c r="R139" i="5"/>
  <c r="R132" i="5"/>
  <c r="Q178" i="5"/>
  <c r="Q170" i="5"/>
  <c r="R166" i="5"/>
  <c r="Q162" i="5"/>
  <c r="R157" i="5"/>
  <c r="Q20" i="5"/>
  <c r="O20" i="5"/>
  <c r="Q111" i="5"/>
  <c r="Q124" i="5"/>
  <c r="O25" i="5"/>
  <c r="R111" i="5"/>
  <c r="Q16" i="5"/>
  <c r="P124" i="5"/>
  <c r="Q147" i="5"/>
  <c r="Q142" i="5"/>
  <c r="Q138" i="5"/>
  <c r="O134" i="5"/>
  <c r="P20" i="5"/>
  <c r="R107" i="5"/>
  <c r="Q89" i="5"/>
  <c r="Q107" i="5"/>
  <c r="P122" i="5"/>
  <c r="P147" i="5"/>
  <c r="P142" i="5"/>
  <c r="R137" i="5"/>
  <c r="R133" i="5"/>
  <c r="W133" i="5" s="1"/>
  <c r="O180" i="5"/>
  <c r="O176" i="5"/>
  <c r="Q172" i="5"/>
  <c r="Q169" i="5"/>
  <c r="Q165" i="5"/>
  <c r="O162" i="5"/>
  <c r="Q157" i="5"/>
  <c r="P6" i="5"/>
  <c r="R10" i="5"/>
  <c r="Q8" i="5"/>
  <c r="R115" i="5"/>
  <c r="P111" i="5"/>
  <c r="R8" i="5"/>
  <c r="Q78" i="5"/>
  <c r="Q104" i="5"/>
  <c r="R71" i="5"/>
  <c r="Q115" i="5"/>
  <c r="R109" i="5"/>
  <c r="P104" i="5"/>
  <c r="O124" i="5"/>
  <c r="Q6" i="5"/>
  <c r="Q10" i="5"/>
  <c r="Q9" i="5"/>
  <c r="Q98" i="5"/>
  <c r="P115" i="5"/>
  <c r="Q109" i="5"/>
  <c r="R126" i="5"/>
  <c r="R122" i="5"/>
  <c r="O149" i="5"/>
  <c r="Q145" i="5"/>
  <c r="R141" i="5"/>
  <c r="P138" i="5"/>
  <c r="R134" i="5"/>
  <c r="O132" i="5"/>
  <c r="Q179" i="5"/>
  <c r="Q176" i="5"/>
  <c r="Q171" i="5"/>
  <c r="Q168" i="5"/>
  <c r="O166" i="5"/>
  <c r="Q163" i="5"/>
  <c r="Q159" i="5"/>
  <c r="O157" i="5"/>
  <c r="Q96" i="5"/>
  <c r="R113" i="5"/>
  <c r="P109" i="5"/>
  <c r="Q126" i="5"/>
  <c r="Q122" i="5"/>
  <c r="R148" i="5"/>
  <c r="P145" i="5"/>
  <c r="R140" i="5"/>
  <c r="O138" i="5"/>
  <c r="W138" i="5" s="1"/>
  <c r="Q134" i="5"/>
  <c r="O155" i="5"/>
  <c r="R178" i="5"/>
  <c r="P176" i="5"/>
  <c r="R173" i="5"/>
  <c r="R170" i="5"/>
  <c r="P168" i="5"/>
  <c r="R165" i="5"/>
  <c r="R162" i="5"/>
  <c r="P159" i="5"/>
  <c r="R156" i="5"/>
  <c r="P67" i="5"/>
  <c r="O34" i="5"/>
  <c r="R35" i="5"/>
  <c r="Q71" i="5"/>
  <c r="R96" i="5"/>
  <c r="R87" i="5"/>
  <c r="R78" i="5"/>
  <c r="O61" i="5"/>
  <c r="O63" i="5"/>
  <c r="O65" i="5"/>
  <c r="O68" i="5"/>
  <c r="O70" i="5"/>
  <c r="P60" i="5"/>
  <c r="Q63" i="5"/>
  <c r="Q68" i="5"/>
  <c r="O60" i="5"/>
  <c r="O69" i="5"/>
  <c r="P64" i="5"/>
  <c r="P61" i="5"/>
  <c r="P63" i="5"/>
  <c r="P65" i="5"/>
  <c r="P68" i="5"/>
  <c r="P70" i="5"/>
  <c r="Q60" i="5"/>
  <c r="Q65" i="5"/>
  <c r="R60" i="5"/>
  <c r="R63" i="5"/>
  <c r="R68" i="5"/>
  <c r="O62" i="5"/>
  <c r="O67" i="5"/>
  <c r="O71" i="5"/>
  <c r="P62" i="5"/>
  <c r="Q61" i="5"/>
  <c r="Q70" i="5"/>
  <c r="R61" i="5"/>
  <c r="R65" i="5"/>
  <c r="R70" i="5"/>
  <c r="O64" i="5"/>
  <c r="W64" i="5" s="1"/>
  <c r="P71" i="5"/>
  <c r="Q64" i="5"/>
  <c r="R94" i="5"/>
  <c r="Q69" i="5"/>
  <c r="Q94" i="5"/>
  <c r="P69" i="5"/>
  <c r="O77" i="5"/>
  <c r="R91" i="5"/>
  <c r="R82" i="5"/>
  <c r="R69" i="5"/>
  <c r="Q62" i="5"/>
  <c r="O17" i="5"/>
  <c r="R16" i="5"/>
  <c r="R20" i="5"/>
  <c r="R25" i="5"/>
  <c r="P18" i="5"/>
  <c r="R18" i="5"/>
  <c r="O18" i="5"/>
  <c r="O23" i="5"/>
  <c r="O27" i="5"/>
  <c r="P27" i="5"/>
  <c r="Q18" i="5"/>
  <c r="Q27" i="5"/>
  <c r="R23" i="5"/>
  <c r="P23" i="5"/>
  <c r="Q23" i="5"/>
  <c r="R27" i="5"/>
  <c r="P16" i="5"/>
  <c r="R67" i="5"/>
  <c r="R77" i="5"/>
  <c r="Q91" i="5"/>
  <c r="O79" i="5"/>
  <c r="O81" i="5"/>
  <c r="O84" i="5"/>
  <c r="O86" i="5"/>
  <c r="O88" i="5"/>
  <c r="O90" i="5"/>
  <c r="O92" i="5"/>
  <c r="O95" i="5"/>
  <c r="O97" i="5"/>
  <c r="O99" i="5"/>
  <c r="Q84" i="5"/>
  <c r="Q95" i="5"/>
  <c r="O78" i="5"/>
  <c r="O80" i="5"/>
  <c r="O85" i="5"/>
  <c r="O91" i="5"/>
  <c r="P77" i="5"/>
  <c r="P78" i="5"/>
  <c r="P85" i="5"/>
  <c r="P98" i="5"/>
  <c r="P79" i="5"/>
  <c r="P81" i="5"/>
  <c r="P84" i="5"/>
  <c r="P86" i="5"/>
  <c r="P88" i="5"/>
  <c r="P90" i="5"/>
  <c r="P92" i="5"/>
  <c r="P95" i="5"/>
  <c r="P97" i="5"/>
  <c r="P99" i="5"/>
  <c r="Q88" i="5"/>
  <c r="Q97" i="5"/>
  <c r="R79" i="5"/>
  <c r="R86" i="5"/>
  <c r="R90" i="5"/>
  <c r="R95" i="5"/>
  <c r="R99" i="5"/>
  <c r="O87" i="5"/>
  <c r="O94" i="5"/>
  <c r="P82" i="5"/>
  <c r="P89" i="5"/>
  <c r="P96" i="5"/>
  <c r="Q79" i="5"/>
  <c r="Q81" i="5"/>
  <c r="Q86" i="5"/>
  <c r="Q90" i="5"/>
  <c r="Q92" i="5"/>
  <c r="Q99" i="5"/>
  <c r="R81" i="5"/>
  <c r="R84" i="5"/>
  <c r="R88" i="5"/>
  <c r="R92" i="5"/>
  <c r="R97" i="5"/>
  <c r="O82" i="5"/>
  <c r="O89" i="5"/>
  <c r="O96" i="5"/>
  <c r="W96" i="5" s="1"/>
  <c r="P80" i="5"/>
  <c r="P91" i="5"/>
  <c r="Q77" i="5"/>
  <c r="O98" i="5"/>
  <c r="P94" i="5"/>
  <c r="P87" i="5"/>
  <c r="R62" i="5"/>
  <c r="R85" i="5"/>
  <c r="Q85" i="5"/>
  <c r="Q25" i="5"/>
  <c r="O16" i="5"/>
  <c r="Q67" i="5"/>
  <c r="R98" i="5"/>
  <c r="R89" i="5"/>
  <c r="R80" i="5"/>
  <c r="O113" i="5"/>
  <c r="O107" i="5"/>
  <c r="R114" i="5"/>
  <c r="R110" i="5"/>
  <c r="R105" i="5"/>
  <c r="W105" i="5" s="1"/>
  <c r="R125" i="5"/>
  <c r="Q103" i="5"/>
  <c r="Q114" i="5"/>
  <c r="Q112" i="5"/>
  <c r="Q110" i="5"/>
  <c r="Q108" i="5"/>
  <c r="Q105" i="5"/>
  <c r="R121" i="5"/>
  <c r="Q125" i="5"/>
  <c r="Q123" i="5"/>
  <c r="R131" i="5"/>
  <c r="Q148" i="5"/>
  <c r="Q146" i="5"/>
  <c r="Q144" i="5"/>
  <c r="Q141" i="5"/>
  <c r="Q139" i="5"/>
  <c r="Q137" i="5"/>
  <c r="O115" i="5"/>
  <c r="O111" i="5"/>
  <c r="O104" i="5"/>
  <c r="O103" i="5"/>
  <c r="R112" i="5"/>
  <c r="R108" i="5"/>
  <c r="O121" i="5"/>
  <c r="W121" i="5" s="1"/>
  <c r="R123" i="5"/>
  <c r="W123" i="5" s="1"/>
  <c r="Q135" i="5"/>
  <c r="P103" i="5"/>
  <c r="P114" i="5"/>
  <c r="P112" i="5"/>
  <c r="P110" i="5"/>
  <c r="P108" i="5"/>
  <c r="P105" i="5"/>
  <c r="Q121" i="5"/>
  <c r="P125" i="5"/>
  <c r="P123" i="5"/>
  <c r="Q131" i="5"/>
  <c r="P148" i="5"/>
  <c r="P146" i="5"/>
  <c r="P144" i="5"/>
  <c r="P141" i="5"/>
  <c r="P139" i="5"/>
  <c r="P137" i="5"/>
  <c r="P135" i="5"/>
  <c r="P133" i="5"/>
  <c r="Q155" i="5"/>
  <c r="P179" i="5"/>
  <c r="P177" i="5"/>
  <c r="P175" i="5"/>
  <c r="P173" i="5"/>
  <c r="P171" i="5"/>
  <c r="P169" i="5"/>
  <c r="P167" i="5"/>
  <c r="P165" i="5"/>
  <c r="P163" i="5"/>
  <c r="P160" i="5"/>
  <c r="P158" i="5"/>
  <c r="P156" i="5"/>
  <c r="O109" i="5"/>
  <c r="Q133" i="5"/>
  <c r="R6" i="5"/>
  <c r="R9" i="5"/>
  <c r="R103" i="5"/>
  <c r="O114" i="5"/>
  <c r="O112" i="5"/>
  <c r="O110" i="5"/>
  <c r="O108" i="5"/>
  <c r="P121" i="5"/>
  <c r="O125" i="5"/>
  <c r="P131" i="5"/>
  <c r="O148" i="5"/>
  <c r="O146" i="5"/>
  <c r="O144" i="5"/>
  <c r="O141" i="5"/>
  <c r="W141" i="5" s="1"/>
  <c r="O139" i="5"/>
  <c r="O137" i="5"/>
  <c r="W137" i="5" s="1"/>
  <c r="O135" i="5"/>
  <c r="P155" i="5"/>
  <c r="O179" i="5"/>
  <c r="O177" i="5"/>
  <c r="O175" i="5"/>
  <c r="O173" i="5"/>
  <c r="W173" i="5" s="1"/>
  <c r="O171" i="5"/>
  <c r="W171" i="5" s="1"/>
  <c r="O169" i="5"/>
  <c r="W169" i="5" s="1"/>
  <c r="O167" i="5"/>
  <c r="O165" i="5"/>
  <c r="O163" i="5"/>
  <c r="O160" i="5"/>
  <c r="O158" i="5"/>
  <c r="W158" i="5" s="1"/>
  <c r="R55" i="5"/>
  <c r="R51" i="5"/>
  <c r="R46" i="5"/>
  <c r="R42" i="5"/>
  <c r="R40" i="5"/>
  <c r="Q55" i="5"/>
  <c r="Q51" i="5"/>
  <c r="Q46" i="5"/>
  <c r="Q44" i="5"/>
  <c r="Q37" i="5"/>
  <c r="P55" i="5"/>
  <c r="P51" i="5"/>
  <c r="P46" i="5"/>
  <c r="P42" i="5"/>
  <c r="P37" i="5"/>
  <c r="O53" i="5"/>
  <c r="O51" i="5"/>
  <c r="O46" i="5"/>
  <c r="O44" i="5"/>
  <c r="O42" i="5"/>
  <c r="W42" i="5" s="1"/>
  <c r="O40" i="5"/>
  <c r="W40" i="5" s="1"/>
  <c r="O35" i="5"/>
  <c r="R26" i="5"/>
  <c r="R24" i="5"/>
  <c r="R22" i="5"/>
  <c r="R19" i="5"/>
  <c r="R17" i="5"/>
  <c r="O33" i="5"/>
  <c r="R52" i="5"/>
  <c r="R50" i="5"/>
  <c r="R47" i="5"/>
  <c r="R45" i="5"/>
  <c r="R43" i="5"/>
  <c r="R41" i="5"/>
  <c r="R38" i="5"/>
  <c r="R36" i="5"/>
  <c r="R34" i="5"/>
  <c r="P10" i="5"/>
  <c r="P9" i="5"/>
  <c r="P8" i="5"/>
  <c r="R14" i="5"/>
  <c r="W14" i="5" s="1"/>
  <c r="Q26" i="5"/>
  <c r="Q24" i="5"/>
  <c r="Q22" i="5"/>
  <c r="Q19" i="5"/>
  <c r="Q17" i="5"/>
  <c r="R33" i="5"/>
  <c r="Q54" i="5"/>
  <c r="Q52" i="5"/>
  <c r="Q50" i="5"/>
  <c r="Q47" i="5"/>
  <c r="Q45" i="5"/>
  <c r="Q43" i="5"/>
  <c r="Q41" i="5"/>
  <c r="Q38" i="5"/>
  <c r="Q36" i="5"/>
  <c r="Q34" i="5"/>
  <c r="O10" i="5"/>
  <c r="O9" i="5"/>
  <c r="O8" i="5"/>
  <c r="Q14" i="5"/>
  <c r="P26" i="5"/>
  <c r="P24" i="5"/>
  <c r="P22" i="5"/>
  <c r="P19" i="5"/>
  <c r="P17" i="5"/>
  <c r="Q33" i="5"/>
  <c r="P54" i="5"/>
  <c r="P52" i="5"/>
  <c r="P50" i="5"/>
  <c r="P47" i="5"/>
  <c r="P45" i="5"/>
  <c r="P43" i="5"/>
  <c r="P41" i="5"/>
  <c r="P38" i="5"/>
  <c r="P36" i="5"/>
  <c r="P34" i="5"/>
  <c r="R53" i="5"/>
  <c r="R48" i="5"/>
  <c r="R44" i="5"/>
  <c r="R37" i="5"/>
  <c r="Q53" i="5"/>
  <c r="Q48" i="5"/>
  <c r="Q42" i="5"/>
  <c r="Q40" i="5"/>
  <c r="Q35" i="5"/>
  <c r="P53" i="5"/>
  <c r="P48" i="5"/>
  <c r="P44" i="5"/>
  <c r="P40" i="5"/>
  <c r="P35" i="5"/>
  <c r="O55" i="5"/>
  <c r="O48" i="5"/>
  <c r="O37" i="5"/>
  <c r="R54" i="5"/>
  <c r="O6" i="5"/>
  <c r="P14" i="5"/>
  <c r="O26" i="5"/>
  <c r="O24" i="5"/>
  <c r="O22" i="5"/>
  <c r="O19" i="5"/>
  <c r="P33" i="5"/>
  <c r="O54" i="5"/>
  <c r="O52" i="5"/>
  <c r="O50" i="5"/>
  <c r="O47" i="5"/>
  <c r="O45" i="5"/>
  <c r="O43" i="5"/>
  <c r="O41" i="5"/>
  <c r="O38" i="5"/>
  <c r="O36" i="5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T30" i="4"/>
  <c r="J30" i="4" s="1"/>
  <c r="Q30" i="4"/>
  <c r="P30" i="4"/>
  <c r="O30" i="4"/>
  <c r="N30" i="4"/>
  <c r="M30" i="4"/>
  <c r="L30" i="4"/>
  <c r="I30" i="4" s="1"/>
  <c r="Q29" i="4"/>
  <c r="P29" i="4"/>
  <c r="O29" i="4"/>
  <c r="N29" i="4"/>
  <c r="M29" i="4"/>
  <c r="Q28" i="4"/>
  <c r="P28" i="4"/>
  <c r="O28" i="4"/>
  <c r="N28" i="4"/>
  <c r="M28" i="4"/>
  <c r="L28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R22" i="4"/>
  <c r="J22" i="4" s="1"/>
  <c r="Q22" i="4"/>
  <c r="P22" i="4"/>
  <c r="O22" i="4"/>
  <c r="N22" i="4"/>
  <c r="M22" i="4"/>
  <c r="L22" i="4"/>
  <c r="Q21" i="4"/>
  <c r="P21" i="4"/>
  <c r="O21" i="4"/>
  <c r="N21" i="4"/>
  <c r="M21" i="4"/>
  <c r="L21" i="4"/>
  <c r="U20" i="4"/>
  <c r="T20" i="4"/>
  <c r="S20" i="4"/>
  <c r="J20" i="4" s="1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M17" i="4"/>
  <c r="L17" i="4"/>
  <c r="Q16" i="4"/>
  <c r="P16" i="4"/>
  <c r="O16" i="4"/>
  <c r="N16" i="4"/>
  <c r="M16" i="4"/>
  <c r="L16" i="4"/>
  <c r="Q15" i="4"/>
  <c r="P15" i="4"/>
  <c r="O15" i="4"/>
  <c r="M15" i="4"/>
  <c r="L15" i="4"/>
  <c r="I15" i="4" s="1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I8" i="4" s="1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L3" i="4"/>
  <c r="AC651" i="1"/>
  <c r="AB651" i="1"/>
  <c r="AA651" i="1"/>
  <c r="Z651" i="1"/>
  <c r="Y651" i="1"/>
  <c r="Q651" i="1"/>
  <c r="AC650" i="1"/>
  <c r="AB650" i="1"/>
  <c r="AA650" i="1"/>
  <c r="Z650" i="1"/>
  <c r="Y650" i="1"/>
  <c r="Q650" i="1"/>
  <c r="AC649" i="1"/>
  <c r="AB649" i="1"/>
  <c r="AA649" i="1"/>
  <c r="Z649" i="1"/>
  <c r="Y649" i="1"/>
  <c r="Q649" i="1"/>
  <c r="AC648" i="1"/>
  <c r="AB648" i="1"/>
  <c r="AA648" i="1"/>
  <c r="Z648" i="1"/>
  <c r="Y648" i="1"/>
  <c r="Q648" i="1"/>
  <c r="AC647" i="1"/>
  <c r="AB647" i="1"/>
  <c r="AA647" i="1"/>
  <c r="Y647" i="1"/>
  <c r="Q647" i="1"/>
  <c r="AC646" i="1"/>
  <c r="AB646" i="1"/>
  <c r="AA646" i="1"/>
  <c r="Z646" i="1"/>
  <c r="Y646" i="1"/>
  <c r="Q646" i="1"/>
  <c r="AC645" i="1"/>
  <c r="AB645" i="1"/>
  <c r="AA645" i="1"/>
  <c r="Z645" i="1"/>
  <c r="Y645" i="1"/>
  <c r="Q645" i="1"/>
  <c r="AC644" i="1"/>
  <c r="AB644" i="1"/>
  <c r="AA644" i="1"/>
  <c r="Z644" i="1"/>
  <c r="Y644" i="1"/>
  <c r="Q644" i="1"/>
  <c r="AC643" i="1"/>
  <c r="AB643" i="1"/>
  <c r="AA643" i="1"/>
  <c r="Z643" i="1"/>
  <c r="Y643" i="1"/>
  <c r="Q643" i="1"/>
  <c r="AC642" i="1"/>
  <c r="AB642" i="1"/>
  <c r="AA642" i="1"/>
  <c r="Z642" i="1"/>
  <c r="Y642" i="1"/>
  <c r="Q642" i="1"/>
  <c r="AC641" i="1"/>
  <c r="AB641" i="1"/>
  <c r="AA641" i="1"/>
  <c r="Z641" i="1"/>
  <c r="Y641" i="1"/>
  <c r="Q641" i="1"/>
  <c r="AC640" i="1"/>
  <c r="AB640" i="1"/>
  <c r="AA640" i="1"/>
  <c r="Z640" i="1"/>
  <c r="Y640" i="1"/>
  <c r="Q640" i="1"/>
  <c r="AC639" i="1"/>
  <c r="AB639" i="1"/>
  <c r="AA639" i="1"/>
  <c r="Z639" i="1"/>
  <c r="Y639" i="1"/>
  <c r="Q639" i="1"/>
  <c r="AC638" i="1"/>
  <c r="AB638" i="1"/>
  <c r="AA638" i="1"/>
  <c r="Z638" i="1"/>
  <c r="Y638" i="1"/>
  <c r="Q638" i="1"/>
  <c r="AC637" i="1"/>
  <c r="AB637" i="1"/>
  <c r="AA637" i="1"/>
  <c r="Z637" i="1"/>
  <c r="Y637" i="1"/>
  <c r="Q637" i="1"/>
  <c r="AC636" i="1"/>
  <c r="AB636" i="1"/>
  <c r="AA636" i="1"/>
  <c r="Z636" i="1"/>
  <c r="Y636" i="1"/>
  <c r="Q636" i="1"/>
  <c r="AC635" i="1"/>
  <c r="AB635" i="1"/>
  <c r="AA635" i="1"/>
  <c r="Z635" i="1"/>
  <c r="Y635" i="1"/>
  <c r="Q635" i="1"/>
  <c r="AC634" i="1"/>
  <c r="AB634" i="1"/>
  <c r="AA634" i="1"/>
  <c r="Z634" i="1"/>
  <c r="Y634" i="1"/>
  <c r="Q634" i="1"/>
  <c r="AC633" i="1"/>
  <c r="AB633" i="1"/>
  <c r="AA633" i="1"/>
  <c r="Z633" i="1"/>
  <c r="Y633" i="1"/>
  <c r="Q633" i="1"/>
  <c r="AC632" i="1"/>
  <c r="AB632" i="1"/>
  <c r="AA632" i="1"/>
  <c r="Z632" i="1"/>
  <c r="Y632" i="1"/>
  <c r="Q632" i="1"/>
  <c r="AC631" i="1"/>
  <c r="AB631" i="1"/>
  <c r="AA631" i="1"/>
  <c r="Z631" i="1"/>
  <c r="Y631" i="1"/>
  <c r="Q631" i="1"/>
  <c r="AC630" i="1"/>
  <c r="AB630" i="1"/>
  <c r="AA630" i="1"/>
  <c r="Z630" i="1"/>
  <c r="Y630" i="1"/>
  <c r="Q630" i="1"/>
  <c r="AC629" i="1"/>
  <c r="AB629" i="1"/>
  <c r="AA629" i="1"/>
  <c r="Z629" i="1"/>
  <c r="Y629" i="1"/>
  <c r="Q629" i="1"/>
  <c r="AC628" i="1"/>
  <c r="AB628" i="1"/>
  <c r="AA628" i="1"/>
  <c r="Z628" i="1"/>
  <c r="Y628" i="1"/>
  <c r="Q628" i="1"/>
  <c r="AC627" i="1"/>
  <c r="AB627" i="1"/>
  <c r="AA627" i="1"/>
  <c r="Z627" i="1"/>
  <c r="Y627" i="1"/>
  <c r="Q627" i="1"/>
  <c r="AC626" i="1"/>
  <c r="AB626" i="1"/>
  <c r="AA626" i="1"/>
  <c r="Z626" i="1"/>
  <c r="Y626" i="1"/>
  <c r="Q626" i="1"/>
  <c r="AC625" i="1"/>
  <c r="AB625" i="1"/>
  <c r="AA625" i="1"/>
  <c r="Z625" i="1"/>
  <c r="Y625" i="1"/>
  <c r="Q625" i="1"/>
  <c r="AC624" i="1"/>
  <c r="AB624" i="1"/>
  <c r="AA624" i="1"/>
  <c r="Z624" i="1"/>
  <c r="Y624" i="1"/>
  <c r="Q624" i="1"/>
  <c r="AC623" i="1"/>
  <c r="AB623" i="1"/>
  <c r="AA623" i="1"/>
  <c r="Z623" i="1"/>
  <c r="Y623" i="1"/>
  <c r="Q623" i="1"/>
  <c r="AC622" i="1"/>
  <c r="AB622" i="1"/>
  <c r="AA622" i="1"/>
  <c r="Z622" i="1"/>
  <c r="Y622" i="1"/>
  <c r="Q622" i="1"/>
  <c r="AC621" i="1"/>
  <c r="AB621" i="1"/>
  <c r="AA621" i="1"/>
  <c r="Z621" i="1"/>
  <c r="Y621" i="1"/>
  <c r="Q621" i="1"/>
  <c r="AC620" i="1"/>
  <c r="AB620" i="1"/>
  <c r="AA620" i="1"/>
  <c r="Z620" i="1"/>
  <c r="Y620" i="1"/>
  <c r="Q620" i="1"/>
  <c r="AC619" i="1"/>
  <c r="AB619" i="1"/>
  <c r="AA619" i="1"/>
  <c r="Z619" i="1"/>
  <c r="Y619" i="1"/>
  <c r="Q619" i="1"/>
  <c r="AC618" i="1"/>
  <c r="AB618" i="1"/>
  <c r="AA618" i="1"/>
  <c r="Z618" i="1"/>
  <c r="Y618" i="1"/>
  <c r="Q618" i="1"/>
  <c r="AC617" i="1"/>
  <c r="AB617" i="1"/>
  <c r="AA617" i="1"/>
  <c r="Z617" i="1"/>
  <c r="Y617" i="1"/>
  <c r="Q617" i="1"/>
  <c r="AC616" i="1"/>
  <c r="AB616" i="1"/>
  <c r="AA616" i="1"/>
  <c r="Z616" i="1"/>
  <c r="Y616" i="1"/>
  <c r="Q616" i="1"/>
  <c r="AC615" i="1"/>
  <c r="AB615" i="1"/>
  <c r="AA615" i="1"/>
  <c r="Z615" i="1"/>
  <c r="Y615" i="1"/>
  <c r="Q615" i="1"/>
  <c r="AC614" i="1"/>
  <c r="AB614" i="1"/>
  <c r="AA614" i="1"/>
  <c r="Z614" i="1"/>
  <c r="Y614" i="1"/>
  <c r="Q614" i="1"/>
  <c r="AC613" i="1"/>
  <c r="AB613" i="1"/>
  <c r="AA613" i="1"/>
  <c r="Z613" i="1"/>
  <c r="Y613" i="1"/>
  <c r="Q613" i="1"/>
  <c r="AC612" i="1"/>
  <c r="AB612" i="1"/>
  <c r="AA612" i="1"/>
  <c r="Z612" i="1"/>
  <c r="Y612" i="1"/>
  <c r="Q612" i="1"/>
  <c r="AC611" i="1"/>
  <c r="AB611" i="1"/>
  <c r="AA611" i="1"/>
  <c r="Z611" i="1"/>
  <c r="Y611" i="1"/>
  <c r="Q611" i="1"/>
  <c r="AC610" i="1"/>
  <c r="AB610" i="1"/>
  <c r="AA610" i="1"/>
  <c r="Z610" i="1"/>
  <c r="Y610" i="1"/>
  <c r="Q610" i="1"/>
  <c r="AC609" i="1"/>
  <c r="AB609" i="1"/>
  <c r="AA609" i="1"/>
  <c r="Z609" i="1"/>
  <c r="Y609" i="1"/>
  <c r="AC608" i="1"/>
  <c r="AB608" i="1"/>
  <c r="AA608" i="1"/>
  <c r="Z608" i="1"/>
  <c r="Y608" i="1"/>
  <c r="AC607" i="1"/>
  <c r="AB607" i="1"/>
  <c r="AA607" i="1"/>
  <c r="Z607" i="1"/>
  <c r="Y607" i="1"/>
  <c r="AC606" i="1"/>
  <c r="AB606" i="1"/>
  <c r="AA606" i="1"/>
  <c r="Z606" i="1"/>
  <c r="Y606" i="1"/>
  <c r="AC605" i="1"/>
  <c r="AB605" i="1"/>
  <c r="AA605" i="1"/>
  <c r="Z605" i="1"/>
  <c r="Y605" i="1"/>
  <c r="AC604" i="1"/>
  <c r="AB604" i="1"/>
  <c r="AA604" i="1"/>
  <c r="Z604" i="1"/>
  <c r="Y604" i="1"/>
  <c r="AC603" i="1"/>
  <c r="AB603" i="1"/>
  <c r="AA603" i="1"/>
  <c r="Z603" i="1"/>
  <c r="Y603" i="1"/>
  <c r="AC602" i="1"/>
  <c r="AB602" i="1"/>
  <c r="AA602" i="1"/>
  <c r="Z602" i="1"/>
  <c r="Y602" i="1"/>
  <c r="AC601" i="1"/>
  <c r="AB601" i="1"/>
  <c r="AA601" i="1"/>
  <c r="Z601" i="1"/>
  <c r="Y601" i="1"/>
  <c r="AC600" i="1"/>
  <c r="AB600" i="1"/>
  <c r="AA600" i="1"/>
  <c r="Z600" i="1"/>
  <c r="Y600" i="1"/>
  <c r="AC599" i="1"/>
  <c r="AB599" i="1"/>
  <c r="AA599" i="1"/>
  <c r="Z599" i="1"/>
  <c r="Y599" i="1"/>
  <c r="AC598" i="1"/>
  <c r="AB598" i="1"/>
  <c r="AA598" i="1"/>
  <c r="Z598" i="1"/>
  <c r="Y598" i="1"/>
  <c r="AC597" i="1"/>
  <c r="AB597" i="1"/>
  <c r="AA597" i="1"/>
  <c r="Z597" i="1"/>
  <c r="Y597" i="1"/>
  <c r="AC596" i="1"/>
  <c r="AB596" i="1"/>
  <c r="AA596" i="1"/>
  <c r="Z596" i="1"/>
  <c r="Y596" i="1"/>
  <c r="AC595" i="1"/>
  <c r="AB595" i="1"/>
  <c r="AA595" i="1"/>
  <c r="Z595" i="1"/>
  <c r="Y595" i="1"/>
  <c r="AC594" i="1"/>
  <c r="AB594" i="1"/>
  <c r="AA594" i="1"/>
  <c r="Z594" i="1"/>
  <c r="Y594" i="1"/>
  <c r="AC593" i="1"/>
  <c r="AB593" i="1"/>
  <c r="AA593" i="1"/>
  <c r="Z593" i="1"/>
  <c r="Y593" i="1"/>
  <c r="AC592" i="1"/>
  <c r="AB592" i="1"/>
  <c r="AA592" i="1"/>
  <c r="Z592" i="1"/>
  <c r="Y592" i="1"/>
  <c r="AC591" i="1"/>
  <c r="AB591" i="1"/>
  <c r="AA591" i="1"/>
  <c r="Z591" i="1"/>
  <c r="Y591" i="1"/>
  <c r="Q591" i="1"/>
  <c r="AC590" i="1"/>
  <c r="AB590" i="1"/>
  <c r="AA590" i="1"/>
  <c r="Z590" i="1"/>
  <c r="Y590" i="1"/>
  <c r="Q590" i="1"/>
  <c r="AC589" i="1"/>
  <c r="AB589" i="1"/>
  <c r="AA589" i="1"/>
  <c r="Z589" i="1"/>
  <c r="Y589" i="1"/>
  <c r="Q589" i="1"/>
  <c r="AC588" i="1"/>
  <c r="AB588" i="1"/>
  <c r="AA588" i="1"/>
  <c r="Z588" i="1"/>
  <c r="Y588" i="1"/>
  <c r="Q588" i="1"/>
  <c r="AC587" i="1"/>
  <c r="AB587" i="1"/>
  <c r="AA587" i="1"/>
  <c r="Z587" i="1"/>
  <c r="Y587" i="1"/>
  <c r="Q587" i="1"/>
  <c r="AC586" i="1"/>
  <c r="AB586" i="1"/>
  <c r="AA586" i="1"/>
  <c r="Z586" i="1"/>
  <c r="Y586" i="1"/>
  <c r="Q586" i="1"/>
  <c r="AC585" i="1"/>
  <c r="AB585" i="1"/>
  <c r="AA585" i="1"/>
  <c r="Z585" i="1"/>
  <c r="Y585" i="1"/>
  <c r="Q585" i="1"/>
  <c r="AC584" i="1"/>
  <c r="AB584" i="1"/>
  <c r="AA584" i="1"/>
  <c r="Z584" i="1"/>
  <c r="Y584" i="1"/>
  <c r="Q584" i="1"/>
  <c r="AC583" i="1"/>
  <c r="AB583" i="1"/>
  <c r="AA583" i="1"/>
  <c r="Z583" i="1"/>
  <c r="Y583" i="1"/>
  <c r="Q583" i="1"/>
  <c r="AC582" i="1"/>
  <c r="AB582" i="1"/>
  <c r="AA582" i="1"/>
  <c r="Z582" i="1"/>
  <c r="Y582" i="1"/>
  <c r="Q582" i="1"/>
  <c r="AC581" i="1"/>
  <c r="AB581" i="1"/>
  <c r="AA581" i="1"/>
  <c r="Z581" i="1"/>
  <c r="Y581" i="1"/>
  <c r="Q581" i="1"/>
  <c r="AC580" i="1"/>
  <c r="AB580" i="1"/>
  <c r="AA580" i="1"/>
  <c r="Z580" i="1"/>
  <c r="Y580" i="1"/>
  <c r="Q580" i="1"/>
  <c r="AC579" i="1"/>
  <c r="AB579" i="1"/>
  <c r="AA579" i="1"/>
  <c r="Z579" i="1"/>
  <c r="Y579" i="1"/>
  <c r="Q579" i="1"/>
  <c r="AC578" i="1"/>
  <c r="AB578" i="1"/>
  <c r="AA578" i="1"/>
  <c r="Z578" i="1"/>
  <c r="Y578" i="1"/>
  <c r="Q578" i="1"/>
  <c r="AC577" i="1"/>
  <c r="AB577" i="1"/>
  <c r="AA577" i="1"/>
  <c r="Z577" i="1"/>
  <c r="Y577" i="1"/>
  <c r="Q577" i="1"/>
  <c r="AC576" i="1"/>
  <c r="AB576" i="1"/>
  <c r="AA576" i="1"/>
  <c r="Z576" i="1"/>
  <c r="Y576" i="1"/>
  <c r="Q576" i="1"/>
  <c r="AC575" i="1"/>
  <c r="AB575" i="1"/>
  <c r="AA575" i="1"/>
  <c r="Z575" i="1"/>
  <c r="Y575" i="1"/>
  <c r="Q575" i="1"/>
  <c r="AC574" i="1"/>
  <c r="AB574" i="1"/>
  <c r="AA574" i="1"/>
  <c r="Z574" i="1"/>
  <c r="Y574" i="1"/>
  <c r="Q574" i="1"/>
  <c r="AC573" i="1"/>
  <c r="AB573" i="1"/>
  <c r="AA573" i="1"/>
  <c r="Z573" i="1"/>
  <c r="Y573" i="1"/>
  <c r="Q573" i="1"/>
  <c r="AC572" i="1"/>
  <c r="AB572" i="1"/>
  <c r="AA572" i="1"/>
  <c r="Z572" i="1"/>
  <c r="Y572" i="1"/>
  <c r="Q572" i="1"/>
  <c r="AC571" i="1"/>
  <c r="AB571" i="1"/>
  <c r="AA571" i="1"/>
  <c r="Z571" i="1"/>
  <c r="Y571" i="1"/>
  <c r="Q571" i="1"/>
  <c r="AC570" i="1"/>
  <c r="AB570" i="1"/>
  <c r="AA570" i="1"/>
  <c r="Z570" i="1"/>
  <c r="Y570" i="1"/>
  <c r="Q570" i="1"/>
  <c r="AC569" i="1"/>
  <c r="AB569" i="1"/>
  <c r="AA569" i="1"/>
  <c r="Z569" i="1"/>
  <c r="Y569" i="1"/>
  <c r="Q569" i="1"/>
  <c r="AC568" i="1"/>
  <c r="AB568" i="1"/>
  <c r="AA568" i="1"/>
  <c r="Z568" i="1"/>
  <c r="Y568" i="1"/>
  <c r="Q568" i="1"/>
  <c r="AC567" i="1"/>
  <c r="AB567" i="1"/>
  <c r="AA567" i="1"/>
  <c r="Z567" i="1"/>
  <c r="Y567" i="1"/>
  <c r="Q567" i="1"/>
  <c r="AC566" i="1"/>
  <c r="AB566" i="1"/>
  <c r="AA566" i="1"/>
  <c r="Z566" i="1"/>
  <c r="Y566" i="1"/>
  <c r="Q566" i="1"/>
  <c r="AC565" i="1"/>
  <c r="AB565" i="1"/>
  <c r="AA565" i="1"/>
  <c r="Z565" i="1"/>
  <c r="Y565" i="1"/>
  <c r="Q565" i="1"/>
  <c r="AC564" i="1"/>
  <c r="AB564" i="1"/>
  <c r="AA564" i="1"/>
  <c r="Z564" i="1"/>
  <c r="Y564" i="1"/>
  <c r="Q564" i="1"/>
  <c r="AC563" i="1"/>
  <c r="AB563" i="1"/>
  <c r="AA563" i="1"/>
  <c r="Z563" i="1"/>
  <c r="Y563" i="1"/>
  <c r="Q563" i="1"/>
  <c r="AC562" i="1"/>
  <c r="AB562" i="1"/>
  <c r="AA562" i="1"/>
  <c r="Z562" i="1"/>
  <c r="Y562" i="1"/>
  <c r="Q562" i="1"/>
  <c r="AC561" i="1"/>
  <c r="AB561" i="1"/>
  <c r="AA561" i="1"/>
  <c r="Z561" i="1"/>
  <c r="Y561" i="1"/>
  <c r="Q561" i="1"/>
  <c r="AC560" i="1"/>
  <c r="AB560" i="1"/>
  <c r="AA560" i="1"/>
  <c r="Z560" i="1"/>
  <c r="Y560" i="1"/>
  <c r="Q560" i="1"/>
  <c r="AC559" i="1"/>
  <c r="AB559" i="1"/>
  <c r="AA559" i="1"/>
  <c r="Z559" i="1"/>
  <c r="Y559" i="1"/>
  <c r="Q559" i="1"/>
  <c r="AC558" i="1"/>
  <c r="AB558" i="1"/>
  <c r="AA558" i="1"/>
  <c r="Z558" i="1"/>
  <c r="Y558" i="1"/>
  <c r="Q558" i="1"/>
  <c r="AC557" i="1"/>
  <c r="AB557" i="1"/>
  <c r="AA557" i="1"/>
  <c r="Z557" i="1"/>
  <c r="Y557" i="1"/>
  <c r="Q557" i="1"/>
  <c r="AC556" i="1"/>
  <c r="AB556" i="1"/>
  <c r="AA556" i="1"/>
  <c r="Z556" i="1"/>
  <c r="Y556" i="1"/>
  <c r="Q556" i="1"/>
  <c r="AC555" i="1"/>
  <c r="AB555" i="1"/>
  <c r="AA555" i="1"/>
  <c r="Z555" i="1"/>
  <c r="Y555" i="1"/>
  <c r="Q555" i="1"/>
  <c r="AC554" i="1"/>
  <c r="AB554" i="1"/>
  <c r="AA554" i="1"/>
  <c r="Z554" i="1"/>
  <c r="Y554" i="1"/>
  <c r="Q554" i="1"/>
  <c r="AC553" i="1"/>
  <c r="AB553" i="1"/>
  <c r="AA553" i="1"/>
  <c r="Z553" i="1"/>
  <c r="Y553" i="1"/>
  <c r="Q553" i="1"/>
  <c r="AC552" i="1"/>
  <c r="AB552" i="1"/>
  <c r="AA552" i="1"/>
  <c r="Z552" i="1"/>
  <c r="Y552" i="1"/>
  <c r="Q552" i="1"/>
  <c r="AC551" i="1"/>
  <c r="AB551" i="1"/>
  <c r="AA551" i="1"/>
  <c r="Z551" i="1"/>
  <c r="Y551" i="1"/>
  <c r="Q551" i="1"/>
  <c r="AC550" i="1"/>
  <c r="AB550" i="1"/>
  <c r="AA550" i="1"/>
  <c r="Z550" i="1"/>
  <c r="Y550" i="1"/>
  <c r="Q550" i="1"/>
  <c r="AC549" i="1"/>
  <c r="AB549" i="1"/>
  <c r="AA549" i="1"/>
  <c r="Z549" i="1"/>
  <c r="Y549" i="1"/>
  <c r="Q549" i="1"/>
  <c r="AC548" i="1"/>
  <c r="AB548" i="1"/>
  <c r="AA548" i="1"/>
  <c r="Z548" i="1"/>
  <c r="Y548" i="1"/>
  <c r="Q548" i="1"/>
  <c r="AC547" i="1"/>
  <c r="AB547" i="1"/>
  <c r="AA547" i="1"/>
  <c r="Z547" i="1"/>
  <c r="Y547" i="1"/>
  <c r="Q547" i="1"/>
  <c r="AC546" i="1"/>
  <c r="AB546" i="1"/>
  <c r="AA546" i="1"/>
  <c r="Z546" i="1"/>
  <c r="Y546" i="1"/>
  <c r="Q546" i="1"/>
  <c r="AC545" i="1"/>
  <c r="AB545" i="1"/>
  <c r="AA545" i="1"/>
  <c r="Z545" i="1"/>
  <c r="Y545" i="1"/>
  <c r="Q545" i="1"/>
  <c r="AC544" i="1"/>
  <c r="AB544" i="1"/>
  <c r="AA544" i="1"/>
  <c r="Z544" i="1"/>
  <c r="Y544" i="1"/>
  <c r="Q544" i="1"/>
  <c r="AC543" i="1"/>
  <c r="AB543" i="1"/>
  <c r="AA543" i="1"/>
  <c r="Z543" i="1"/>
  <c r="Y543" i="1"/>
  <c r="Q543" i="1"/>
  <c r="AC542" i="1"/>
  <c r="AB542" i="1"/>
  <c r="AA542" i="1"/>
  <c r="Z542" i="1"/>
  <c r="Y542" i="1"/>
  <c r="Q542" i="1"/>
  <c r="AC541" i="1"/>
  <c r="AB541" i="1"/>
  <c r="AA541" i="1"/>
  <c r="Z541" i="1"/>
  <c r="Y541" i="1"/>
  <c r="Q541" i="1"/>
  <c r="AC540" i="1"/>
  <c r="AB540" i="1"/>
  <c r="AA540" i="1"/>
  <c r="Z540" i="1"/>
  <c r="Y540" i="1"/>
  <c r="Q540" i="1"/>
  <c r="AC539" i="1"/>
  <c r="AB539" i="1"/>
  <c r="AA539" i="1"/>
  <c r="Z539" i="1"/>
  <c r="Y539" i="1"/>
  <c r="Q539" i="1"/>
  <c r="AC538" i="1"/>
  <c r="AB538" i="1"/>
  <c r="AA538" i="1"/>
  <c r="Z538" i="1"/>
  <c r="Y538" i="1"/>
  <c r="AC537" i="1"/>
  <c r="AB537" i="1"/>
  <c r="AA537" i="1"/>
  <c r="Z537" i="1"/>
  <c r="Y537" i="1"/>
  <c r="AC536" i="1"/>
  <c r="AB536" i="1"/>
  <c r="AA536" i="1"/>
  <c r="Z536" i="1"/>
  <c r="Y536" i="1"/>
  <c r="AC535" i="1"/>
  <c r="AB535" i="1"/>
  <c r="AA535" i="1"/>
  <c r="Z535" i="1"/>
  <c r="Y535" i="1"/>
  <c r="AC534" i="1"/>
  <c r="AB534" i="1"/>
  <c r="AA534" i="1"/>
  <c r="Z534" i="1"/>
  <c r="Y534" i="1"/>
  <c r="AC533" i="1"/>
  <c r="AB533" i="1"/>
  <c r="AA533" i="1"/>
  <c r="Z533" i="1"/>
  <c r="Y533" i="1"/>
  <c r="AC532" i="1"/>
  <c r="AB532" i="1"/>
  <c r="AA532" i="1"/>
  <c r="Z532" i="1"/>
  <c r="Y532" i="1"/>
  <c r="AC531" i="1"/>
  <c r="AB531" i="1"/>
  <c r="AA531" i="1"/>
  <c r="Z531" i="1"/>
  <c r="Y531" i="1"/>
  <c r="AC530" i="1"/>
  <c r="AB530" i="1"/>
  <c r="AA530" i="1"/>
  <c r="Z530" i="1"/>
  <c r="Y530" i="1"/>
  <c r="AC529" i="1"/>
  <c r="AB529" i="1"/>
  <c r="AA529" i="1"/>
  <c r="Z529" i="1"/>
  <c r="Y529" i="1"/>
  <c r="AC528" i="1"/>
  <c r="AB528" i="1"/>
  <c r="AA528" i="1"/>
  <c r="Z528" i="1"/>
  <c r="Y528" i="1"/>
  <c r="AC527" i="1"/>
  <c r="AB527" i="1"/>
  <c r="AA527" i="1"/>
  <c r="Z527" i="1"/>
  <c r="Y527" i="1"/>
  <c r="AC526" i="1"/>
  <c r="AB526" i="1"/>
  <c r="AA526" i="1"/>
  <c r="Z526" i="1"/>
  <c r="Y526" i="1"/>
  <c r="AC525" i="1"/>
  <c r="AB525" i="1"/>
  <c r="AA525" i="1"/>
  <c r="Z525" i="1"/>
  <c r="Y525" i="1"/>
  <c r="AB524" i="1"/>
  <c r="AA524" i="1"/>
  <c r="Z524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I19" i="4" l="1"/>
  <c r="I25" i="4"/>
  <c r="I38" i="4"/>
  <c r="I3" i="4"/>
  <c r="I11" i="4"/>
  <c r="I7" i="4"/>
  <c r="I34" i="4"/>
  <c r="I6" i="4"/>
  <c r="I10" i="4"/>
  <c r="I14" i="4"/>
  <c r="I18" i="4"/>
  <c r="I24" i="4"/>
  <c r="I29" i="4"/>
  <c r="I33" i="4"/>
  <c r="I37" i="4"/>
  <c r="I5" i="4"/>
  <c r="I17" i="4"/>
  <c r="I23" i="4"/>
  <c r="I22" i="4"/>
  <c r="I32" i="4"/>
  <c r="I36" i="4"/>
  <c r="I9" i="4"/>
  <c r="I4" i="4"/>
  <c r="I12" i="4"/>
  <c r="I16" i="4"/>
  <c r="I20" i="4"/>
  <c r="I26" i="4"/>
  <c r="I13" i="4"/>
  <c r="I28" i="4"/>
  <c r="I21" i="4"/>
  <c r="I31" i="4"/>
  <c r="I35" i="4"/>
  <c r="Z137" i="5"/>
  <c r="M18" i="7" s="1"/>
  <c r="G18" i="7"/>
  <c r="Z141" i="5"/>
  <c r="M31" i="7" s="1"/>
  <c r="G31" i="7"/>
  <c r="Z133" i="5"/>
  <c r="M23" i="7" s="1"/>
  <c r="G23" i="7"/>
  <c r="Z138" i="5"/>
  <c r="M19" i="7" s="1"/>
  <c r="G19" i="7"/>
  <c r="Z105" i="5"/>
  <c r="M11" i="7" s="1"/>
  <c r="G11" i="7"/>
  <c r="Z169" i="5"/>
  <c r="M62" i="7" s="1"/>
  <c r="G62" i="7"/>
  <c r="Z171" i="5"/>
  <c r="M50" i="7" s="1"/>
  <c r="G50" i="7"/>
  <c r="Z173" i="5"/>
  <c r="M52" i="7" s="1"/>
  <c r="G52" i="7"/>
  <c r="Z123" i="5"/>
  <c r="M60" i="7" s="1"/>
  <c r="G60" i="7"/>
  <c r="Z168" i="5"/>
  <c r="M61" i="7" s="1"/>
  <c r="G61" i="7"/>
  <c r="Z158" i="5"/>
  <c r="M41" i="7" s="1"/>
  <c r="G41" i="7"/>
  <c r="Z121" i="5"/>
  <c r="M58" i="7" s="1"/>
  <c r="G58" i="7"/>
  <c r="Z40" i="5"/>
  <c r="G42" i="6"/>
  <c r="Z64" i="5"/>
  <c r="G51" i="6"/>
  <c r="Z42" i="5"/>
  <c r="G44" i="6"/>
  <c r="Z96" i="5"/>
  <c r="G73" i="6"/>
  <c r="W135" i="5"/>
  <c r="Z10" i="5"/>
  <c r="M9" i="6" s="1"/>
  <c r="G9" i="6"/>
  <c r="Z14" i="5"/>
  <c r="M16" i="6" s="1"/>
  <c r="G16" i="6"/>
  <c r="W111" i="5"/>
  <c r="W157" i="5"/>
  <c r="Y87" i="5"/>
  <c r="W176" i="5"/>
  <c r="W113" i="5"/>
  <c r="W147" i="5"/>
  <c r="W9" i="5"/>
  <c r="W160" i="5"/>
  <c r="W177" i="5"/>
  <c r="W114" i="5"/>
  <c r="W18" i="5"/>
  <c r="W124" i="5"/>
  <c r="W104" i="5"/>
  <c r="Y175" i="5"/>
  <c r="I67" i="7" s="1"/>
  <c r="Y113" i="5"/>
  <c r="I12" i="7" s="1"/>
  <c r="Y138" i="5"/>
  <c r="I19" i="7" s="1"/>
  <c r="Y42" i="5"/>
  <c r="W47" i="5"/>
  <c r="W26" i="5"/>
  <c r="W139" i="5"/>
  <c r="W108" i="5"/>
  <c r="W109" i="5"/>
  <c r="Y135" i="5"/>
  <c r="I34" i="7" s="1"/>
  <c r="W115" i="5"/>
  <c r="W82" i="5"/>
  <c r="Y90" i="5"/>
  <c r="W87" i="5"/>
  <c r="Y159" i="5"/>
  <c r="I42" i="7" s="1"/>
  <c r="Y133" i="5"/>
  <c r="I23" i="7" s="1"/>
  <c r="Y162" i="5"/>
  <c r="I64" i="7" s="1"/>
  <c r="W50" i="5"/>
  <c r="Y34" i="5"/>
  <c r="I23" i="6" s="1"/>
  <c r="Y52" i="5"/>
  <c r="I27" i="6" s="1"/>
  <c r="W110" i="5"/>
  <c r="Y121" i="5"/>
  <c r="I58" i="7" s="1"/>
  <c r="W78" i="5"/>
  <c r="Y109" i="5"/>
  <c r="I17" i="7" s="1"/>
  <c r="W52" i="5"/>
  <c r="W144" i="5"/>
  <c r="W112" i="5"/>
  <c r="Y139" i="5"/>
  <c r="I20" i="7" s="1"/>
  <c r="Y81" i="5"/>
  <c r="W23" i="5"/>
  <c r="Y67" i="5"/>
  <c r="W166" i="5"/>
  <c r="X25" i="5"/>
  <c r="H10" i="6" s="1"/>
  <c r="S9" i="5"/>
  <c r="X9" i="5"/>
  <c r="H8" i="6" s="1"/>
  <c r="Y9" i="5"/>
  <c r="I8" i="6" s="1"/>
  <c r="W179" i="5"/>
  <c r="W148" i="5"/>
  <c r="W162" i="5"/>
  <c r="W142" i="5"/>
  <c r="Y53" i="5"/>
  <c r="I37" i="6" s="1"/>
  <c r="Y50" i="5"/>
  <c r="I25" i="6" s="1"/>
  <c r="Y26" i="5"/>
  <c r="I11" i="6" s="1"/>
  <c r="Y37" i="5"/>
  <c r="I35" i="6" s="1"/>
  <c r="Y123" i="5"/>
  <c r="I60" i="7" s="1"/>
  <c r="Y103" i="5"/>
  <c r="I9" i="7" s="1"/>
  <c r="W90" i="5"/>
  <c r="Y166" i="5"/>
  <c r="I54" i="7" s="1"/>
  <c r="Y173" i="5"/>
  <c r="I52" i="7" s="1"/>
  <c r="Y44" i="5"/>
  <c r="I20" i="6" s="1"/>
  <c r="W98" i="5"/>
  <c r="W86" i="5"/>
  <c r="Y61" i="5"/>
  <c r="W69" i="5"/>
  <c r="Y98" i="5"/>
  <c r="W84" i="5"/>
  <c r="W134" i="5"/>
  <c r="Y111" i="5"/>
  <c r="I28" i="7" s="1"/>
  <c r="Y178" i="5"/>
  <c r="I56" i="7" s="1"/>
  <c r="Y136" i="5"/>
  <c r="I35" i="7" s="1"/>
  <c r="W103" i="5"/>
  <c r="Y110" i="5"/>
  <c r="I27" i="7" s="1"/>
  <c r="W107" i="5"/>
  <c r="W97" i="5"/>
  <c r="Y142" i="5"/>
  <c r="I32" i="7" s="1"/>
  <c r="W172" i="5"/>
  <c r="Y180" i="5"/>
  <c r="Y158" i="5"/>
  <c r="I41" i="7" s="1"/>
  <c r="W156" i="5"/>
  <c r="Y45" i="5"/>
  <c r="I21" i="6" s="1"/>
  <c r="W125" i="5"/>
  <c r="Y148" i="5"/>
  <c r="I37" i="7" s="1"/>
  <c r="Y112" i="5"/>
  <c r="I29" i="7" s="1"/>
  <c r="Y99" i="5"/>
  <c r="Y97" i="5"/>
  <c r="W91" i="5"/>
  <c r="W95" i="5"/>
  <c r="Y91" i="5"/>
  <c r="Y27" i="5"/>
  <c r="I12" i="6" s="1"/>
  <c r="W77" i="5"/>
  <c r="Y176" i="5"/>
  <c r="I68" i="7" s="1"/>
  <c r="Y169" i="5"/>
  <c r="I62" i="7" s="1"/>
  <c r="Y147" i="5"/>
  <c r="I36" i="7" s="1"/>
  <c r="W45" i="5"/>
  <c r="W24" i="5"/>
  <c r="Y48" i="5"/>
  <c r="I33" i="6" s="1"/>
  <c r="Y33" i="5"/>
  <c r="I22" i="6" s="1"/>
  <c r="Y47" i="5"/>
  <c r="I32" i="6" s="1"/>
  <c r="Y24" i="5"/>
  <c r="I15" i="6" s="1"/>
  <c r="W44" i="5"/>
  <c r="Y114" i="5"/>
  <c r="I13" i="7" s="1"/>
  <c r="W89" i="5"/>
  <c r="Y92" i="5"/>
  <c r="W94" i="5"/>
  <c r="Y88" i="5"/>
  <c r="W92" i="5"/>
  <c r="Y18" i="5"/>
  <c r="I28" i="6" s="1"/>
  <c r="Y71" i="5"/>
  <c r="Y179" i="5"/>
  <c r="I57" i="7" s="1"/>
  <c r="S17" i="5"/>
  <c r="X17" i="5"/>
  <c r="H18" i="6" s="1"/>
  <c r="X137" i="5"/>
  <c r="H18" i="7" s="1"/>
  <c r="S137" i="5"/>
  <c r="W38" i="5"/>
  <c r="X53" i="5"/>
  <c r="H37" i="6" s="1"/>
  <c r="S53" i="5"/>
  <c r="Y38" i="5"/>
  <c r="I36" i="6" s="1"/>
  <c r="W55" i="5"/>
  <c r="X36" i="5"/>
  <c r="H34" i="6" s="1"/>
  <c r="S36" i="5"/>
  <c r="X54" i="5"/>
  <c r="H38" i="6" s="1"/>
  <c r="S54" i="5"/>
  <c r="W8" i="5"/>
  <c r="Y22" i="5"/>
  <c r="I13" i="6" s="1"/>
  <c r="W33" i="5"/>
  <c r="X51" i="5"/>
  <c r="H26" i="6" s="1"/>
  <c r="S51" i="5"/>
  <c r="W167" i="5"/>
  <c r="S167" i="5"/>
  <c r="X167" i="5"/>
  <c r="H55" i="7" s="1"/>
  <c r="S133" i="5"/>
  <c r="X133" i="5"/>
  <c r="H23" i="7" s="1"/>
  <c r="Y131" i="5"/>
  <c r="I21" i="7" s="1"/>
  <c r="S114" i="5"/>
  <c r="X114" i="5"/>
  <c r="H13" i="7" s="1"/>
  <c r="Y146" i="5"/>
  <c r="I26" i="7" s="1"/>
  <c r="Y85" i="5"/>
  <c r="I7" i="7" s="1"/>
  <c r="X80" i="5"/>
  <c r="S80" i="5"/>
  <c r="X89" i="5"/>
  <c r="S89" i="5"/>
  <c r="X88" i="5"/>
  <c r="S88" i="5"/>
  <c r="X77" i="5"/>
  <c r="S77" i="5"/>
  <c r="W79" i="5"/>
  <c r="S18" i="5"/>
  <c r="X18" i="5"/>
  <c r="H28" i="6" s="1"/>
  <c r="W67" i="5"/>
  <c r="S68" i="5"/>
  <c r="X68" i="5"/>
  <c r="Y63" i="5"/>
  <c r="Y134" i="5"/>
  <c r="I33" i="7" s="1"/>
  <c r="W149" i="5"/>
  <c r="Y6" i="5"/>
  <c r="I6" i="6" s="1"/>
  <c r="Y78" i="5"/>
  <c r="Y157" i="5"/>
  <c r="I46" i="7" s="1"/>
  <c r="Y124" i="5"/>
  <c r="I47" i="7" s="1"/>
  <c r="X149" i="5"/>
  <c r="H38" i="7" s="1"/>
  <c r="S149" i="5"/>
  <c r="W140" i="5"/>
  <c r="Y156" i="5"/>
  <c r="I45" i="7" s="1"/>
  <c r="Y132" i="5"/>
  <c r="I22" i="7" s="1"/>
  <c r="Y82" i="5"/>
  <c r="S55" i="5"/>
  <c r="X55" i="5"/>
  <c r="H39" i="6" s="1"/>
  <c r="S121" i="5"/>
  <c r="X121" i="5"/>
  <c r="H58" i="7" s="1"/>
  <c r="K58" i="7" s="1"/>
  <c r="X169" i="5"/>
  <c r="H62" i="7" s="1"/>
  <c r="S169" i="5"/>
  <c r="X135" i="5"/>
  <c r="H34" i="7" s="1"/>
  <c r="S135" i="5"/>
  <c r="X123" i="5"/>
  <c r="H60" i="7" s="1"/>
  <c r="S123" i="5"/>
  <c r="X103" i="5"/>
  <c r="H9" i="7" s="1"/>
  <c r="S103" i="5"/>
  <c r="X82" i="5"/>
  <c r="S82" i="5"/>
  <c r="X86" i="5"/>
  <c r="H8" i="7" s="1"/>
  <c r="S86" i="5"/>
  <c r="W62" i="5"/>
  <c r="X65" i="5"/>
  <c r="S65" i="5"/>
  <c r="X60" i="5"/>
  <c r="S60" i="5"/>
  <c r="Y96" i="5"/>
  <c r="X142" i="5"/>
  <c r="S142" i="5"/>
  <c r="S172" i="5"/>
  <c r="X172" i="5"/>
  <c r="H51" i="7" s="1"/>
  <c r="X136" i="5"/>
  <c r="H35" i="7" s="1"/>
  <c r="S136" i="5"/>
  <c r="S178" i="5"/>
  <c r="X178" i="5"/>
  <c r="H56" i="7" s="1"/>
  <c r="X38" i="5"/>
  <c r="H36" i="6" s="1"/>
  <c r="S38" i="5"/>
  <c r="W46" i="5"/>
  <c r="X84" i="5"/>
  <c r="H6" i="7" s="1"/>
  <c r="S84" i="5"/>
  <c r="W85" i="5"/>
  <c r="X69" i="5"/>
  <c r="S69" i="5"/>
  <c r="X63" i="5"/>
  <c r="S63" i="5"/>
  <c r="W70" i="5"/>
  <c r="S111" i="5"/>
  <c r="X111" i="5"/>
  <c r="H28" i="7" s="1"/>
  <c r="Y165" i="5"/>
  <c r="I53" i="7" s="1"/>
  <c r="S147" i="5"/>
  <c r="X147" i="5"/>
  <c r="H36" i="7" s="1"/>
  <c r="W20" i="5"/>
  <c r="X107" i="5"/>
  <c r="H15" i="7" s="1"/>
  <c r="S107" i="5"/>
  <c r="X157" i="5"/>
  <c r="H46" i="7" s="1"/>
  <c r="S157" i="5"/>
  <c r="X40" i="5"/>
  <c r="S40" i="5"/>
  <c r="X168" i="5"/>
  <c r="H61" i="7" s="1"/>
  <c r="S168" i="5"/>
  <c r="S43" i="5"/>
  <c r="X43" i="5"/>
  <c r="H19" i="6" s="1"/>
  <c r="W51" i="5"/>
  <c r="X173" i="5"/>
  <c r="H52" i="7" s="1"/>
  <c r="S173" i="5"/>
  <c r="S87" i="5"/>
  <c r="X87" i="5"/>
  <c r="X99" i="5"/>
  <c r="S99" i="5"/>
  <c r="S81" i="5"/>
  <c r="X81" i="5"/>
  <c r="W80" i="5"/>
  <c r="S27" i="5"/>
  <c r="X27" i="5"/>
  <c r="H12" i="6" s="1"/>
  <c r="Y94" i="5"/>
  <c r="S61" i="5"/>
  <c r="X61" i="5"/>
  <c r="W68" i="5"/>
  <c r="S145" i="5"/>
  <c r="X145" i="5"/>
  <c r="H25" i="7" s="1"/>
  <c r="W132" i="5"/>
  <c r="X122" i="5"/>
  <c r="H59" i="7" s="1"/>
  <c r="S122" i="5"/>
  <c r="Y20" i="5"/>
  <c r="I30" i="6" s="1"/>
  <c r="X180" i="5"/>
  <c r="S180" i="5"/>
  <c r="Y140" i="5"/>
  <c r="I30" i="7" s="1"/>
  <c r="Y149" i="5"/>
  <c r="I38" i="7" s="1"/>
  <c r="S170" i="5"/>
  <c r="X170" i="5"/>
  <c r="H63" i="7" s="1"/>
  <c r="W170" i="5"/>
  <c r="S162" i="5"/>
  <c r="X162" i="5"/>
  <c r="H64" i="7" s="1"/>
  <c r="S14" i="5"/>
  <c r="X14" i="5"/>
  <c r="H16" i="6" s="1"/>
  <c r="S44" i="5"/>
  <c r="X44" i="5"/>
  <c r="H20" i="6" s="1"/>
  <c r="S19" i="5"/>
  <c r="X19" i="5"/>
  <c r="H29" i="6" s="1"/>
  <c r="X156" i="5"/>
  <c r="H45" i="7" s="1"/>
  <c r="S156" i="5"/>
  <c r="S139" i="5"/>
  <c r="X139" i="5"/>
  <c r="H20" i="7" s="1"/>
  <c r="W36" i="5"/>
  <c r="W54" i="5"/>
  <c r="W6" i="5"/>
  <c r="X48" i="5"/>
  <c r="H33" i="6" s="1"/>
  <c r="S48" i="5"/>
  <c r="X45" i="5"/>
  <c r="H21" i="6" s="1"/>
  <c r="S45" i="5"/>
  <c r="X22" i="5"/>
  <c r="H13" i="6" s="1"/>
  <c r="S22" i="5"/>
  <c r="Y36" i="5"/>
  <c r="I34" i="6" s="1"/>
  <c r="Y54" i="5"/>
  <c r="I38" i="6" s="1"/>
  <c r="X8" i="5"/>
  <c r="H7" i="6" s="1"/>
  <c r="W53" i="5"/>
  <c r="Y46" i="5"/>
  <c r="I31" i="6" s="1"/>
  <c r="W175" i="5"/>
  <c r="S158" i="5"/>
  <c r="X158" i="5"/>
  <c r="H41" i="7" s="1"/>
  <c r="X175" i="5"/>
  <c r="H67" i="7" s="1"/>
  <c r="S175" i="5"/>
  <c r="S141" i="5"/>
  <c r="X141" i="5"/>
  <c r="H31" i="7" s="1"/>
  <c r="S105" i="5"/>
  <c r="X105" i="5"/>
  <c r="H11" i="7" s="1"/>
  <c r="Y137" i="5"/>
  <c r="I18" i="7" s="1"/>
  <c r="Y125" i="5"/>
  <c r="I48" i="7" s="1"/>
  <c r="S94" i="5"/>
  <c r="X94" i="5"/>
  <c r="Y86" i="5"/>
  <c r="I8" i="7" s="1"/>
  <c r="S97" i="5"/>
  <c r="X97" i="5"/>
  <c r="X79" i="5"/>
  <c r="S79" i="5"/>
  <c r="W88" i="5"/>
  <c r="X16" i="5"/>
  <c r="H17" i="6" s="1"/>
  <c r="W27" i="5"/>
  <c r="W17" i="5"/>
  <c r="Y69" i="5"/>
  <c r="Y70" i="5"/>
  <c r="S64" i="5"/>
  <c r="X64" i="5"/>
  <c r="W65" i="5"/>
  <c r="W34" i="5"/>
  <c r="Y163" i="5"/>
  <c r="I65" i="7" s="1"/>
  <c r="X115" i="5"/>
  <c r="H14" i="7" s="1"/>
  <c r="S115" i="5"/>
  <c r="Y115" i="5"/>
  <c r="I14" i="7" s="1"/>
  <c r="Y172" i="5"/>
  <c r="I51" i="7" s="1"/>
  <c r="Y107" i="5"/>
  <c r="I15" i="7" s="1"/>
  <c r="X124" i="5"/>
  <c r="H47" i="7" s="1"/>
  <c r="S124" i="5"/>
  <c r="X140" i="5"/>
  <c r="H30" i="7" s="1"/>
  <c r="S140" i="5"/>
  <c r="Y167" i="5"/>
  <c r="I55" i="7" s="1"/>
  <c r="S164" i="5"/>
  <c r="X164" i="5"/>
  <c r="H66" i="7" s="1"/>
  <c r="X113" i="5"/>
  <c r="H12" i="7" s="1"/>
  <c r="S113" i="5"/>
  <c r="Y62" i="5"/>
  <c r="Y65" i="5"/>
  <c r="W63" i="5"/>
  <c r="X67" i="5"/>
  <c r="S67" i="5"/>
  <c r="X176" i="5"/>
  <c r="H68" i="7" s="1"/>
  <c r="S176" i="5"/>
  <c r="Y122" i="5"/>
  <c r="I59" i="7" s="1"/>
  <c r="X138" i="5"/>
  <c r="S138" i="5"/>
  <c r="Y8" i="5"/>
  <c r="I7" i="6" s="1"/>
  <c r="Y89" i="5"/>
  <c r="Y16" i="5"/>
  <c r="I17" i="6" s="1"/>
  <c r="W122" i="5"/>
  <c r="W131" i="5"/>
  <c r="X35" i="5"/>
  <c r="H24" i="6" s="1"/>
  <c r="S35" i="5"/>
  <c r="S41" i="5"/>
  <c r="X41" i="5"/>
  <c r="X125" i="5"/>
  <c r="H48" i="7" s="1"/>
  <c r="S125" i="5"/>
  <c r="X104" i="5"/>
  <c r="H10" i="7" s="1"/>
  <c r="S104" i="5"/>
  <c r="X33" i="5"/>
  <c r="H22" i="6" s="1"/>
  <c r="S33" i="5"/>
  <c r="S24" i="5"/>
  <c r="X24" i="5"/>
  <c r="H15" i="6" s="1"/>
  <c r="Y51" i="5"/>
  <c r="I26" i="6" s="1"/>
  <c r="X98" i="5"/>
  <c r="S98" i="5"/>
  <c r="S50" i="5"/>
  <c r="X50" i="5"/>
  <c r="H25" i="6" s="1"/>
  <c r="X26" i="5"/>
  <c r="H11" i="6" s="1"/>
  <c r="S26" i="5"/>
  <c r="Y41" i="5"/>
  <c r="Y17" i="5"/>
  <c r="I18" i="6" s="1"/>
  <c r="X10" i="5"/>
  <c r="H9" i="6" s="1"/>
  <c r="W35" i="5"/>
  <c r="X42" i="5"/>
  <c r="S42" i="5"/>
  <c r="Y55" i="5"/>
  <c r="I39" i="6" s="1"/>
  <c r="W163" i="5"/>
  <c r="X163" i="5"/>
  <c r="H65" i="7" s="1"/>
  <c r="S163" i="5"/>
  <c r="S179" i="5"/>
  <c r="X179" i="5"/>
  <c r="H57" i="7" s="1"/>
  <c r="X146" i="5"/>
  <c r="H26" i="7" s="1"/>
  <c r="S146" i="5"/>
  <c r="X110" i="5"/>
  <c r="S110" i="5"/>
  <c r="Y141" i="5"/>
  <c r="Y105" i="5"/>
  <c r="I11" i="7" s="1"/>
  <c r="W16" i="5"/>
  <c r="Y77" i="5"/>
  <c r="Y79" i="5"/>
  <c r="S92" i="5"/>
  <c r="X92" i="5"/>
  <c r="S85" i="5"/>
  <c r="X85" i="5"/>
  <c r="H7" i="7" s="1"/>
  <c r="Y84" i="5"/>
  <c r="I6" i="7" s="1"/>
  <c r="Y23" i="5"/>
  <c r="I14" i="6" s="1"/>
  <c r="Y64" i="5"/>
  <c r="S62" i="5"/>
  <c r="X62" i="5"/>
  <c r="Y60" i="5"/>
  <c r="W60" i="5"/>
  <c r="W61" i="5"/>
  <c r="Y126" i="5"/>
  <c r="I49" i="7" s="1"/>
  <c r="Y168" i="5"/>
  <c r="I61" i="7" s="1"/>
  <c r="W180" i="5"/>
  <c r="Z180" i="5" s="1"/>
  <c r="Y80" i="5"/>
  <c r="W126" i="5"/>
  <c r="Y164" i="5"/>
  <c r="I66" i="7" s="1"/>
  <c r="W136" i="5"/>
  <c r="W164" i="5"/>
  <c r="W178" i="5"/>
  <c r="Y160" i="5"/>
  <c r="I43" i="7" s="1"/>
  <c r="X171" i="5"/>
  <c r="H50" i="7" s="1"/>
  <c r="S171" i="5"/>
  <c r="X47" i="5"/>
  <c r="H32" i="6" s="1"/>
  <c r="S47" i="5"/>
  <c r="S37" i="5"/>
  <c r="X37" i="5"/>
  <c r="H35" i="6" s="1"/>
  <c r="W146" i="5"/>
  <c r="X160" i="5"/>
  <c r="H43" i="7" s="1"/>
  <c r="S160" i="5"/>
  <c r="X177" i="5"/>
  <c r="H69" i="7" s="1"/>
  <c r="S177" i="5"/>
  <c r="X144" i="5"/>
  <c r="H24" i="7" s="1"/>
  <c r="S144" i="5"/>
  <c r="S108" i="5"/>
  <c r="X108" i="5"/>
  <c r="H16" i="7" s="1"/>
  <c r="X95" i="5"/>
  <c r="S95" i="5"/>
  <c r="Y95" i="5"/>
  <c r="W41" i="5"/>
  <c r="W19" i="5"/>
  <c r="W37" i="5"/>
  <c r="Y35" i="5"/>
  <c r="I24" i="6" s="1"/>
  <c r="W43" i="5"/>
  <c r="W22" i="5"/>
  <c r="W48" i="5"/>
  <c r="Y40" i="5"/>
  <c r="S34" i="5"/>
  <c r="X34" i="5"/>
  <c r="S52" i="5"/>
  <c r="X52" i="5"/>
  <c r="H27" i="6" s="1"/>
  <c r="Y14" i="5"/>
  <c r="I16" i="6" s="1"/>
  <c r="Y43" i="5"/>
  <c r="I19" i="6" s="1"/>
  <c r="Y19" i="5"/>
  <c r="I29" i="6" s="1"/>
  <c r="X46" i="5"/>
  <c r="H31" i="6" s="1"/>
  <c r="S46" i="5"/>
  <c r="W165" i="5"/>
  <c r="S155" i="5"/>
  <c r="X155" i="5"/>
  <c r="H44" i="7" s="1"/>
  <c r="S131" i="5"/>
  <c r="X131" i="5"/>
  <c r="H21" i="7" s="1"/>
  <c r="X165" i="5"/>
  <c r="H53" i="7" s="1"/>
  <c r="S165" i="5"/>
  <c r="Y155" i="5"/>
  <c r="I44" i="7" s="1"/>
  <c r="S148" i="5"/>
  <c r="X148" i="5"/>
  <c r="H37" i="7" s="1"/>
  <c r="X112" i="5"/>
  <c r="H29" i="7" s="1"/>
  <c r="S112" i="5"/>
  <c r="Y144" i="5"/>
  <c r="I24" i="7" s="1"/>
  <c r="Y108" i="5"/>
  <c r="I16" i="7" s="1"/>
  <c r="Y25" i="5"/>
  <c r="I10" i="6" s="1"/>
  <c r="X91" i="5"/>
  <c r="S91" i="5"/>
  <c r="S96" i="5"/>
  <c r="X96" i="5"/>
  <c r="X90" i="5"/>
  <c r="S90" i="5"/>
  <c r="S78" i="5"/>
  <c r="X78" i="5"/>
  <c r="W99" i="5"/>
  <c r="W81" i="5"/>
  <c r="X23" i="5"/>
  <c r="H14" i="6" s="1"/>
  <c r="S23" i="5"/>
  <c r="S71" i="5"/>
  <c r="X71" i="5"/>
  <c r="W71" i="5"/>
  <c r="X70" i="5"/>
  <c r="S70" i="5"/>
  <c r="Y68" i="5"/>
  <c r="X159" i="5"/>
  <c r="H42" i="7" s="1"/>
  <c r="S159" i="5"/>
  <c r="W155" i="5"/>
  <c r="S109" i="5"/>
  <c r="X109" i="5"/>
  <c r="H17" i="7" s="1"/>
  <c r="Y171" i="5"/>
  <c r="I50" i="7" s="1"/>
  <c r="Y145" i="5"/>
  <c r="I25" i="7" s="1"/>
  <c r="Y10" i="5"/>
  <c r="I9" i="6" s="1"/>
  <c r="Y104" i="5"/>
  <c r="I10" i="7" s="1"/>
  <c r="S6" i="5"/>
  <c r="X6" i="5"/>
  <c r="H6" i="6" s="1"/>
  <c r="S20" i="5"/>
  <c r="X20" i="5"/>
  <c r="H30" i="6" s="1"/>
  <c r="W25" i="5"/>
  <c r="S25" i="5"/>
  <c r="Y170" i="5"/>
  <c r="I63" i="7" s="1"/>
  <c r="W159" i="5"/>
  <c r="Y177" i="5"/>
  <c r="I69" i="7" s="1"/>
  <c r="S134" i="5"/>
  <c r="X134" i="5"/>
  <c r="H33" i="7" s="1"/>
  <c r="X126" i="5"/>
  <c r="H49" i="7" s="1"/>
  <c r="S126" i="5"/>
  <c r="W145" i="5"/>
  <c r="X132" i="5"/>
  <c r="H22" i="7" s="1"/>
  <c r="S132" i="5"/>
  <c r="X166" i="5"/>
  <c r="S166" i="5"/>
  <c r="S8" i="5"/>
  <c r="S16" i="5"/>
  <c r="S10" i="5"/>
  <c r="AA110" i="5" l="1"/>
  <c r="H27" i="7"/>
  <c r="AA138" i="5"/>
  <c r="H19" i="7"/>
  <c r="K19" i="7" s="1"/>
  <c r="Z132" i="5"/>
  <c r="M22" i="7" s="1"/>
  <c r="G22" i="7"/>
  <c r="K22" i="7" s="1"/>
  <c r="Z85" i="5"/>
  <c r="M7" i="7" s="1"/>
  <c r="G7" i="7"/>
  <c r="K7" i="7" s="1"/>
  <c r="Z148" i="5"/>
  <c r="M37" i="7" s="1"/>
  <c r="G37" i="7"/>
  <c r="J37" i="7" s="1"/>
  <c r="AL37" i="7" s="1"/>
  <c r="Z103" i="5"/>
  <c r="M9" i="7" s="1"/>
  <c r="G9" i="7"/>
  <c r="K9" i="7" s="1"/>
  <c r="Z110" i="5"/>
  <c r="M27" i="7" s="1"/>
  <c r="G27" i="7"/>
  <c r="Z114" i="5"/>
  <c r="M13" i="7" s="1"/>
  <c r="G13" i="7"/>
  <c r="Z145" i="5"/>
  <c r="M25" i="7" s="1"/>
  <c r="G25" i="7"/>
  <c r="J25" i="7" s="1"/>
  <c r="AL25" i="7" s="1"/>
  <c r="Z131" i="5"/>
  <c r="M21" i="7" s="1"/>
  <c r="G21" i="7"/>
  <c r="Z86" i="5"/>
  <c r="M8" i="7" s="1"/>
  <c r="G8" i="7"/>
  <c r="Z111" i="5"/>
  <c r="M28" i="7" s="1"/>
  <c r="G28" i="7"/>
  <c r="J28" i="7" s="1"/>
  <c r="Z112" i="5"/>
  <c r="M29" i="7" s="1"/>
  <c r="G29" i="7"/>
  <c r="Z115" i="5"/>
  <c r="M14" i="7" s="1"/>
  <c r="G14" i="7"/>
  <c r="K14" i="7" s="1"/>
  <c r="Z144" i="5"/>
  <c r="M24" i="7" s="1"/>
  <c r="G24" i="7"/>
  <c r="J24" i="7" s="1"/>
  <c r="AL24" i="7" s="1"/>
  <c r="AA142" i="5"/>
  <c r="H32" i="7"/>
  <c r="Z134" i="5"/>
  <c r="M33" i="7" s="1"/>
  <c r="G33" i="7"/>
  <c r="J33" i="7" s="1"/>
  <c r="Z109" i="5"/>
  <c r="M17" i="7" s="1"/>
  <c r="G17" i="7"/>
  <c r="Z147" i="5"/>
  <c r="M36" i="7" s="1"/>
  <c r="G36" i="7"/>
  <c r="J36" i="7" s="1"/>
  <c r="AL36" i="7" s="1"/>
  <c r="Z146" i="5"/>
  <c r="M26" i="7" s="1"/>
  <c r="G26" i="7"/>
  <c r="Z149" i="5"/>
  <c r="G38" i="7"/>
  <c r="J38" i="7" s="1"/>
  <c r="Z84" i="5"/>
  <c r="M6" i="7" s="1"/>
  <c r="G6" i="7"/>
  <c r="Z142" i="5"/>
  <c r="M32" i="7" s="1"/>
  <c r="G32" i="7"/>
  <c r="Z108" i="5"/>
  <c r="M16" i="7" s="1"/>
  <c r="G16" i="7"/>
  <c r="J16" i="7" s="1"/>
  <c r="Z104" i="5"/>
  <c r="M10" i="7" s="1"/>
  <c r="G10" i="7"/>
  <c r="J10" i="7" s="1"/>
  <c r="Z113" i="5"/>
  <c r="M12" i="7" s="1"/>
  <c r="G12" i="7"/>
  <c r="K12" i="7" s="1"/>
  <c r="Z136" i="5"/>
  <c r="M35" i="7" s="1"/>
  <c r="G35" i="7"/>
  <c r="J35" i="7" s="1"/>
  <c r="Z140" i="5"/>
  <c r="M30" i="7" s="1"/>
  <c r="G30" i="7"/>
  <c r="J30" i="7" s="1"/>
  <c r="Z107" i="5"/>
  <c r="M15" i="7" s="1"/>
  <c r="G15" i="7"/>
  <c r="K15" i="7" s="1"/>
  <c r="Z139" i="5"/>
  <c r="M20" i="7" s="1"/>
  <c r="G20" i="7"/>
  <c r="Z135" i="5"/>
  <c r="M34" i="7" s="1"/>
  <c r="G34" i="7"/>
  <c r="K34" i="7" s="1"/>
  <c r="K60" i="7"/>
  <c r="J52" i="7"/>
  <c r="AN52" i="7" s="1"/>
  <c r="I44" i="6"/>
  <c r="Z177" i="5"/>
  <c r="M69" i="7" s="1"/>
  <c r="G69" i="7"/>
  <c r="J69" i="7" s="1"/>
  <c r="AL69" i="7" s="1"/>
  <c r="K50" i="7"/>
  <c r="I51" i="6"/>
  <c r="I68" i="6"/>
  <c r="Z122" i="5"/>
  <c r="M59" i="7" s="1"/>
  <c r="G59" i="7"/>
  <c r="J59" i="7" s="1"/>
  <c r="H70" i="6"/>
  <c r="K25" i="7"/>
  <c r="Z175" i="5"/>
  <c r="M67" i="7" s="1"/>
  <c r="G67" i="7"/>
  <c r="J67" i="7" s="1"/>
  <c r="I59" i="6"/>
  <c r="Z160" i="5"/>
  <c r="M43" i="7" s="1"/>
  <c r="G43" i="7"/>
  <c r="J43" i="7" s="1"/>
  <c r="M44" i="6"/>
  <c r="J41" i="7"/>
  <c r="AL41" i="7" s="1"/>
  <c r="H45" i="6"/>
  <c r="H69" i="6"/>
  <c r="H60" i="6"/>
  <c r="I45" i="6"/>
  <c r="H59" i="6"/>
  <c r="K23" i="7"/>
  <c r="H63" i="6"/>
  <c r="I58" i="6"/>
  <c r="I69" i="6"/>
  <c r="H67" i="6"/>
  <c r="K31" i="7"/>
  <c r="I46" i="6"/>
  <c r="I61" i="6"/>
  <c r="Z172" i="5"/>
  <c r="M51" i="7" s="1"/>
  <c r="G51" i="7"/>
  <c r="J51" i="7" s="1"/>
  <c r="J50" i="7"/>
  <c r="AN50" i="7" s="1"/>
  <c r="H46" i="6"/>
  <c r="H72" i="6"/>
  <c r="Z155" i="5"/>
  <c r="M44" i="7" s="1"/>
  <c r="G44" i="7"/>
  <c r="J44" i="7" s="1"/>
  <c r="H53" i="6"/>
  <c r="I67" i="6"/>
  <c r="H47" i="6"/>
  <c r="I49" i="6"/>
  <c r="H61" i="6"/>
  <c r="H50" i="6"/>
  <c r="M51" i="6"/>
  <c r="J61" i="7"/>
  <c r="AN61" i="7" s="1"/>
  <c r="I42" i="6"/>
  <c r="I72" i="6"/>
  <c r="I56" i="6"/>
  <c r="I70" i="6"/>
  <c r="H44" i="6"/>
  <c r="H51" i="6"/>
  <c r="H57" i="6"/>
  <c r="H52" i="6"/>
  <c r="H66" i="6"/>
  <c r="H65" i="6"/>
  <c r="I73" i="6"/>
  <c r="H56" i="6"/>
  <c r="Z166" i="5"/>
  <c r="G54" i="7"/>
  <c r="J62" i="7"/>
  <c r="AN62" i="7" s="1"/>
  <c r="Z178" i="5"/>
  <c r="M56" i="7" s="1"/>
  <c r="G56" i="7"/>
  <c r="J56" i="7" s="1"/>
  <c r="AL56" i="7" s="1"/>
  <c r="AA166" i="5"/>
  <c r="H54" i="7"/>
  <c r="Z164" i="5"/>
  <c r="M66" i="7" s="1"/>
  <c r="G66" i="7"/>
  <c r="J66" i="7" s="1"/>
  <c r="I43" i="6"/>
  <c r="H43" i="6"/>
  <c r="J17" i="7"/>
  <c r="Z163" i="5"/>
  <c r="M65" i="7" s="1"/>
  <c r="G65" i="7"/>
  <c r="J65" i="7" s="1"/>
  <c r="I52" i="6"/>
  <c r="H71" i="6"/>
  <c r="H49" i="6"/>
  <c r="H58" i="6"/>
  <c r="K62" i="7"/>
  <c r="I66" i="6"/>
  <c r="Z125" i="5"/>
  <c r="M48" i="7" s="1"/>
  <c r="G48" i="7"/>
  <c r="J48" i="7" s="1"/>
  <c r="I60" i="6"/>
  <c r="Z162" i="5"/>
  <c r="M64" i="7" s="1"/>
  <c r="G64" i="7"/>
  <c r="J64" i="7" s="1"/>
  <c r="I47" i="6"/>
  <c r="Z124" i="5"/>
  <c r="M47" i="7" s="1"/>
  <c r="G47" i="7"/>
  <c r="J47" i="7" s="1"/>
  <c r="Z176" i="5"/>
  <c r="M68" i="7" s="1"/>
  <c r="J68" i="7"/>
  <c r="M42" i="6"/>
  <c r="J60" i="7"/>
  <c r="AN60" i="7" s="1"/>
  <c r="Z170" i="5"/>
  <c r="M63" i="7" s="1"/>
  <c r="G63" i="7"/>
  <c r="J63" i="7" s="1"/>
  <c r="I71" i="6"/>
  <c r="K61" i="7"/>
  <c r="Z159" i="5"/>
  <c r="M42" i="7" s="1"/>
  <c r="G42" i="7"/>
  <c r="J42" i="7" s="1"/>
  <c r="AL42" i="7" s="1"/>
  <c r="I48" i="6"/>
  <c r="Z165" i="5"/>
  <c r="M53" i="7" s="1"/>
  <c r="G53" i="7"/>
  <c r="K53" i="7" s="1"/>
  <c r="I62" i="6"/>
  <c r="H55" i="6"/>
  <c r="I64" i="6"/>
  <c r="H42" i="6"/>
  <c r="J42" i="6" s="1"/>
  <c r="H62" i="6"/>
  <c r="I50" i="6"/>
  <c r="H68" i="6"/>
  <c r="Z167" i="5"/>
  <c r="M55" i="7" s="1"/>
  <c r="G55" i="7"/>
  <c r="J55" i="7" s="1"/>
  <c r="I54" i="6"/>
  <c r="J20" i="7"/>
  <c r="I65" i="6"/>
  <c r="H54" i="6"/>
  <c r="Z126" i="5"/>
  <c r="M49" i="7" s="1"/>
  <c r="G49" i="7"/>
  <c r="J49" i="7" s="1"/>
  <c r="H64" i="6"/>
  <c r="K41" i="7"/>
  <c r="K52" i="7"/>
  <c r="H48" i="6"/>
  <c r="I55" i="6"/>
  <c r="Z156" i="5"/>
  <c r="M45" i="7" s="1"/>
  <c r="G45" i="7"/>
  <c r="J45" i="7" s="1"/>
  <c r="I63" i="6"/>
  <c r="J18" i="7"/>
  <c r="Z179" i="5"/>
  <c r="M57" i="7" s="1"/>
  <c r="G57" i="7"/>
  <c r="J57" i="7" s="1"/>
  <c r="I57" i="6"/>
  <c r="I53" i="6"/>
  <c r="Z157" i="5"/>
  <c r="M46" i="7" s="1"/>
  <c r="G46" i="7"/>
  <c r="J46" i="7" s="1"/>
  <c r="M73" i="6"/>
  <c r="J58" i="7"/>
  <c r="AN58" i="7" s="1"/>
  <c r="Z94" i="5"/>
  <c r="M71" i="6" s="1"/>
  <c r="G71" i="6"/>
  <c r="Z69" i="5"/>
  <c r="G49" i="6"/>
  <c r="Z87" i="5"/>
  <c r="G65" i="6"/>
  <c r="Z65" i="5"/>
  <c r="G52" i="6"/>
  <c r="Z88" i="5"/>
  <c r="G66" i="6"/>
  <c r="Z80" i="5"/>
  <c r="G56" i="6"/>
  <c r="Z95" i="5"/>
  <c r="G72" i="6"/>
  <c r="Z81" i="5"/>
  <c r="G57" i="6"/>
  <c r="Z89" i="5"/>
  <c r="G67" i="6"/>
  <c r="Z91" i="5"/>
  <c r="G54" i="6"/>
  <c r="Z82" i="5"/>
  <c r="G58" i="6"/>
  <c r="Z41" i="5"/>
  <c r="G43" i="6"/>
  <c r="Z71" i="5"/>
  <c r="G46" i="6"/>
  <c r="Z68" i="5"/>
  <c r="G48" i="6"/>
  <c r="Z70" i="5"/>
  <c r="G45" i="6"/>
  <c r="Z62" i="5"/>
  <c r="G64" i="6"/>
  <c r="Z67" i="5"/>
  <c r="G47" i="6"/>
  <c r="Z98" i="5"/>
  <c r="G60" i="6"/>
  <c r="AA96" i="5"/>
  <c r="H73" i="6"/>
  <c r="Z61" i="5"/>
  <c r="G63" i="6"/>
  <c r="Z63" i="5"/>
  <c r="G50" i="6"/>
  <c r="Z79" i="5"/>
  <c r="G70" i="6"/>
  <c r="Z92" i="5"/>
  <c r="G55" i="6"/>
  <c r="Z77" i="5"/>
  <c r="G68" i="6"/>
  <c r="Z97" i="5"/>
  <c r="G59" i="6"/>
  <c r="Z99" i="5"/>
  <c r="G61" i="6"/>
  <c r="Z60" i="5"/>
  <c r="G62" i="6"/>
  <c r="Z90" i="5"/>
  <c r="G53" i="6"/>
  <c r="Z78" i="5"/>
  <c r="G69" i="6"/>
  <c r="AA179" i="5"/>
  <c r="K16" i="6"/>
  <c r="K9" i="6"/>
  <c r="J9" i="6"/>
  <c r="J16" i="6"/>
  <c r="AA160" i="5"/>
  <c r="AA163" i="5"/>
  <c r="Z25" i="5"/>
  <c r="M10" i="6" s="1"/>
  <c r="G10" i="6"/>
  <c r="Z51" i="5"/>
  <c r="M26" i="6" s="1"/>
  <c r="G26" i="6"/>
  <c r="J26" i="6" s="1"/>
  <c r="AL26" i="6" s="1"/>
  <c r="Z55" i="5"/>
  <c r="M39" i="6" s="1"/>
  <c r="AM39" i="6" s="1"/>
  <c r="G39" i="6"/>
  <c r="J39" i="6" s="1"/>
  <c r="AL39" i="6" s="1"/>
  <c r="Z45" i="5"/>
  <c r="M21" i="6" s="1"/>
  <c r="G21" i="6"/>
  <c r="J21" i="6" s="1"/>
  <c r="Z48" i="5"/>
  <c r="M33" i="6" s="1"/>
  <c r="G33" i="6"/>
  <c r="J33" i="6" s="1"/>
  <c r="Z35" i="5"/>
  <c r="M24" i="6" s="1"/>
  <c r="G24" i="6"/>
  <c r="J24" i="6" s="1"/>
  <c r="Z46" i="5"/>
  <c r="M31" i="6" s="1"/>
  <c r="AN31" i="6" s="1"/>
  <c r="G31" i="6"/>
  <c r="J31" i="6" s="1"/>
  <c r="Z33" i="5"/>
  <c r="M22" i="6" s="1"/>
  <c r="G22" i="6"/>
  <c r="J22" i="6" s="1"/>
  <c r="Z22" i="5"/>
  <c r="M13" i="6" s="1"/>
  <c r="G13" i="6"/>
  <c r="J13" i="6" s="1"/>
  <c r="Z16" i="5"/>
  <c r="M17" i="6" s="1"/>
  <c r="G17" i="6"/>
  <c r="J17" i="6" s="1"/>
  <c r="Z43" i="5"/>
  <c r="M19" i="6" s="1"/>
  <c r="G19" i="6"/>
  <c r="J19" i="6" s="1"/>
  <c r="Z37" i="5"/>
  <c r="M35" i="6" s="1"/>
  <c r="AN35" i="6" s="1"/>
  <c r="G35" i="6"/>
  <c r="J35" i="6" s="1"/>
  <c r="Z27" i="5"/>
  <c r="M12" i="6" s="1"/>
  <c r="G12" i="6"/>
  <c r="K12" i="6" s="1"/>
  <c r="Z6" i="5"/>
  <c r="M6" i="6" s="1"/>
  <c r="G6" i="6"/>
  <c r="J6" i="6" s="1"/>
  <c r="Z23" i="5"/>
  <c r="M14" i="6" s="1"/>
  <c r="G14" i="6"/>
  <c r="J14" i="6" s="1"/>
  <c r="Z26" i="5"/>
  <c r="M11" i="6" s="1"/>
  <c r="G11" i="6"/>
  <c r="K11" i="6" s="1"/>
  <c r="Z18" i="5"/>
  <c r="M28" i="6" s="1"/>
  <c r="G28" i="6"/>
  <c r="J28" i="6" s="1"/>
  <c r="Z36" i="5"/>
  <c r="M34" i="6" s="1"/>
  <c r="G34" i="6"/>
  <c r="J34" i="6" s="1"/>
  <c r="AA103" i="5"/>
  <c r="Z24" i="5"/>
  <c r="M15" i="6" s="1"/>
  <c r="G15" i="6"/>
  <c r="J15" i="6" s="1"/>
  <c r="Z47" i="5"/>
  <c r="M32" i="6" s="1"/>
  <c r="G32" i="6"/>
  <c r="J32" i="6" s="1"/>
  <c r="Z44" i="5"/>
  <c r="M20" i="6" s="1"/>
  <c r="G20" i="6"/>
  <c r="J20" i="6" s="1"/>
  <c r="Z50" i="5"/>
  <c r="M25" i="6" s="1"/>
  <c r="G25" i="6"/>
  <c r="J25" i="6" s="1"/>
  <c r="AL25" i="6" s="1"/>
  <c r="Z9" i="5"/>
  <c r="M8" i="6" s="1"/>
  <c r="G8" i="6"/>
  <c r="J8" i="6" s="1"/>
  <c r="Z19" i="5"/>
  <c r="M29" i="6" s="1"/>
  <c r="G29" i="6"/>
  <c r="J29" i="6" s="1"/>
  <c r="AA67" i="5"/>
  <c r="Z53" i="5"/>
  <c r="M37" i="6" s="1"/>
  <c r="G37" i="6"/>
  <c r="J37" i="6" s="1"/>
  <c r="AL37" i="6" s="1"/>
  <c r="M30" i="6"/>
  <c r="AN30" i="6" s="1"/>
  <c r="G30" i="6"/>
  <c r="J30" i="6" s="1"/>
  <c r="Z8" i="5"/>
  <c r="M7" i="6" s="1"/>
  <c r="G7" i="6"/>
  <c r="J7" i="6" s="1"/>
  <c r="Z52" i="5"/>
  <c r="M27" i="6" s="1"/>
  <c r="G27" i="6"/>
  <c r="J27" i="6" s="1"/>
  <c r="AL27" i="6" s="1"/>
  <c r="AA34" i="5"/>
  <c r="H23" i="6"/>
  <c r="Z34" i="5"/>
  <c r="M23" i="6" s="1"/>
  <c r="G23" i="6"/>
  <c r="Z54" i="5"/>
  <c r="M38" i="6" s="1"/>
  <c r="AM38" i="6" s="1"/>
  <c r="G38" i="6"/>
  <c r="J38" i="6" s="1"/>
  <c r="AL38" i="6" s="1"/>
  <c r="AA85" i="5"/>
  <c r="Z17" i="5"/>
  <c r="M18" i="6" s="1"/>
  <c r="P21" i="6" s="1"/>
  <c r="G18" i="6"/>
  <c r="J18" i="6" s="1"/>
  <c r="AA87" i="5"/>
  <c r="Z38" i="5"/>
  <c r="M36" i="6" s="1"/>
  <c r="AN36" i="6" s="1"/>
  <c r="G36" i="6"/>
  <c r="J36" i="6" s="1"/>
  <c r="AA78" i="5"/>
  <c r="AA109" i="5"/>
  <c r="AA135" i="5"/>
  <c r="AA52" i="5"/>
  <c r="AA91" i="5"/>
  <c r="AA124" i="5"/>
  <c r="AA158" i="5"/>
  <c r="AA111" i="5"/>
  <c r="AA20" i="5"/>
  <c r="AA176" i="5"/>
  <c r="AA162" i="5"/>
  <c r="AA133" i="5"/>
  <c r="AA148" i="5"/>
  <c r="AA94" i="5"/>
  <c r="AA26" i="5"/>
  <c r="AA47" i="5"/>
  <c r="AA50" i="5"/>
  <c r="AA33" i="5"/>
  <c r="AA114" i="5"/>
  <c r="AA42" i="5"/>
  <c r="AA139" i="5"/>
  <c r="AA173" i="5"/>
  <c r="AA70" i="5"/>
  <c r="AA46" i="5"/>
  <c r="AA113" i="5"/>
  <c r="AA64" i="5"/>
  <c r="AA157" i="5"/>
  <c r="AA18" i="5"/>
  <c r="AA9" i="5"/>
  <c r="AA112" i="5"/>
  <c r="AA24" i="5"/>
  <c r="AA147" i="5"/>
  <c r="AA132" i="5"/>
  <c r="AA121" i="5"/>
  <c r="AA22" i="5"/>
  <c r="AA172" i="5"/>
  <c r="AA155" i="5"/>
  <c r="AA115" i="5"/>
  <c r="AA48" i="5"/>
  <c r="AA168" i="5"/>
  <c r="AA178" i="5"/>
  <c r="AA167" i="5"/>
  <c r="AA23" i="5"/>
  <c r="AA140" i="5"/>
  <c r="AA122" i="5"/>
  <c r="AA69" i="5"/>
  <c r="AA82" i="5"/>
  <c r="AA169" i="5"/>
  <c r="AA144" i="5"/>
  <c r="AA92" i="5"/>
  <c r="AA16" i="5"/>
  <c r="AA175" i="5"/>
  <c r="AA44" i="5"/>
  <c r="AA37" i="5"/>
  <c r="AA19" i="5"/>
  <c r="AA80" i="5"/>
  <c r="AA40" i="5"/>
  <c r="AA77" i="5"/>
  <c r="AA137" i="5"/>
  <c r="AA145" i="5"/>
  <c r="AA123" i="5"/>
  <c r="AA98" i="5"/>
  <c r="AA97" i="5"/>
  <c r="AA45" i="5"/>
  <c r="AA90" i="5"/>
  <c r="AA108" i="5"/>
  <c r="AA53" i="5"/>
  <c r="AA62" i="5"/>
  <c r="AA6" i="5"/>
  <c r="AA125" i="5"/>
  <c r="AA141" i="5"/>
  <c r="AA156" i="5"/>
  <c r="AA99" i="5"/>
  <c r="AA63" i="5"/>
  <c r="AA38" i="5"/>
  <c r="AA86" i="5"/>
  <c r="AA41" i="5"/>
  <c r="AA8" i="5"/>
  <c r="AA170" i="5"/>
  <c r="AA27" i="5"/>
  <c r="AA60" i="5"/>
  <c r="AA54" i="5"/>
  <c r="AA159" i="5"/>
  <c r="AA35" i="5"/>
  <c r="AA136" i="5"/>
  <c r="AA149" i="5"/>
  <c r="AA177" i="5"/>
  <c r="AA146" i="5"/>
  <c r="AA14" i="5"/>
  <c r="AA81" i="5"/>
  <c r="AA84" i="5"/>
  <c r="AA65" i="5"/>
  <c r="AA55" i="5"/>
  <c r="AA88" i="5"/>
  <c r="AA36" i="5"/>
  <c r="AA17" i="5"/>
  <c r="AA68" i="5"/>
  <c r="AA165" i="5"/>
  <c r="AA171" i="5"/>
  <c r="AA104" i="5"/>
  <c r="AA164" i="5"/>
  <c r="AA79" i="5"/>
  <c r="AA105" i="5"/>
  <c r="AA43" i="5"/>
  <c r="AA51" i="5"/>
  <c r="AA126" i="5"/>
  <c r="AA134" i="5"/>
  <c r="AA71" i="5"/>
  <c r="AA131" i="5"/>
  <c r="AA95" i="5"/>
  <c r="AA10" i="5"/>
  <c r="AA180" i="5"/>
  <c r="AA61" i="5"/>
  <c r="AA107" i="5"/>
  <c r="AA89" i="5"/>
  <c r="AA25" i="5"/>
  <c r="AL68" i="7" l="1"/>
  <c r="R73" i="7"/>
  <c r="AN47" i="7"/>
  <c r="AL67" i="7"/>
  <c r="R72" i="7"/>
  <c r="O68" i="7"/>
  <c r="O56" i="7"/>
  <c r="AN25" i="6"/>
  <c r="AM25" i="6"/>
  <c r="AN34" i="6"/>
  <c r="AN24" i="6"/>
  <c r="AM26" i="6"/>
  <c r="AN26" i="6"/>
  <c r="AN27" i="6"/>
  <c r="AM27" i="6"/>
  <c r="AN28" i="6"/>
  <c r="N33" i="6"/>
  <c r="AN33" i="6"/>
  <c r="P32" i="6"/>
  <c r="AN29" i="6"/>
  <c r="AN32" i="6"/>
  <c r="AM71" i="6"/>
  <c r="AM37" i="6"/>
  <c r="AN37" i="6"/>
  <c r="O36" i="7"/>
  <c r="O24" i="7"/>
  <c r="O57" i="7"/>
  <c r="AM67" i="7"/>
  <c r="O67" i="7"/>
  <c r="O69" i="7"/>
  <c r="O25" i="7"/>
  <c r="O37" i="7"/>
  <c r="N37" i="7"/>
  <c r="N71" i="6"/>
  <c r="N39" i="6"/>
  <c r="O39" i="6"/>
  <c r="N37" i="6"/>
  <c r="O37" i="6"/>
  <c r="N27" i="6"/>
  <c r="O27" i="6"/>
  <c r="P31" i="6"/>
  <c r="N32" i="6"/>
  <c r="N38" i="6"/>
  <c r="O38" i="6"/>
  <c r="N73" i="6"/>
  <c r="N25" i="6"/>
  <c r="O25" i="6"/>
  <c r="N26" i="6"/>
  <c r="O26" i="6"/>
  <c r="N21" i="6"/>
  <c r="P33" i="6"/>
  <c r="N19" i="6"/>
  <c r="N31" i="6"/>
  <c r="P20" i="6"/>
  <c r="N20" i="6"/>
  <c r="P19" i="6"/>
  <c r="P20" i="7"/>
  <c r="AN67" i="7"/>
  <c r="AN66" i="7"/>
  <c r="AN49" i="7"/>
  <c r="AN37" i="7"/>
  <c r="AN68" i="7"/>
  <c r="AN65" i="7"/>
  <c r="K37" i="7"/>
  <c r="AN59" i="7"/>
  <c r="AN28" i="7"/>
  <c r="AN57" i="7"/>
  <c r="AN35" i="7"/>
  <c r="N32" i="7"/>
  <c r="AN24" i="7"/>
  <c r="AM69" i="7"/>
  <c r="AN69" i="7"/>
  <c r="AN33" i="7"/>
  <c r="AN25" i="7"/>
  <c r="AN48" i="7"/>
  <c r="AN51" i="7"/>
  <c r="AN30" i="7"/>
  <c r="AN56" i="7"/>
  <c r="N36" i="7"/>
  <c r="AN36" i="7"/>
  <c r="AN55" i="7"/>
  <c r="N63" i="7"/>
  <c r="AN63" i="7"/>
  <c r="P61" i="7"/>
  <c r="AN64" i="7"/>
  <c r="N68" i="7"/>
  <c r="AM68" i="7"/>
  <c r="N26" i="7"/>
  <c r="AM26" i="7"/>
  <c r="N56" i="7"/>
  <c r="AM56" i="7"/>
  <c r="AM36" i="7"/>
  <c r="N24" i="7"/>
  <c r="AM24" i="7"/>
  <c r="N67" i="7"/>
  <c r="N25" i="7"/>
  <c r="AM25" i="7"/>
  <c r="AM37" i="7"/>
  <c r="J14" i="7"/>
  <c r="J34" i="7"/>
  <c r="AN34" i="7" s="1"/>
  <c r="K24" i="7"/>
  <c r="K32" i="7"/>
  <c r="N31" i="7"/>
  <c r="P30" i="7"/>
  <c r="P18" i="7"/>
  <c r="N18" i="7"/>
  <c r="N30" i="7"/>
  <c r="P19" i="7"/>
  <c r="J44" i="6"/>
  <c r="J58" i="6"/>
  <c r="J53" i="6"/>
  <c r="K45" i="6"/>
  <c r="K61" i="6"/>
  <c r="J70" i="6"/>
  <c r="J52" i="6"/>
  <c r="K65" i="6"/>
  <c r="J71" i="6"/>
  <c r="AL71" i="6" s="1"/>
  <c r="J47" i="6"/>
  <c r="J67" i="6"/>
  <c r="AN67" i="6" s="1"/>
  <c r="J64" i="6"/>
  <c r="K10" i="7"/>
  <c r="K73" i="6"/>
  <c r="N52" i="7"/>
  <c r="K44" i="7"/>
  <c r="J45" i="6"/>
  <c r="AL45" i="6" s="1"/>
  <c r="N20" i="7"/>
  <c r="J50" i="6"/>
  <c r="P32" i="7"/>
  <c r="K38" i="7"/>
  <c r="N19" i="7"/>
  <c r="K60" i="6"/>
  <c r="K72" i="6"/>
  <c r="J51" i="6"/>
  <c r="AN51" i="6" s="1"/>
  <c r="P31" i="7"/>
  <c r="K49" i="6"/>
  <c r="J69" i="6"/>
  <c r="J59" i="6"/>
  <c r="AL59" i="6" s="1"/>
  <c r="K51" i="6"/>
  <c r="J60" i="6"/>
  <c r="AL60" i="6" s="1"/>
  <c r="J46" i="6"/>
  <c r="AL46" i="6" s="1"/>
  <c r="J43" i="6"/>
  <c r="J68" i="6"/>
  <c r="K71" i="6"/>
  <c r="K43" i="6"/>
  <c r="J57" i="6"/>
  <c r="K55" i="6"/>
  <c r="J62" i="6"/>
  <c r="J55" i="6"/>
  <c r="K56" i="6"/>
  <c r="K67" i="6"/>
  <c r="J72" i="6"/>
  <c r="AL72" i="6" s="1"/>
  <c r="K70" i="6"/>
  <c r="J54" i="6"/>
  <c r="J56" i="6"/>
  <c r="J49" i="6"/>
  <c r="P50" i="7"/>
  <c r="K47" i="7"/>
  <c r="K69" i="7"/>
  <c r="K43" i="7"/>
  <c r="N62" i="7"/>
  <c r="P51" i="7"/>
  <c r="K65" i="7"/>
  <c r="J54" i="7"/>
  <c r="AN54" i="7" s="1"/>
  <c r="P62" i="7"/>
  <c r="N61" i="7"/>
  <c r="N51" i="7"/>
  <c r="K67" i="7"/>
  <c r="K59" i="7"/>
  <c r="P52" i="7"/>
  <c r="K63" i="7"/>
  <c r="P63" i="7"/>
  <c r="M59" i="6"/>
  <c r="M72" i="6"/>
  <c r="AM72" i="6" s="1"/>
  <c r="M65" i="6"/>
  <c r="AN65" i="6" s="1"/>
  <c r="N69" i="7"/>
  <c r="N57" i="7"/>
  <c r="J53" i="7"/>
  <c r="K55" i="7"/>
  <c r="K46" i="7"/>
  <c r="K18" i="7"/>
  <c r="J9" i="7"/>
  <c r="M47" i="6"/>
  <c r="AN47" i="6" s="1"/>
  <c r="M54" i="6"/>
  <c r="K6" i="7"/>
  <c r="J6" i="7"/>
  <c r="K42" i="7"/>
  <c r="K21" i="7"/>
  <c r="K48" i="7"/>
  <c r="J15" i="7"/>
  <c r="K57" i="7"/>
  <c r="K26" i="7"/>
  <c r="K45" i="7"/>
  <c r="K29" i="7"/>
  <c r="K66" i="7"/>
  <c r="K64" i="7"/>
  <c r="M68" i="6"/>
  <c r="AN68" i="6" s="1"/>
  <c r="M46" i="6"/>
  <c r="M56" i="6"/>
  <c r="AN56" i="6" s="1"/>
  <c r="M49" i="6"/>
  <c r="M64" i="6"/>
  <c r="AN64" i="6" s="1"/>
  <c r="J66" i="6"/>
  <c r="K30" i="7"/>
  <c r="K27" i="7"/>
  <c r="J27" i="7"/>
  <c r="J61" i="6"/>
  <c r="AL61" i="6" s="1"/>
  <c r="M55" i="6"/>
  <c r="J63" i="6"/>
  <c r="M43" i="6"/>
  <c r="M66" i="6"/>
  <c r="J7" i="7"/>
  <c r="J21" i="7"/>
  <c r="J29" i="7"/>
  <c r="AN29" i="7" s="1"/>
  <c r="K54" i="7"/>
  <c r="M50" i="6"/>
  <c r="M62" i="6"/>
  <c r="AN62" i="6" s="1"/>
  <c r="M69" i="6"/>
  <c r="AN69" i="6" s="1"/>
  <c r="M61" i="6"/>
  <c r="M63" i="6"/>
  <c r="K42" i="6"/>
  <c r="J23" i="7"/>
  <c r="K28" i="7"/>
  <c r="K8" i="7"/>
  <c r="J8" i="7"/>
  <c r="K11" i="7"/>
  <c r="J22" i="7"/>
  <c r="J48" i="6"/>
  <c r="M57" i="6"/>
  <c r="AN57" i="6" s="1"/>
  <c r="M52" i="6"/>
  <c r="K35" i="7"/>
  <c r="K13" i="7"/>
  <c r="K16" i="7"/>
  <c r="J32" i="7"/>
  <c r="AN32" i="7" s="1"/>
  <c r="K56" i="7"/>
  <c r="K44" i="6"/>
  <c r="K17" i="7"/>
  <c r="K36" i="7"/>
  <c r="J11" i="7"/>
  <c r="K68" i="7"/>
  <c r="J12" i="7"/>
  <c r="M53" i="6"/>
  <c r="M70" i="6"/>
  <c r="N67" i="6" s="1"/>
  <c r="M60" i="6"/>
  <c r="M48" i="6"/>
  <c r="AN48" i="6" s="1"/>
  <c r="M58" i="6"/>
  <c r="AN58" i="6" s="1"/>
  <c r="J65" i="6"/>
  <c r="J26" i="7"/>
  <c r="AL26" i="7" s="1"/>
  <c r="J13" i="7"/>
  <c r="K20" i="7"/>
  <c r="K51" i="7"/>
  <c r="K33" i="7"/>
  <c r="J19" i="7"/>
  <c r="K49" i="7"/>
  <c r="J31" i="7"/>
  <c r="AN31" i="7" s="1"/>
  <c r="K58" i="6"/>
  <c r="K52" i="6"/>
  <c r="K57" i="6"/>
  <c r="K50" i="6"/>
  <c r="K47" i="6"/>
  <c r="K46" i="6"/>
  <c r="K69" i="6"/>
  <c r="K64" i="6"/>
  <c r="K53" i="6"/>
  <c r="K54" i="6"/>
  <c r="K68" i="6"/>
  <c r="K63" i="6"/>
  <c r="J73" i="6"/>
  <c r="O73" i="6" s="1"/>
  <c r="K62" i="6"/>
  <c r="K59" i="6"/>
  <c r="K66" i="6"/>
  <c r="K48" i="6"/>
  <c r="K35" i="6"/>
  <c r="K22" i="6"/>
  <c r="K32" i="6"/>
  <c r="K37" i="6"/>
  <c r="K38" i="6"/>
  <c r="K23" i="6"/>
  <c r="K17" i="6"/>
  <c r="K15" i="6"/>
  <c r="K6" i="6"/>
  <c r="K14" i="6"/>
  <c r="J12" i="6"/>
  <c r="AL12" i="6" s="1"/>
  <c r="K28" i="6"/>
  <c r="K7" i="6"/>
  <c r="K24" i="6"/>
  <c r="K31" i="6"/>
  <c r="K13" i="6"/>
  <c r="K36" i="6"/>
  <c r="K18" i="6"/>
  <c r="J10" i="6"/>
  <c r="AL10" i="6" s="1"/>
  <c r="K10" i="6"/>
  <c r="J23" i="6"/>
  <c r="K29" i="6"/>
  <c r="K30" i="6"/>
  <c r="K19" i="6"/>
  <c r="K8" i="6"/>
  <c r="K25" i="6"/>
  <c r="K27" i="6"/>
  <c r="J11" i="6"/>
  <c r="AL11" i="6" s="1"/>
  <c r="K21" i="6"/>
  <c r="K33" i="6"/>
  <c r="K34" i="6"/>
  <c r="K39" i="6"/>
  <c r="K26" i="6"/>
  <c r="K20" i="6"/>
  <c r="AN50" i="6" l="1"/>
  <c r="P53" i="6"/>
  <c r="AN61" i="6"/>
  <c r="AM61" i="6"/>
  <c r="N54" i="6"/>
  <c r="AN54" i="6"/>
  <c r="P55" i="6"/>
  <c r="AN52" i="6"/>
  <c r="AN59" i="6"/>
  <c r="AM59" i="6"/>
  <c r="P54" i="6"/>
  <c r="O60" i="6"/>
  <c r="AN60" i="6"/>
  <c r="AM60" i="6"/>
  <c r="AN63" i="6"/>
  <c r="N66" i="6"/>
  <c r="AN66" i="6"/>
  <c r="AN55" i="6"/>
  <c r="N55" i="6"/>
  <c r="AN53" i="6"/>
  <c r="O71" i="6"/>
  <c r="O26" i="7"/>
  <c r="N60" i="6"/>
  <c r="P66" i="6"/>
  <c r="N59" i="6"/>
  <c r="O59" i="6"/>
  <c r="N61" i="6"/>
  <c r="O61" i="6"/>
  <c r="N72" i="6"/>
  <c r="O72" i="6"/>
  <c r="Y19" i="6"/>
  <c r="Z22" i="6" s="1"/>
  <c r="Y55" i="6"/>
  <c r="Z61" i="6" s="1"/>
  <c r="AO61" i="6" s="1"/>
  <c r="N53" i="6"/>
  <c r="P67" i="6"/>
  <c r="P65" i="6"/>
  <c r="N65" i="6"/>
  <c r="AN53" i="7"/>
  <c r="AN26" i="7"/>
  <c r="AN27" i="7"/>
  <c r="Y20" i="7"/>
  <c r="Z26" i="7" s="1"/>
  <c r="Y62" i="7"/>
  <c r="Z65" i="7" s="1"/>
  <c r="Y32" i="7"/>
  <c r="Y63" i="7"/>
  <c r="Z69" i="7" s="1"/>
  <c r="Y51" i="7"/>
  <c r="Z59" i="7" s="1"/>
  <c r="Y31" i="7"/>
  <c r="Y52" i="7"/>
  <c r="Z60" i="7" s="1"/>
  <c r="Y54" i="6"/>
  <c r="Z60" i="6" s="1"/>
  <c r="Y67" i="6"/>
  <c r="Y65" i="6"/>
  <c r="Y53" i="6"/>
  <c r="Z53" i="6" s="1"/>
  <c r="Y66" i="6"/>
  <c r="Y33" i="6"/>
  <c r="Z33" i="6" s="1"/>
  <c r="Y32" i="6"/>
  <c r="Y31" i="6"/>
  <c r="Z28" i="6" s="1"/>
  <c r="Y21" i="6"/>
  <c r="Y20" i="6"/>
  <c r="Z20" i="6" s="1"/>
  <c r="Y30" i="7"/>
  <c r="Z27" i="7" s="1"/>
  <c r="Y19" i="7"/>
  <c r="Z19" i="7" s="1"/>
  <c r="Y61" i="7"/>
  <c r="Y18" i="7"/>
  <c r="Z15" i="7" s="1"/>
  <c r="Y50" i="7"/>
  <c r="Z58" i="7" s="1"/>
  <c r="Z35" i="6" l="1"/>
  <c r="Z32" i="6"/>
  <c r="Z30" i="6"/>
  <c r="Z36" i="6"/>
  <c r="Z69" i="6"/>
  <c r="Z66" i="6"/>
  <c r="Z63" i="6"/>
  <c r="Z27" i="6"/>
  <c r="AO27" i="6" s="1"/>
  <c r="Z24" i="6"/>
  <c r="Z65" i="6"/>
  <c r="Z62" i="6"/>
  <c r="Z58" i="6"/>
  <c r="Z52" i="6"/>
  <c r="Z73" i="6"/>
  <c r="Z70" i="6"/>
  <c r="Z64" i="6"/>
  <c r="Z62" i="7"/>
  <c r="Z20" i="7"/>
  <c r="Z17" i="7"/>
  <c r="Z23" i="7"/>
  <c r="Z68" i="7"/>
  <c r="AO68" i="7" s="1"/>
  <c r="Z57" i="6"/>
  <c r="Z54" i="6"/>
  <c r="Z67" i="6"/>
  <c r="Z72" i="6"/>
  <c r="AO72" i="6" s="1"/>
  <c r="Z55" i="6"/>
  <c r="Z51" i="6"/>
  <c r="Z50" i="6"/>
  <c r="Z56" i="6"/>
  <c r="Z59" i="6"/>
  <c r="AO59" i="6" s="1"/>
  <c r="Z34" i="6"/>
  <c r="Z37" i="6"/>
  <c r="AO37" i="6" s="1"/>
  <c r="Z31" i="6"/>
  <c r="Z17" i="6"/>
  <c r="Z23" i="6"/>
  <c r="Z26" i="6"/>
  <c r="AO26" i="6" s="1"/>
  <c r="Z25" i="6"/>
  <c r="AO25" i="6" s="1"/>
  <c r="Z19" i="6"/>
  <c r="Z16" i="6"/>
  <c r="Z47" i="7"/>
  <c r="Z53" i="7"/>
  <c r="Z50" i="7"/>
  <c r="Z56" i="7"/>
  <c r="Z38" i="7"/>
  <c r="AO38" i="7" s="1"/>
  <c r="Z32" i="7"/>
  <c r="Z29" i="7"/>
  <c r="Z35" i="7"/>
  <c r="Z68" i="6"/>
  <c r="Z71" i="6"/>
  <c r="AO71" i="6" s="1"/>
  <c r="Z67" i="7"/>
  <c r="AO67" i="7" s="1"/>
  <c r="Z64" i="7"/>
  <c r="Z61" i="7"/>
  <c r="Z49" i="7"/>
  <c r="Z52" i="7"/>
  <c r="Z55" i="7"/>
  <c r="Z18" i="7"/>
  <c r="Z21" i="7"/>
  <c r="Z24" i="7"/>
  <c r="AO24" i="7" s="1"/>
  <c r="Z38" i="6"/>
  <c r="AO38" i="6" s="1"/>
  <c r="AO60" i="6"/>
  <c r="Z30" i="7"/>
  <c r="Z36" i="7"/>
  <c r="AO36" i="7" s="1"/>
  <c r="Z33" i="7"/>
  <c r="Z18" i="6"/>
  <c r="Z21" i="6"/>
  <c r="Z29" i="6"/>
  <c r="Z39" i="6"/>
  <c r="AO39" i="6" s="1"/>
  <c r="Z25" i="7"/>
  <c r="AO25" i="7" s="1"/>
  <c r="Z22" i="7"/>
  <c r="Z16" i="7"/>
  <c r="Z34" i="7"/>
  <c r="Z37" i="7"/>
  <c r="AO37" i="7" s="1"/>
  <c r="Z31" i="7"/>
  <c r="Z28" i="7"/>
  <c r="Z54" i="7"/>
  <c r="Z51" i="7"/>
  <c r="Z57" i="7"/>
  <c r="Z48" i="7"/>
  <c r="AO69" i="7"/>
  <c r="Z63" i="7"/>
  <c r="Z66" i="7"/>
  <c r="AO2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Jacqueline Stefels</author>
    <author>Flora Murakeozy-Kis</author>
  </authors>
  <commentList>
    <comment ref="AE4" authorId="0" shapeId="0" xr:uid="{DFCC05A9-5992-E147-8412-8FF37438B9BB}">
      <text>
        <r>
          <rPr>
            <b/>
            <sz val="10"/>
            <color rgb="FF000000"/>
            <rFont val="Tahoma"/>
            <family val="2"/>
          </rPr>
          <t>Jacqueline Stefels: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 this is slightly different from the DMSP production calcs: this is total % 13C and NOT the added % only.</t>
        </r>
      </text>
    </comment>
    <comment ref="AF58" authorId="1" shapeId="0" xr:uid="{F59638EE-1E85-495E-B2A1-679DC71703CB}">
      <text>
        <r>
          <rPr>
            <b/>
            <sz val="9"/>
            <color indexed="81"/>
            <rFont val="Tahoma"/>
            <family val="2"/>
          </rPr>
          <t>Flora Murakeozy-Kis:</t>
        </r>
        <r>
          <rPr>
            <sz val="9"/>
            <color indexed="81"/>
            <rFont val="Tahoma"/>
            <family val="2"/>
          </rPr>
          <t xml:space="preserve">
this row is for repl = C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Jacqueline Stefels</author>
    <author>Flora Murakeozy-Kis</author>
  </authors>
  <commentList>
    <comment ref="AE4" authorId="0" shapeId="0" xr:uid="{BC77B43C-B3E6-E44A-B072-53FDF0C4B0D9}">
      <text>
        <r>
          <rPr>
            <b/>
            <sz val="10"/>
            <color rgb="FF000000"/>
            <rFont val="Tahoma"/>
            <family val="2"/>
          </rPr>
          <t>Jacqueline Stefels: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 this is slightly different from the DMSP production calcs: this is total % 13C and NOT the added % only.</t>
        </r>
      </text>
    </comment>
    <comment ref="V5" authorId="1" shapeId="0" xr:uid="{E7D102F3-7FFC-417E-BD5F-4D755A94C8BB}">
      <text>
        <r>
          <rPr>
            <b/>
            <sz val="9"/>
            <color indexed="81"/>
            <rFont val="Tahoma"/>
            <family val="2"/>
          </rPr>
          <t>Flora Murakeozy-Kis:</t>
        </r>
        <r>
          <rPr>
            <sz val="9"/>
            <color indexed="81"/>
            <rFont val="Tahoma"/>
            <family val="2"/>
          </rPr>
          <t xml:space="preserve">
probability of c13 getting incorporated into carbon 'p' in dmsp (out of 2 places)</t>
        </r>
      </text>
    </comment>
    <comment ref="X5" authorId="1" shapeId="0" xr:uid="{7FC193C0-B761-4479-8085-2A3E512867CD}">
      <text>
        <r>
          <rPr>
            <b/>
            <sz val="9"/>
            <color indexed="81"/>
            <rFont val="Tahoma"/>
            <family val="2"/>
          </rPr>
          <t>Flora Murakeozy-Kis:</t>
        </r>
        <r>
          <rPr>
            <sz val="9"/>
            <color indexed="81"/>
            <rFont val="Tahoma"/>
            <family val="2"/>
          </rPr>
          <t xml:space="preserve">
probability of the new dmsp molecule being produced containing one c13 atom</t>
        </r>
      </text>
    </comment>
    <comment ref="Y5" authorId="1" shapeId="0" xr:uid="{4EA68222-7C48-4AA9-8049-57F4358884DC}">
      <text>
        <r>
          <rPr>
            <b/>
            <sz val="9"/>
            <color indexed="81"/>
            <rFont val="Tahoma"/>
            <family val="2"/>
          </rPr>
          <t>Flora Murakeozy-Kis:</t>
        </r>
        <r>
          <rPr>
            <sz val="9"/>
            <color indexed="81"/>
            <rFont val="Tahoma"/>
            <family val="2"/>
          </rPr>
          <t xml:space="preserve">
added c13 mass distribution
</t>
        </r>
      </text>
    </comment>
    <comment ref="Z5" authorId="1" shapeId="0" xr:uid="{31263EC2-3AAF-4E24-A69C-83BC9C27F71A}">
      <text>
        <r>
          <rPr>
            <b/>
            <sz val="9"/>
            <color indexed="81"/>
            <rFont val="Tahoma"/>
            <family val="2"/>
          </rPr>
          <t>Flora Murakeozy-Kis:</t>
        </r>
        <r>
          <rPr>
            <sz val="9"/>
            <color indexed="81"/>
            <rFont val="Tahoma"/>
            <family val="2"/>
          </rPr>
          <t xml:space="preserve">
does ot include uptake.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6A8350-FEC7-4F02-8189-A06A6D297DD1}" keepAlive="1" name="Query - averages" description="Connection to the 'averages' query in the workbook." type="5" refreshedVersion="0" background="1">
    <dbPr connection="Provider=Microsoft.Mashup.OleDb.1;Data Source=$Workbook$;Location=averages;Extended Properties=&quot;&quot;" command="SELECT * FROM [averages]"/>
  </connection>
</connections>
</file>

<file path=xl/sharedStrings.xml><?xml version="1.0" encoding="utf-8"?>
<sst xmlns="http://schemas.openxmlformats.org/spreadsheetml/2006/main" count="2892" uniqueCount="220">
  <si>
    <t>Plot Name</t>
  </si>
  <si>
    <t>XStart</t>
  </si>
  <si>
    <t>YStart</t>
  </si>
  <si>
    <t>XEnd</t>
  </si>
  <si>
    <t>YEnd</t>
  </si>
  <si>
    <t>Area</t>
  </si>
  <si>
    <t>corr 63</t>
  </si>
  <si>
    <t>21 jan chryso 25 t0</t>
  </si>
  <si>
    <t>2025.01.21-11h55m.h5__SV.txt (m63-cor)</t>
  </si>
  <si>
    <t>look up on computer</t>
  </si>
  <si>
    <t>m64</t>
  </si>
  <si>
    <t>2025.01.21-11h55m.h5__SV.txt (m64)</t>
  </si>
  <si>
    <t>m65</t>
  </si>
  <si>
    <t>2025.01.21-11h55m.h5__SV.txt (m65)</t>
  </si>
  <si>
    <t>standards</t>
  </si>
  <si>
    <t>day</t>
  </si>
  <si>
    <t>time</t>
  </si>
  <si>
    <t>m66</t>
  </si>
  <si>
    <t>2025.01.21-11h55m.h5__SV.txt (m66)</t>
  </si>
  <si>
    <t>m63</t>
  </si>
  <si>
    <t>22 jan - chryso 25t24</t>
  </si>
  <si>
    <t>2025.01.22-11h51m.h5__SV.txt (m63)</t>
  </si>
  <si>
    <t>30a</t>
  </si>
  <si>
    <t>30b</t>
  </si>
  <si>
    <t>m63 corr</t>
  </si>
  <si>
    <t>2025.01.22-11h51m.h5__SV.txt (m63-cor)</t>
  </si>
  <si>
    <t>2025.01.22-11h51m.h5__SV.txt (m64)</t>
  </si>
  <si>
    <t>2025.01.22-11h51m.h5__SV.txt (m65)</t>
  </si>
  <si>
    <t>2025.01.22-11h51m.h5__SV.txt (m66)</t>
  </si>
  <si>
    <t>chrys 25-25t24 + chrys 25-45 t0 + chrys 45 t0</t>
  </si>
  <si>
    <t>2025.01.23-10h19m.h5__SV.txt (m63-cor)</t>
  </si>
  <si>
    <t>2025.01.23-10h19m.h5__SV.txt (m64)</t>
  </si>
  <si>
    <t>2025.01.23-10h19m.h5__SV.txt (m65)</t>
  </si>
  <si>
    <t>2025.01.23-10h19m.h5__SV.txt (m66)</t>
  </si>
  <si>
    <t>chryso45 t24</t>
  </si>
  <si>
    <t>2025.01.24-10h41m.h5__SV.txt (m63-cor)</t>
  </si>
  <si>
    <t>2025.01.24-10h41m.h5__SV.txt (m64)</t>
  </si>
  <si>
    <t>2025.01.24-10h41m.h5__SV.txt (m65)</t>
  </si>
  <si>
    <t>2025.01.24-10h41m.h5__SV.txt (m66)</t>
  </si>
  <si>
    <t>m63 cor</t>
  </si>
  <si>
    <t>2025.01.27-09h38m.h5__SV.txt (m63-cor)</t>
  </si>
  <si>
    <t>2025.01.27-09h38m.h5__SV.txt (m64)</t>
  </si>
  <si>
    <t>2025.01.27-09h38m.h5__SV.txt (m65)</t>
  </si>
  <si>
    <t>2025.01.27-09h38m.h5__SV.txt (m66)</t>
  </si>
  <si>
    <t>2025.01.28-09h49m.h5__SV.txt (m63-cor)</t>
  </si>
  <si>
    <t>2025.01.28-09h49m.h5__SV.txt (m64)</t>
  </si>
  <si>
    <t>2025.01.28-09h49m.h5__SV.txt (m65)</t>
  </si>
  <si>
    <t>2025.01.28-09h49m.h5__SV.txt (m66)</t>
  </si>
  <si>
    <t>30 jan a</t>
  </si>
  <si>
    <t>2025.01.30-09h51m.h5__SV.txt (m63-cor)</t>
  </si>
  <si>
    <t>2025.01.30-09h51m.h5__SV.txt (m64)</t>
  </si>
  <si>
    <t>2025.01.30-09h51m.h5__SV.txt (m65)</t>
  </si>
  <si>
    <t>2025.01.30-09h51m.h5__SV.txt (m66)</t>
  </si>
  <si>
    <t xml:space="preserve">30 jan b </t>
  </si>
  <si>
    <t xml:space="preserve">m63 cor </t>
  </si>
  <si>
    <t>plot name (m63)</t>
  </si>
  <si>
    <t>Species</t>
  </si>
  <si>
    <t>Salinity_mothercult</t>
  </si>
  <si>
    <t>Salinity</t>
  </si>
  <si>
    <t>Time(h)</t>
  </si>
  <si>
    <t>Sample</t>
  </si>
  <si>
    <t>Compound</t>
  </si>
  <si>
    <t>Comment</t>
  </si>
  <si>
    <t>xstart</t>
  </si>
  <si>
    <t>2025.01.30-12h02m.h5__SV.txt (m63-cor)</t>
  </si>
  <si>
    <t>Chryso</t>
  </si>
  <si>
    <t>x</t>
  </si>
  <si>
    <t>A</t>
  </si>
  <si>
    <t>DMSPd</t>
  </si>
  <si>
    <t>?</t>
  </si>
  <si>
    <t>B</t>
  </si>
  <si>
    <t>C</t>
  </si>
  <si>
    <t>not enough vol (6 mL), with MQ</t>
  </si>
  <si>
    <t>DMS</t>
  </si>
  <si>
    <t>6 ml</t>
  </si>
  <si>
    <t>DMS(P)t</t>
  </si>
  <si>
    <t>A
B
C</t>
  </si>
  <si>
    <t>spilled</t>
  </si>
  <si>
    <t>2025.01.30-12h02m.h5__SV.txt (m64)</t>
  </si>
  <si>
    <t>DMSPp</t>
  </si>
  <si>
    <t>9.4 ML</t>
  </si>
  <si>
    <t>not shaken</t>
  </si>
  <si>
    <t xml:space="preserve">saturated </t>
  </si>
  <si>
    <t>C not taken</t>
  </si>
  <si>
    <t>DMS(P)d</t>
  </si>
  <si>
    <t>2025.01.30-12h02m.h5__SV.txt (m65)</t>
  </si>
  <si>
    <t>Polarella</t>
  </si>
  <si>
    <t>leak?</t>
  </si>
  <si>
    <t>2025.01.30-12h02m.h5__SV.txt (m66)</t>
  </si>
  <si>
    <t>2 different 30</t>
  </si>
  <si>
    <t>2025.01.31-10h08m.h5__SV.txt (m63-cor)</t>
  </si>
  <si>
    <t>has +3.5 mL demi</t>
  </si>
  <si>
    <t>double label</t>
  </si>
  <si>
    <t>2025.01.31-10h08m.h5__SV.txt (m64)</t>
  </si>
  <si>
    <t>2025.01.31-10h08m.h5__SV.txt (m65)</t>
  </si>
  <si>
    <t>2025.01.31-10h08m.h5__SV.txt (m66)</t>
  </si>
  <si>
    <t>MP64</t>
  </si>
  <si>
    <t>natural %13C/DIC</t>
  </si>
  <si>
    <t>alfa eq</t>
  </si>
  <si>
    <t>alfa kin</t>
  </si>
  <si>
    <t>m66 in D3-DMSP std (pmol):</t>
  </si>
  <si>
    <t>Picarro data</t>
  </si>
  <si>
    <t>Rm:</t>
  </si>
  <si>
    <t>conc. (nM)</t>
  </si>
  <si>
    <t>% D3-P taken up</t>
  </si>
  <si>
    <t>% D3-P lost (demethylated?)</t>
  </si>
  <si>
    <t>12C-DIC</t>
  </si>
  <si>
    <t>13C-DIC</t>
  </si>
  <si>
    <t>%13C sample</t>
  </si>
  <si>
    <t>%13C added</t>
  </si>
  <si>
    <t>probability 13C-DMS (%)</t>
  </si>
  <si>
    <t>vol. Filtered (mL)</t>
  </si>
  <si>
    <t>12C-POC (mg)</t>
  </si>
  <si>
    <t>13C-POC (mg)</t>
  </si>
  <si>
    <t>13/12C-POC</t>
  </si>
  <si>
    <t>total POC (mg/L)</t>
  </si>
  <si>
    <t>std</t>
  </si>
  <si>
    <t>ID</t>
  </si>
  <si>
    <t>12CO2 (mg)</t>
  </si>
  <si>
    <t>13CO2 (mg)</t>
  </si>
  <si>
    <t>total Carbon (mg)</t>
  </si>
  <si>
    <t>A1</t>
  </si>
  <si>
    <t>A2</t>
  </si>
  <si>
    <t>A3</t>
  </si>
  <si>
    <t>no values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</si>
  <si>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</si>
  <si>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</si>
  <si>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</si>
  <si>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</si>
  <si>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</si>
  <si>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</si>
  <si>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</si>
  <si>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</si>
  <si>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</si>
  <si>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</si>
  <si>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</si>
  <si>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</si>
  <si>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</si>
  <si>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</si>
  <si>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</si>
  <si>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</si>
  <si>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</si>
  <si>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</si>
  <si>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</si>
  <si>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</si>
  <si>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</si>
  <si>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</si>
  <si>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</si>
  <si>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</si>
  <si>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</si>
  <si>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</si>
  <si>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</si>
  <si>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</si>
  <si>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</si>
  <si>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</si>
  <si>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</si>
  <si>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</si>
  <si>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</si>
  <si>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Raw data cell counts</t>
  </si>
  <si>
    <t>Raw data cell size</t>
  </si>
  <si>
    <t>Date</t>
  </si>
  <si>
    <t>Salinity Stock</t>
  </si>
  <si>
    <t>Salinity Experiment</t>
  </si>
  <si>
    <t>Replicate ID</t>
  </si>
  <si>
    <t>Time (h)</t>
  </si>
  <si>
    <t>Avr cell count</t>
  </si>
  <si>
    <t>Avr cell size (µm)</t>
  </si>
  <si>
    <t>Yield</t>
  </si>
  <si>
    <t>corr m63</t>
  </si>
  <si>
    <t>2025.01.27-09h38m.h5__SV.txt</t>
  </si>
  <si>
    <t>area/pmol:</t>
  </si>
  <si>
    <t>volume</t>
  </si>
  <si>
    <t>Sal. exp.</t>
  </si>
  <si>
    <t>Sal. adapt</t>
  </si>
  <si>
    <t>Repl.</t>
  </si>
  <si>
    <t>Time</t>
  </si>
  <si>
    <t>saturated</t>
  </si>
  <si>
    <t>nmol/L</t>
  </si>
  <si>
    <t>m63:66</t>
  </si>
  <si>
    <t>m64:66</t>
  </si>
  <si>
    <t>m65:66</t>
  </si>
  <si>
    <t>D3-P corrected</t>
  </si>
  <si>
    <t>average in std:</t>
  </si>
  <si>
    <t>2nd run: add to previous</t>
  </si>
  <si>
    <t>leaky vial?</t>
  </si>
  <si>
    <t>species</t>
  </si>
  <si>
    <t>salinity mothercult</t>
  </si>
  <si>
    <t>salinity</t>
  </si>
  <si>
    <t>time(h)</t>
  </si>
  <si>
    <t>replciate ID</t>
  </si>
  <si>
    <t>Chrysochromulina</t>
  </si>
  <si>
    <t>m64 (nM)</t>
  </si>
  <si>
    <t>m63 cor (nM)</t>
  </si>
  <si>
    <t>m65 (nM)</t>
  </si>
  <si>
    <t>[D3-P] in fraction nM (=m66)</t>
  </si>
  <si>
    <t>D3-P added:</t>
  </si>
  <si>
    <t>nM</t>
  </si>
  <si>
    <t>p(12C)</t>
    <phoneticPr fontId="2" type="noConversion"/>
  </si>
  <si>
    <t>q(13C)</t>
    <phoneticPr fontId="2" type="noConversion"/>
  </si>
  <si>
    <t>Rm</t>
    <phoneticPr fontId="2" type="noConversion"/>
  </si>
  <si>
    <t>µDMSP (h-1)</t>
    <phoneticPr fontId="2" type="noConversion"/>
  </si>
  <si>
    <t>MP64 (=Rt)</t>
  </si>
  <si>
    <t xml:space="preserve">real Picarro POC data </t>
  </si>
  <si>
    <t>Rt</t>
    <phoneticPr fontId="1" type="noConversion"/>
  </si>
  <si>
    <t>µ-POC
(h-1)</t>
  </si>
  <si>
    <t>µ-DMSP/ µ-POC</t>
  </si>
  <si>
    <t>% DMSP-C/POC (mol/mol)</t>
  </si>
  <si>
    <t>12c</t>
  </si>
  <si>
    <t xml:space="preserve">13c </t>
  </si>
  <si>
    <t>chrysochromulina</t>
  </si>
  <si>
    <t>polarella</t>
  </si>
  <si>
    <t>Cell_dens(avr)</t>
  </si>
  <si>
    <t>cell_size(avr)</t>
  </si>
  <si>
    <t>diff_sal</t>
  </si>
  <si>
    <t>% DMSPuptake-C/POC (mol/mol)</t>
  </si>
  <si>
    <t>% DMSP uptake of total DMSP</t>
  </si>
  <si>
    <t>%up/dmspp</t>
  </si>
  <si>
    <t xml:space="preserve">cell density in </t>
  </si>
  <si>
    <t>number of cells</t>
  </si>
  <si>
    <t>dmsp content per cell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</si>
</sst>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"/>
    <numFmt numFmtId="168" formatCode="0.000000"/>
  </numFmts>
  <fonts count="26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80808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0"/>
      <color rgb="FF0000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</font>
    <font>
      <sz val="11"/>
      <color theme="6" tint="-0.249977111117893"/>
      <name val="Calibri"/>
      <family val="2"/>
    </font>
    <font>
      <b/>
      <sz val="11"/>
      <color theme="6"/>
      <name val="Calibri"/>
      <family val="2"/>
    </font>
    <font>
      <b/>
      <sz val="11"/>
      <name val="Calibri"/>
      <family val="2"/>
    </font>
    <font>
      <b/>
      <sz val="11"/>
      <color theme="6" tint="-0.249977111117893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5" borderId="0" applyNumberFormat="0" applyBorder="0" applyAlignment="0" applyProtection="0"/>
  </cellStyleXfs>
  <cellXfs count="116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1" fillId="2" borderId="0" xfId="0" applyFont="1" applyFill="1"/>
    <xf numFmtId="0" fontId="3" fillId="0" borderId="0" xfId="0" applyFont="1"/>
    <xf numFmtId="11" fontId="3" fillId="0" borderId="0" xfId="0" applyNumberFormat="1" applyFont="1"/>
    <xf numFmtId="16" fontId="2" fillId="0" borderId="0" xfId="0" applyNumberFormat="1" applyFont="1"/>
    <xf numFmtId="0" fontId="1" fillId="3" borderId="0" xfId="0" applyFont="1" applyFill="1"/>
    <xf numFmtId="0" fontId="4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11" fontId="9" fillId="0" borderId="0" xfId="0" applyNumberFormat="1" applyFont="1"/>
    <xf numFmtId="2" fontId="9" fillId="0" borderId="0" xfId="0" applyNumberFormat="1" applyFont="1"/>
    <xf numFmtId="11" fontId="10" fillId="0" borderId="0" xfId="0" applyNumberFormat="1" applyFont="1"/>
    <xf numFmtId="0" fontId="10" fillId="0" borderId="0" xfId="0" applyFont="1"/>
    <xf numFmtId="2" fontId="10" fillId="0" borderId="0" xfId="0" applyNumberFormat="1" applyFont="1"/>
    <xf numFmtId="16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1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2" fillId="3" borderId="0" xfId="0" applyNumberFormat="1" applyFont="1" applyFill="1"/>
    <xf numFmtId="2" fontId="1" fillId="2" borderId="0" xfId="0" applyNumberFormat="1" applyFont="1" applyFill="1"/>
    <xf numFmtId="2" fontId="1" fillId="4" borderId="0" xfId="0" applyNumberFormat="1" applyFont="1" applyFill="1"/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15" fillId="0" borderId="0" xfId="0" applyFont="1"/>
    <xf numFmtId="0" fontId="11" fillId="0" borderId="0" xfId="0" applyFont="1"/>
    <xf numFmtId="2" fontId="11" fillId="0" borderId="0" xfId="0" applyNumberFormat="1" applyFont="1"/>
    <xf numFmtId="1" fontId="0" fillId="0" borderId="0" xfId="0" applyNumberFormat="1"/>
    <xf numFmtId="1" fontId="14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0" fillId="7" borderId="0" xfId="0" applyFill="1"/>
    <xf numFmtId="0" fontId="15" fillId="7" borderId="0" xfId="0" applyFont="1" applyFill="1"/>
    <xf numFmtId="2" fontId="0" fillId="7" borderId="0" xfId="0" applyNumberFormat="1" applyFill="1"/>
    <xf numFmtId="2" fontId="14" fillId="7" borderId="0" xfId="0" applyNumberFormat="1" applyFont="1" applyFill="1"/>
    <xf numFmtId="164" fontId="0" fillId="0" borderId="0" xfId="0" applyNumberFormat="1"/>
    <xf numFmtId="166" fontId="0" fillId="0" borderId="0" xfId="0" applyNumberFormat="1"/>
    <xf numFmtId="2" fontId="12" fillId="5" borderId="0" xfId="1" applyNumberFormat="1"/>
    <xf numFmtId="2" fontId="0" fillId="8" borderId="0" xfId="0" applyNumberFormat="1" applyFill="1"/>
    <xf numFmtId="0" fontId="11" fillId="8" borderId="0" xfId="0" applyFont="1" applyFill="1"/>
    <xf numFmtId="0" fontId="0" fillId="8" borderId="0" xfId="0" applyFill="1"/>
    <xf numFmtId="166" fontId="0" fillId="8" borderId="0" xfId="0" applyNumberFormat="1" applyFill="1"/>
    <xf numFmtId="2" fontId="11" fillId="8" borderId="0" xfId="0" applyNumberFormat="1" applyFont="1" applyFill="1"/>
    <xf numFmtId="0" fontId="1" fillId="0" borderId="0" xfId="0" applyFont="1" applyAlignment="1">
      <alignment horizontal="right"/>
    </xf>
    <xf numFmtId="0" fontId="1" fillId="9" borderId="0" xfId="0" applyFont="1" applyFill="1"/>
    <xf numFmtId="0" fontId="1" fillId="9" borderId="0" xfId="0" applyFont="1" applyFill="1" applyAlignment="1">
      <alignment horizontal="right"/>
    </xf>
    <xf numFmtId="0" fontId="13" fillId="0" borderId="0" xfId="0" applyFont="1" applyAlignment="1">
      <alignment wrapText="1"/>
    </xf>
    <xf numFmtId="0" fontId="18" fillId="0" borderId="0" xfId="0" applyFont="1"/>
    <xf numFmtId="164" fontId="19" fillId="0" borderId="0" xfId="0" applyNumberFormat="1" applyFont="1"/>
    <xf numFmtId="0" fontId="20" fillId="0" borderId="0" xfId="0" applyFont="1"/>
    <xf numFmtId="0" fontId="21" fillId="0" borderId="0" xfId="0" applyFont="1"/>
    <xf numFmtId="0" fontId="5" fillId="10" borderId="0" xfId="0" applyFont="1" applyFill="1" applyAlignment="1">
      <alignment wrapText="1"/>
    </xf>
    <xf numFmtId="165" fontId="5" fillId="10" borderId="0" xfId="0" applyNumberFormat="1" applyFont="1" applyFill="1" applyAlignment="1">
      <alignment wrapText="1"/>
    </xf>
    <xf numFmtId="165" fontId="5" fillId="11" borderId="0" xfId="0" applyNumberFormat="1" applyFont="1" applyFill="1" applyAlignment="1">
      <alignment wrapText="1"/>
    </xf>
    <xf numFmtId="0" fontId="22" fillId="0" borderId="0" xfId="0" applyFont="1" applyAlignment="1">
      <alignment wrapText="1"/>
    </xf>
    <xf numFmtId="164" fontId="22" fillId="0" borderId="0" xfId="0" applyNumberFormat="1" applyFont="1" applyAlignment="1">
      <alignment wrapText="1"/>
    </xf>
    <xf numFmtId="164" fontId="21" fillId="0" borderId="0" xfId="0" applyNumberFormat="1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164" fontId="18" fillId="0" borderId="0" xfId="0" applyNumberFormat="1" applyFont="1"/>
    <xf numFmtId="166" fontId="18" fillId="0" borderId="0" xfId="0" applyNumberFormat="1" applyFont="1"/>
    <xf numFmtId="0" fontId="4" fillId="11" borderId="0" xfId="0" applyFont="1" applyFill="1"/>
    <xf numFmtId="0" fontId="4" fillId="10" borderId="0" xfId="0" applyFont="1" applyFill="1"/>
    <xf numFmtId="0" fontId="4" fillId="6" borderId="0" xfId="0" applyFont="1" applyFill="1"/>
    <xf numFmtId="0" fontId="7" fillId="7" borderId="0" xfId="0" applyFont="1" applyFill="1"/>
    <xf numFmtId="0" fontId="4" fillId="7" borderId="0" xfId="0" applyFont="1" applyFill="1"/>
    <xf numFmtId="2" fontId="4" fillId="10" borderId="0" xfId="0" applyNumberFormat="1" applyFont="1" applyFill="1"/>
    <xf numFmtId="2" fontId="5" fillId="7" borderId="0" xfId="0" applyNumberFormat="1" applyFont="1" applyFill="1"/>
    <xf numFmtId="164" fontId="4" fillId="0" borderId="0" xfId="0" applyNumberFormat="1" applyFont="1"/>
    <xf numFmtId="166" fontId="4" fillId="0" borderId="0" xfId="0" applyNumberFormat="1" applyFont="1"/>
    <xf numFmtId="165" fontId="4" fillId="0" borderId="0" xfId="0" applyNumberFormat="1" applyFont="1"/>
    <xf numFmtId="165" fontId="4" fillId="11" borderId="0" xfId="0" applyNumberFormat="1" applyFont="1" applyFill="1"/>
    <xf numFmtId="0" fontId="18" fillId="11" borderId="0" xfId="0" applyFont="1" applyFill="1"/>
    <xf numFmtId="164" fontId="13" fillId="0" borderId="0" xfId="0" applyNumberFormat="1" applyFont="1" applyAlignment="1">
      <alignment wrapText="1"/>
    </xf>
    <xf numFmtId="0" fontId="7" fillId="11" borderId="0" xfId="0" applyFont="1" applyFill="1"/>
    <xf numFmtId="2" fontId="5" fillId="11" borderId="0" xfId="0" applyNumberFormat="1" applyFont="1" applyFill="1"/>
    <xf numFmtId="2" fontId="4" fillId="11" borderId="0" xfId="0" applyNumberFormat="1" applyFont="1" applyFill="1"/>
    <xf numFmtId="0" fontId="12" fillId="5" borderId="0" xfId="1" applyAlignment="1">
      <alignment horizontal="right"/>
    </xf>
    <xf numFmtId="164" fontId="12" fillId="5" borderId="0" xfId="1" applyNumberFormat="1"/>
    <xf numFmtId="165" fontId="12" fillId="5" borderId="0" xfId="1" applyNumberFormat="1"/>
    <xf numFmtId="2" fontId="19" fillId="0" borderId="0" xfId="0" applyNumberFormat="1" applyFont="1"/>
    <xf numFmtId="2" fontId="20" fillId="0" borderId="0" xfId="0" applyNumberFormat="1" applyFont="1"/>
    <xf numFmtId="2" fontId="22" fillId="0" borderId="0" xfId="0" applyNumberFormat="1" applyFont="1" applyAlignment="1">
      <alignment wrapText="1"/>
    </xf>
    <xf numFmtId="2" fontId="21" fillId="0" borderId="0" xfId="0" applyNumberFormat="1" applyFont="1" applyAlignment="1">
      <alignment horizontal="center" wrapText="1"/>
    </xf>
    <xf numFmtId="2" fontId="21" fillId="0" borderId="0" xfId="0" applyNumberFormat="1" applyFont="1" applyAlignment="1">
      <alignment wrapText="1"/>
    </xf>
    <xf numFmtId="2" fontId="18" fillId="0" borderId="0" xfId="0" applyNumberFormat="1" applyFont="1"/>
    <xf numFmtId="2" fontId="18" fillId="0" borderId="0" xfId="0" applyNumberFormat="1" applyFont="1" applyAlignment="1">
      <alignment horizontal="right"/>
    </xf>
    <xf numFmtId="166" fontId="22" fillId="0" borderId="1" xfId="0" applyNumberFormat="1" applyFont="1" applyBorder="1" applyAlignment="1">
      <alignment horizontal="left"/>
    </xf>
    <xf numFmtId="166" fontId="18" fillId="0" borderId="2" xfId="0" applyNumberFormat="1" applyFont="1" applyBorder="1"/>
    <xf numFmtId="166" fontId="21" fillId="0" borderId="3" xfId="0" applyNumberFormat="1" applyFont="1" applyBorder="1" applyAlignment="1">
      <alignment wrapText="1"/>
    </xf>
    <xf numFmtId="166" fontId="21" fillId="0" borderId="4" xfId="0" applyNumberFormat="1" applyFont="1" applyBorder="1" applyAlignment="1">
      <alignment wrapText="1"/>
    </xf>
    <xf numFmtId="166" fontId="12" fillId="5" borderId="0" xfId="1" applyNumberFormat="1"/>
    <xf numFmtId="2" fontId="18" fillId="0" borderId="0" xfId="0" quotePrefix="1" applyNumberFormat="1" applyFont="1"/>
    <xf numFmtId="2" fontId="21" fillId="0" borderId="0" xfId="0" applyNumberFormat="1" applyFont="1"/>
    <xf numFmtId="0" fontId="23" fillId="0" borderId="0" xfId="0" applyFont="1"/>
    <xf numFmtId="164" fontId="13" fillId="0" borderId="0" xfId="0" applyNumberFormat="1" applyFont="1" applyAlignment="1">
      <alignment horizontal="left" wrapText="1"/>
    </xf>
    <xf numFmtId="164" fontId="4" fillId="12" borderId="0" xfId="0" applyNumberFormat="1" applyFont="1" applyFill="1"/>
    <xf numFmtId="0" fontId="1" fillId="7" borderId="0" xfId="0" applyFont="1" applyFill="1"/>
    <xf numFmtId="164" fontId="5" fillId="0" borderId="0" xfId="0" applyNumberFormat="1" applyFont="1"/>
    <xf numFmtId="11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2" fontId="12" fillId="5" borderId="0" xfId="1" applyNumberFormat="1" applyBorder="1"/>
    <xf numFmtId="0" fontId="4" fillId="13" borderId="0" xfId="0" applyFont="1" applyFill="1"/>
    <xf numFmtId="2" fontId="4" fillId="13" borderId="0" xfId="0" applyNumberFormat="1" applyFont="1" applyFill="1"/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mura\Downloads\Data_Flora_JS%20(3).xlsx" TargetMode="External"/><Relationship Id="rId1" Type="http://schemas.openxmlformats.org/officeDocument/2006/relationships/externalLinkPath" Target="/Users/fmura/Downloads/Data_Flora_JS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larella"/>
      <sheetName val="Chryso"/>
      <sheetName val="DMSPraw (JS)"/>
      <sheetName val="Picarro"/>
      <sheetName val="Cell Count"/>
      <sheetName val="DMSPraw"/>
    </sheetNames>
    <sheetDataSet>
      <sheetData sheetId="0"/>
      <sheetData sheetId="1"/>
      <sheetData sheetId="2"/>
      <sheetData sheetId="3">
        <row r="12">
          <cell r="G12">
            <v>0.27803772078440536</v>
          </cell>
          <cell r="H12">
            <v>3.0772945025413336E-3</v>
          </cell>
        </row>
        <row r="13">
          <cell r="G13">
            <v>0.34106410488598082</v>
          </cell>
          <cell r="H13">
            <v>3.7899417732858171E-3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50E0-ADBB-7E43-9117-3D718156EE63}">
  <dimension ref="A1:AV74"/>
  <sheetViews>
    <sheetView tabSelected="1" zoomScale="55" zoomScaleNormal="55" workbookViewId="0">
      <pane xSplit="3828" ySplit="1380" topLeftCell="Z34" activePane="bottomRight"/>
      <selection activeCell="C1" sqref="C1:C1048576"/>
      <selection pane="topRight" activeCell="M5" sqref="M5"/>
      <selection pane="bottomLeft" activeCell="A28" sqref="A28:XFD28"/>
      <selection pane="bottomRight" activeCell="AM43" sqref="AM43"/>
    </sheetView>
  </sheetViews>
  <sheetFormatPr defaultColWidth="10.77734375" defaultRowHeight="14.4" x14ac:dyDescent="0.3"/>
  <cols>
    <col min="1" max="4" width="10.77734375" style="8"/>
    <col min="5" max="5" width="6.77734375" style="8" customWidth="1"/>
    <col min="6" max="11" width="10.77734375" style="8"/>
    <col min="12" max="12" width="3.77734375" style="72" customWidth="1"/>
    <col min="13" max="16" width="10.77734375" style="8"/>
    <col min="17" max="17" width="3.33203125" style="72" customWidth="1"/>
    <col min="18" max="18" width="10" style="8" bestFit="1" customWidth="1"/>
    <col min="19" max="19" width="8.6640625" style="8" customWidth="1"/>
    <col min="20" max="20" width="8.6640625" style="8" bestFit="1" customWidth="1"/>
    <col min="21" max="21" width="8.44140625" style="8" customWidth="1"/>
    <col min="22" max="22" width="8.6640625" style="8" customWidth="1"/>
    <col min="23" max="23" width="8.33203125" style="8" customWidth="1"/>
    <col min="24" max="24" width="11" style="8" customWidth="1"/>
    <col min="25" max="26" width="10.77734375" style="8"/>
    <col min="27" max="27" width="4" style="72" customWidth="1"/>
    <col min="28" max="28" width="10.77734375" style="8"/>
    <col min="29" max="31" width="10.77734375" style="31"/>
    <col min="32" max="33" width="10.77734375" style="80"/>
    <col min="34" max="36" width="10.77734375" style="8"/>
    <col min="37" max="37" width="3.44140625" style="72" customWidth="1"/>
    <col min="38" max="38" width="13.44140625" style="8" customWidth="1"/>
    <col min="39" max="40" width="15.21875" style="8" customWidth="1"/>
    <col min="41" max="41" width="9.44140625" style="79" customWidth="1"/>
    <col min="42" max="16384" width="10.77734375" style="8"/>
  </cols>
  <sheetData>
    <row r="1" spans="1:48" x14ac:dyDescent="0.3">
      <c r="AB1" s="57"/>
      <c r="AC1" s="96"/>
      <c r="AE1" s="96"/>
      <c r="AF1" s="71"/>
      <c r="AG1" s="71"/>
      <c r="AH1" s="57"/>
      <c r="AI1" s="57"/>
      <c r="AJ1" s="57"/>
      <c r="AK1" s="83"/>
    </row>
    <row r="2" spans="1:48" x14ac:dyDescent="0.3">
      <c r="U2" s="8" t="s">
        <v>97</v>
      </c>
      <c r="X2" s="8" t="s">
        <v>98</v>
      </c>
      <c r="Y2" s="8" t="s">
        <v>99</v>
      </c>
      <c r="AB2" s="57"/>
      <c r="AC2" s="97"/>
      <c r="AE2" s="103"/>
      <c r="AF2" s="71"/>
      <c r="AG2" s="71"/>
      <c r="AH2" s="57"/>
      <c r="AI2" s="57"/>
      <c r="AJ2" s="57"/>
      <c r="AK2" s="83"/>
    </row>
    <row r="3" spans="1:48" x14ac:dyDescent="0.3">
      <c r="M3" s="73" t="s">
        <v>195</v>
      </c>
      <c r="N3" s="74">
        <f>200*73/100</f>
        <v>146</v>
      </c>
      <c r="O3" s="74"/>
      <c r="P3" s="73"/>
      <c r="U3" s="8">
        <v>1.1000000000000001</v>
      </c>
      <c r="W3" s="58"/>
      <c r="X3" s="8">
        <v>1.36</v>
      </c>
      <c r="Y3" s="8">
        <v>1.06</v>
      </c>
      <c r="AB3" s="57"/>
      <c r="AC3" s="96"/>
      <c r="AD3" s="96"/>
      <c r="AE3" s="96"/>
      <c r="AG3" s="71"/>
      <c r="AH3" s="57"/>
      <c r="AI3" s="57"/>
      <c r="AJ3" s="57"/>
      <c r="AK3" s="83"/>
    </row>
    <row r="4" spans="1:48" x14ac:dyDescent="0.3">
      <c r="G4" s="75" t="s">
        <v>181</v>
      </c>
      <c r="H4" s="76"/>
      <c r="I4" s="75"/>
      <c r="J4" s="75"/>
      <c r="K4" s="75"/>
      <c r="L4" s="85"/>
      <c r="M4" s="77"/>
      <c r="N4" s="73" t="s">
        <v>196</v>
      </c>
      <c r="O4" s="73"/>
      <c r="P4" s="73"/>
      <c r="S4" s="59" t="s">
        <v>101</v>
      </c>
      <c r="AB4" s="57"/>
      <c r="AC4" s="92" t="s">
        <v>101</v>
      </c>
      <c r="AE4" s="104" t="s">
        <v>102</v>
      </c>
      <c r="AF4" s="98" t="s">
        <v>202</v>
      </c>
      <c r="AG4" s="99"/>
      <c r="AI4" s="60" t="s">
        <v>203</v>
      </c>
      <c r="AJ4" s="57"/>
      <c r="AK4" s="83"/>
    </row>
    <row r="5" spans="1:48" ht="55.8" x14ac:dyDescent="0.3">
      <c r="A5" s="10" t="s">
        <v>56</v>
      </c>
      <c r="B5" s="10" t="s">
        <v>173</v>
      </c>
      <c r="C5" s="10" t="s">
        <v>172</v>
      </c>
      <c r="D5" s="10" t="s">
        <v>175</v>
      </c>
      <c r="E5" s="10" t="s">
        <v>174</v>
      </c>
      <c r="F5" s="10" t="s">
        <v>117</v>
      </c>
      <c r="G5" s="78" t="s">
        <v>192</v>
      </c>
      <c r="H5" s="78" t="s">
        <v>191</v>
      </c>
      <c r="I5" s="78" t="s">
        <v>193</v>
      </c>
      <c r="J5" s="78" t="s">
        <v>103</v>
      </c>
      <c r="K5" s="78" t="s">
        <v>201</v>
      </c>
      <c r="L5" s="86"/>
      <c r="M5" s="61" t="s">
        <v>194</v>
      </c>
      <c r="N5" s="61" t="s">
        <v>104</v>
      </c>
      <c r="O5" s="61" t="s">
        <v>216</v>
      </c>
      <c r="P5" s="62" t="s">
        <v>105</v>
      </c>
      <c r="Q5" s="63"/>
      <c r="R5" s="64" t="s">
        <v>106</v>
      </c>
      <c r="S5" s="64" t="s">
        <v>107</v>
      </c>
      <c r="T5" s="65" t="s">
        <v>108</v>
      </c>
      <c r="U5" s="66" t="s">
        <v>109</v>
      </c>
      <c r="V5" s="66" t="s">
        <v>197</v>
      </c>
      <c r="W5" s="66" t="s">
        <v>198</v>
      </c>
      <c r="X5" s="66" t="s">
        <v>110</v>
      </c>
      <c r="Y5" s="67" t="s">
        <v>199</v>
      </c>
      <c r="Z5" s="68" t="s">
        <v>200</v>
      </c>
      <c r="AB5" s="67" t="s">
        <v>111</v>
      </c>
      <c r="AC5" s="93" t="s">
        <v>106</v>
      </c>
      <c r="AD5" s="93" t="s">
        <v>107</v>
      </c>
      <c r="AE5" s="93" t="s">
        <v>108</v>
      </c>
      <c r="AF5" s="100" t="s">
        <v>112</v>
      </c>
      <c r="AG5" s="101" t="s">
        <v>113</v>
      </c>
      <c r="AH5" s="67" t="s">
        <v>114</v>
      </c>
      <c r="AI5" s="68" t="s">
        <v>204</v>
      </c>
      <c r="AJ5" s="69" t="s">
        <v>115</v>
      </c>
      <c r="AL5" s="56" t="s">
        <v>206</v>
      </c>
      <c r="AM5" s="56" t="s">
        <v>214</v>
      </c>
      <c r="AN5" s="56" t="s">
        <v>215</v>
      </c>
      <c r="AO5" s="106" t="s">
        <v>205</v>
      </c>
      <c r="AP5" s="109" t="s">
        <v>167</v>
      </c>
      <c r="AQ5" s="10" t="s">
        <v>211</v>
      </c>
      <c r="AR5" s="10" t="s">
        <v>218</v>
      </c>
      <c r="AS5" s="10" t="s">
        <v>219</v>
      </c>
      <c r="AT5" s="10" t="s">
        <v>212</v>
      </c>
      <c r="AU5" s="10" t="s">
        <v>187</v>
      </c>
      <c r="AV5" s="10" t="s">
        <v>213</v>
      </c>
    </row>
    <row r="6" spans="1:48" x14ac:dyDescent="0.3">
      <c r="A6" s="1" t="s">
        <v>86</v>
      </c>
      <c r="B6" s="1">
        <v>25</v>
      </c>
      <c r="C6" s="1"/>
      <c r="D6" s="1">
        <v>0</v>
      </c>
      <c r="E6" s="1" t="s">
        <v>67</v>
      </c>
      <c r="F6" s="1" t="s">
        <v>73</v>
      </c>
      <c r="G6" s="31">
        <f>'DMSPraw (JS)'!W84</f>
        <v>0.41772108566065619</v>
      </c>
      <c r="H6" s="31">
        <f>'DMSPraw (JS)'!X84</f>
        <v>6.6089952510886049E-2</v>
      </c>
      <c r="I6" s="31">
        <f>'DMSPraw (JS)'!Y84</f>
        <v>1.1296056188961066E-2</v>
      </c>
      <c r="J6" s="31">
        <f t="shared" ref="J6:J38" si="0">SUM(G6:I6)</f>
        <v>0.49510709436050332</v>
      </c>
      <c r="K6" s="31">
        <f t="shared" ref="K6:K38" si="1">H6/(G6+H6+I6)*100</f>
        <v>13.348617554400027</v>
      </c>
      <c r="L6" s="87"/>
      <c r="M6" s="31">
        <f>'DMSPraw (JS)'!Z84</f>
        <v>5.0410471437469767E-2</v>
      </c>
    </row>
    <row r="7" spans="1:48" x14ac:dyDescent="0.3">
      <c r="A7" s="1" t="s">
        <v>86</v>
      </c>
      <c r="B7" s="1">
        <v>25</v>
      </c>
      <c r="C7" s="1"/>
      <c r="D7" s="1">
        <v>0</v>
      </c>
      <c r="E7" s="1" t="s">
        <v>70</v>
      </c>
      <c r="F7" s="1" t="s">
        <v>73</v>
      </c>
      <c r="G7" s="31">
        <f>'DMSPraw (JS)'!W85</f>
        <v>0.59770148810841972</v>
      </c>
      <c r="H7" s="31">
        <f>'DMSPraw (JS)'!X85</f>
        <v>7.3379919980087152E-2</v>
      </c>
      <c r="I7" s="31">
        <f>'DMSPraw (JS)'!Y85</f>
        <v>4.0951584673292768E-2</v>
      </c>
      <c r="J7" s="31">
        <f t="shared" si="0"/>
        <v>0.71203299276179965</v>
      </c>
      <c r="K7" s="31">
        <f t="shared" si="1"/>
        <v>10.30569098988863</v>
      </c>
      <c r="L7" s="87"/>
      <c r="M7" s="31">
        <f>'DMSPraw (JS)'!Z85</f>
        <v>-4.4639915269725897E-2</v>
      </c>
    </row>
    <row r="8" spans="1:48" x14ac:dyDescent="0.3">
      <c r="A8" s="1" t="s">
        <v>86</v>
      </c>
      <c r="B8" s="1">
        <v>25</v>
      </c>
      <c r="C8" s="1"/>
      <c r="D8" s="1">
        <v>0</v>
      </c>
      <c r="E8" s="1" t="s">
        <v>71</v>
      </c>
      <c r="F8" s="1" t="s">
        <v>73</v>
      </c>
      <c r="G8" s="31">
        <f>'DMSPraw (JS)'!W86</f>
        <v>0.65021793077593304</v>
      </c>
      <c r="H8" s="31">
        <f>'DMSPraw (JS)'!X86</f>
        <v>1.7213493723961859E-2</v>
      </c>
      <c r="I8" s="31">
        <f>'DMSPraw (JS)'!Y86</f>
        <v>0.12327648857959933</v>
      </c>
      <c r="J8" s="31">
        <f t="shared" si="0"/>
        <v>0.79070791307949428</v>
      </c>
      <c r="K8" s="31">
        <f t="shared" si="1"/>
        <v>2.1769724874665939</v>
      </c>
      <c r="L8" s="87"/>
      <c r="M8" s="31">
        <f>'DMSPraw (JS)'!Z86</f>
        <v>-3.8078564180574287E-2</v>
      </c>
      <c r="Z8" s="79"/>
    </row>
    <row r="9" spans="1:48" x14ac:dyDescent="0.3">
      <c r="A9" s="1" t="s">
        <v>86</v>
      </c>
      <c r="B9" s="1">
        <v>25</v>
      </c>
      <c r="C9" s="1"/>
      <c r="D9" s="1">
        <v>0</v>
      </c>
      <c r="E9" s="1" t="s">
        <v>67</v>
      </c>
      <c r="F9" s="1" t="s">
        <v>75</v>
      </c>
      <c r="G9" s="31">
        <f>'DMSPraw (JS)'!W103</f>
        <v>1061.6733767181663</v>
      </c>
      <c r="H9" s="31">
        <f>'DMSPraw (JS)'!X103</f>
        <v>30.3174551297734</v>
      </c>
      <c r="I9" s="31">
        <f>'DMSPraw (JS)'!Y103</f>
        <v>48.593169915551556</v>
      </c>
      <c r="J9" s="31">
        <f t="shared" si="0"/>
        <v>1140.5840017634912</v>
      </c>
      <c r="K9" s="31">
        <f t="shared" si="1"/>
        <v>2.6580642094662621</v>
      </c>
      <c r="L9" s="87"/>
      <c r="M9" s="31">
        <f>'DMSPraw (JS)'!Z103</f>
        <v>-0.11355011782310842</v>
      </c>
      <c r="R9" s="31"/>
      <c r="S9" s="31"/>
      <c r="T9" s="79"/>
      <c r="U9" s="31"/>
      <c r="V9" s="80"/>
      <c r="W9" s="80"/>
      <c r="X9" s="31"/>
      <c r="Y9" s="31"/>
      <c r="AB9" s="8">
        <v>30</v>
      </c>
      <c r="AE9" s="79"/>
      <c r="AF9" s="80">
        <f>Picarro!G20</f>
        <v>0.22798856886915542</v>
      </c>
      <c r="AG9" s="80">
        <f>Picarro!H20</f>
        <v>2.5191982629354831E-3</v>
      </c>
      <c r="AH9" s="79">
        <f>AG9/(AF9+AG9)*100</f>
        <v>1.0928908358614544</v>
      </c>
      <c r="AJ9" s="70">
        <f>(AF9+AG9)/AB9*1000</f>
        <v>7.683592237736363</v>
      </c>
      <c r="AP9" s="8">
        <v>0.61399999999999999</v>
      </c>
      <c r="AQ9" s="110">
        <f>'Cell Count'!I15</f>
        <v>37633.333333333336</v>
      </c>
      <c r="AR9" s="110">
        <f>AQ9*180</f>
        <v>6774000</v>
      </c>
      <c r="AS9" s="110"/>
      <c r="AT9" s="31">
        <f>'Cell Count'!J15</f>
        <v>8.7366666666666664</v>
      </c>
    </row>
    <row r="10" spans="1:48" x14ac:dyDescent="0.3">
      <c r="A10" s="1" t="s">
        <v>86</v>
      </c>
      <c r="B10" s="1">
        <v>25</v>
      </c>
      <c r="C10" s="1"/>
      <c r="D10" s="1">
        <v>0</v>
      </c>
      <c r="E10" s="1" t="s">
        <v>70</v>
      </c>
      <c r="F10" s="1" t="s">
        <v>75</v>
      </c>
      <c r="G10" s="31">
        <f>'DMSPraw (JS)'!W104</f>
        <v>1036.401015895503</v>
      </c>
      <c r="H10" s="31">
        <f>'DMSPraw (JS)'!X104</f>
        <v>29.901984649346602</v>
      </c>
      <c r="I10" s="31">
        <f>'DMSPraw (JS)'!Y104</f>
        <v>47.241357991345367</v>
      </c>
      <c r="J10" s="31">
        <f t="shared" si="0"/>
        <v>1113.544358536195</v>
      </c>
      <c r="K10" s="31">
        <f t="shared" si="1"/>
        <v>2.6852980233902963</v>
      </c>
      <c r="L10" s="87"/>
      <c r="M10" s="31">
        <f>'DMSPraw (JS)'!Z104</f>
        <v>-0.10148918667912288</v>
      </c>
      <c r="R10" s="31"/>
      <c r="S10" s="31"/>
      <c r="T10" s="79"/>
      <c r="U10" s="31"/>
      <c r="V10" s="80"/>
      <c r="W10" s="80"/>
      <c r="X10" s="31"/>
      <c r="Y10" s="31"/>
      <c r="AB10" s="8">
        <v>30</v>
      </c>
      <c r="AE10" s="79"/>
      <c r="AF10" s="80">
        <f>Picarro!G21</f>
        <v>0.19784473720083348</v>
      </c>
      <c r="AG10" s="80">
        <f>Picarro!H21</f>
        <v>2.1640454908375688E-3</v>
      </c>
      <c r="AH10" s="79">
        <f t="shared" ref="AH10" si="2">AG10/(AF10+AG10)*100</f>
        <v>1.0819752321444862</v>
      </c>
      <c r="AJ10" s="70">
        <f>(AF10+AG10)/AB10*1000</f>
        <v>6.6669594230557019</v>
      </c>
      <c r="AP10" s="8">
        <v>0.63100000000000001</v>
      </c>
      <c r="AQ10" s="110">
        <f>'Cell Count'!I17</f>
        <v>54716.666666666664</v>
      </c>
      <c r="AR10" s="110">
        <f t="shared" ref="AR10:AR11" si="3">AQ10*180</f>
        <v>9849000</v>
      </c>
      <c r="AS10" s="110"/>
      <c r="AT10" s="110">
        <f>'Cell Count'!J17</f>
        <v>10.118333333333332</v>
      </c>
    </row>
    <row r="11" spans="1:48" x14ac:dyDescent="0.3">
      <c r="A11" s="1" t="s">
        <v>86</v>
      </c>
      <c r="B11" s="1">
        <v>25</v>
      </c>
      <c r="C11" s="1"/>
      <c r="D11" s="1">
        <v>0</v>
      </c>
      <c r="E11" s="1" t="s">
        <v>71</v>
      </c>
      <c r="F11" s="1" t="s">
        <v>75</v>
      </c>
      <c r="G11" s="31">
        <f>'DMSPraw (JS)'!W105</f>
        <v>997.86352766245921</v>
      </c>
      <c r="H11" s="31">
        <f>'DMSPraw (JS)'!X105</f>
        <v>28.619695533480922</v>
      </c>
      <c r="I11" s="31">
        <f>'DMSPraw (JS)'!Y105</f>
        <v>44.341026245557835</v>
      </c>
      <c r="J11" s="31">
        <f t="shared" si="0"/>
        <v>1070.8242494414981</v>
      </c>
      <c r="K11" s="31">
        <f t="shared" si="1"/>
        <v>2.6726790645998055</v>
      </c>
      <c r="L11" s="87"/>
      <c r="M11" s="31">
        <f>'DMSPraw (JS)'!Z105</f>
        <v>-7.503389758925183E-2</v>
      </c>
      <c r="R11" s="31"/>
      <c r="S11" s="31"/>
      <c r="T11" s="79"/>
      <c r="U11" s="31"/>
      <c r="V11" s="80"/>
      <c r="W11" s="80"/>
      <c r="X11" s="31"/>
      <c r="Y11" s="31"/>
      <c r="AB11" s="8">
        <v>30</v>
      </c>
      <c r="AE11" s="79"/>
      <c r="AF11" s="102">
        <f>Picarro!G22</f>
        <v>0.22016192673949875</v>
      </c>
      <c r="AG11" s="102">
        <f>Picarro!H22</f>
        <v>6.3955502327121185E-3</v>
      </c>
      <c r="AH11" s="107"/>
      <c r="AJ11" s="70">
        <f>(AF11+AG11)/AB11*1000</f>
        <v>7.5519158990736956</v>
      </c>
      <c r="AP11" s="8">
        <v>0.61399999999999999</v>
      </c>
      <c r="AQ11" s="110">
        <f>'Cell Count'!I19</f>
        <v>48323.246414609275</v>
      </c>
      <c r="AR11" s="110">
        <f t="shared" si="3"/>
        <v>8698184.3546296693</v>
      </c>
      <c r="AS11" s="110"/>
      <c r="AT11" s="110">
        <f>'Cell Count'!J19</f>
        <v>9.5133333333333336</v>
      </c>
    </row>
    <row r="12" spans="1:48" x14ac:dyDescent="0.3">
      <c r="A12" s="1" t="s">
        <v>86</v>
      </c>
      <c r="B12" s="1">
        <v>25</v>
      </c>
      <c r="C12" s="1"/>
      <c r="D12" s="1">
        <v>0</v>
      </c>
      <c r="E12" s="1" t="s">
        <v>67</v>
      </c>
      <c r="F12" s="1" t="s">
        <v>68</v>
      </c>
      <c r="G12" s="31">
        <f>'DMSPraw (JS)'!W113</f>
        <v>8.2738048342785397</v>
      </c>
      <c r="H12" s="31">
        <f>'DMSPraw (JS)'!X113</f>
        <v>0.22407809153970371</v>
      </c>
      <c r="I12" s="31">
        <f>'DMSPraw (JS)'!Y113</f>
        <v>0.57324638086132562</v>
      </c>
      <c r="J12" s="31">
        <f t="shared" si="0"/>
        <v>9.0711293066795697</v>
      </c>
      <c r="K12" s="31">
        <f t="shared" si="1"/>
        <v>2.4702336827532898</v>
      </c>
      <c r="L12" s="87"/>
      <c r="M12" s="31">
        <f>'DMSPraw (JS)'!Z113</f>
        <v>-9.4552860018495728E-3</v>
      </c>
    </row>
    <row r="13" spans="1:48" x14ac:dyDescent="0.3">
      <c r="A13" s="1" t="s">
        <v>86</v>
      </c>
      <c r="B13" s="1">
        <v>25</v>
      </c>
      <c r="C13" s="1"/>
      <c r="D13" s="1">
        <v>0</v>
      </c>
      <c r="E13" s="1" t="s">
        <v>70</v>
      </c>
      <c r="F13" s="1" t="s">
        <v>68</v>
      </c>
      <c r="G13" s="31">
        <f>'DMSPraw (JS)'!W114</f>
        <v>17.140480010675777</v>
      </c>
      <c r="H13" s="31">
        <f>'DMSPraw (JS)'!X114</f>
        <v>0.49769105932522634</v>
      </c>
      <c r="I13" s="31">
        <f>'DMSPraw (JS)'!Y114</f>
        <v>0.84123219878563193</v>
      </c>
      <c r="J13" s="31">
        <f t="shared" si="0"/>
        <v>18.479403268786637</v>
      </c>
      <c r="K13" s="31">
        <f t="shared" si="1"/>
        <v>2.6932204037446978</v>
      </c>
      <c r="L13" s="87"/>
      <c r="M13" s="31">
        <f>'DMSPraw (JS)'!Z114</f>
        <v>5.5442052739584843E-3</v>
      </c>
    </row>
    <row r="14" spans="1:48" x14ac:dyDescent="0.3">
      <c r="A14" s="1" t="s">
        <v>86</v>
      </c>
      <c r="B14" s="1">
        <v>25</v>
      </c>
      <c r="C14" s="1"/>
      <c r="D14" s="1">
        <v>0</v>
      </c>
      <c r="E14" s="1" t="s">
        <v>71</v>
      </c>
      <c r="F14" s="1" t="s">
        <v>68</v>
      </c>
      <c r="G14" s="31">
        <f>'DMSPraw (JS)'!W115</f>
        <v>76.323201964246351</v>
      </c>
      <c r="H14" s="31">
        <f>'DMSPraw (JS)'!X115</f>
        <v>2.2963701556198517</v>
      </c>
      <c r="I14" s="31">
        <f>'DMSPraw (JS)'!Y115</f>
        <v>3.6558924443048757</v>
      </c>
      <c r="J14" s="31">
        <f t="shared" si="0"/>
        <v>82.275464564171088</v>
      </c>
      <c r="K14" s="31">
        <f t="shared" si="1"/>
        <v>2.7910752832380403</v>
      </c>
      <c r="L14" s="87"/>
      <c r="M14" s="31">
        <f>'DMSPraw (JS)'!Z115</f>
        <v>5.6664122848884391E-2</v>
      </c>
      <c r="Z14" s="79"/>
    </row>
    <row r="15" spans="1:48" x14ac:dyDescent="0.3">
      <c r="A15" s="1" t="s">
        <v>86</v>
      </c>
      <c r="B15" s="1">
        <v>25</v>
      </c>
      <c r="C15" s="1">
        <v>25</v>
      </c>
      <c r="D15" s="1">
        <v>24</v>
      </c>
      <c r="E15" s="1" t="s">
        <v>67</v>
      </c>
      <c r="F15" s="1" t="s">
        <v>73</v>
      </c>
      <c r="G15" s="31">
        <f>'DMSPraw (JS)'!W107</f>
        <v>1.050568881697052</v>
      </c>
      <c r="H15" s="31">
        <f>'DMSPraw (JS)'!X107</f>
        <v>2.4459286932435022E-2</v>
      </c>
      <c r="I15" s="31">
        <f>'DMSPraw (JS)'!Y107</f>
        <v>-0.26624031271533971</v>
      </c>
      <c r="J15" s="31">
        <f t="shared" si="0"/>
        <v>0.80878785591414726</v>
      </c>
      <c r="K15" s="31">
        <f t="shared" si="1"/>
        <v>3.0241906766502407</v>
      </c>
      <c r="L15" s="87"/>
      <c r="M15" s="31">
        <f>'DMSPraw (JS)'!Z107</f>
        <v>6.1749433697467779</v>
      </c>
      <c r="Z15" s="111">
        <f>LN(($Y$18-AVERAGE($K$9:$K$11))/($Y$18-K15))/D15*$Y$3</f>
        <v>1.1638446095427826E-3</v>
      </c>
    </row>
    <row r="16" spans="1:48" x14ac:dyDescent="0.3">
      <c r="A16" s="1" t="s">
        <v>86</v>
      </c>
      <c r="B16" s="1">
        <v>25</v>
      </c>
      <c r="C16" s="1">
        <v>25</v>
      </c>
      <c r="D16" s="1">
        <v>24</v>
      </c>
      <c r="E16" s="1" t="s">
        <v>70</v>
      </c>
      <c r="F16" s="1" t="s">
        <v>73</v>
      </c>
      <c r="G16" s="31">
        <f>'DMSPraw (JS)'!W108</f>
        <v>1.0808300678616325</v>
      </c>
      <c r="H16" s="31">
        <f>'DMSPraw (JS)'!X108</f>
        <v>6.9490963245906964E-2</v>
      </c>
      <c r="I16" s="31">
        <f>'DMSPraw (JS)'!Y108</f>
        <v>-0.32463951476756747</v>
      </c>
      <c r="J16" s="31">
        <f t="shared" si="0"/>
        <v>0.82568151633997189</v>
      </c>
      <c r="K16" s="31">
        <f t="shared" si="1"/>
        <v>8.416194606601108</v>
      </c>
      <c r="L16" s="87"/>
      <c r="M16" s="31">
        <f>'DMSPraw (JS)'!Z108</f>
        <v>7.5917087562279271</v>
      </c>
      <c r="Z16" s="79">
        <f>LN(($Y$19-AVERAGE($K$9:$K$11))/($Y$19-K16))/D16*$Y$3</f>
        <v>2.2567228366878883E-2</v>
      </c>
    </row>
    <row r="17" spans="1:48" x14ac:dyDescent="0.3">
      <c r="A17" s="1" t="s">
        <v>86</v>
      </c>
      <c r="B17" s="1">
        <v>25</v>
      </c>
      <c r="C17" s="1">
        <v>25</v>
      </c>
      <c r="D17" s="1">
        <v>24</v>
      </c>
      <c r="E17" s="1" t="s">
        <v>71</v>
      </c>
      <c r="F17" s="1" t="s">
        <v>73</v>
      </c>
      <c r="G17" s="31">
        <f>'DMSPraw (JS)'!W109</f>
        <v>1.1006049537644842</v>
      </c>
      <c r="H17" s="31">
        <f>'DMSPraw (JS)'!X109</f>
        <v>1.3529654660465056E-2</v>
      </c>
      <c r="I17" s="31">
        <f>'DMSPraw (JS)'!Y109</f>
        <v>-0.27861566397818455</v>
      </c>
      <c r="J17" s="31">
        <f t="shared" si="0"/>
        <v>0.83551894444676478</v>
      </c>
      <c r="K17" s="31">
        <f t="shared" si="1"/>
        <v>1.6193115369064024</v>
      </c>
      <c r="L17" s="87"/>
      <c r="M17" s="31">
        <f>'DMSPraw (JS)'!Z109</f>
        <v>6.2169704038309712</v>
      </c>
      <c r="N17" s="81"/>
      <c r="O17" s="81"/>
      <c r="P17" s="81"/>
      <c r="R17" s="31"/>
      <c r="S17" s="31"/>
      <c r="T17" s="79"/>
      <c r="U17" s="31"/>
      <c r="V17" s="80"/>
      <c r="W17" s="80"/>
      <c r="X17" s="31"/>
      <c r="Y17" s="31"/>
      <c r="Z17" s="79">
        <f>LN(($Y$20-AVERAGE($K$9:$K$11))/($Y$20-K17))/D17*$Y$3</f>
        <v>-3.1908465149256536E-3</v>
      </c>
    </row>
    <row r="18" spans="1:48" x14ac:dyDescent="0.3">
      <c r="A18" s="1" t="s">
        <v>86</v>
      </c>
      <c r="B18" s="1">
        <v>25</v>
      </c>
      <c r="C18" s="1">
        <v>25</v>
      </c>
      <c r="D18" s="1">
        <v>24</v>
      </c>
      <c r="E18" s="1" t="s">
        <v>67</v>
      </c>
      <c r="F18" s="1" t="s">
        <v>75</v>
      </c>
      <c r="G18" s="31">
        <f>'DMSPraw (JS)'!W137</f>
        <v>409.10831393006521</v>
      </c>
      <c r="H18" s="31">
        <f>'DMSPraw (JS)'!X137</f>
        <v>26.748314822941683</v>
      </c>
      <c r="I18" s="31">
        <f>'DMSPraw (JS)'!Y137</f>
        <v>18.946295416449747</v>
      </c>
      <c r="J18" s="31">
        <f t="shared" si="0"/>
        <v>454.80292416945662</v>
      </c>
      <c r="K18" s="31">
        <f t="shared" si="1"/>
        <v>5.8812978988181337</v>
      </c>
      <c r="L18" s="87"/>
      <c r="M18" s="31">
        <f>'DMSPraw (JS)'!Z137</f>
        <v>63.262034567773263</v>
      </c>
      <c r="N18" s="81">
        <f>(M18-M15-M21)/$N$3*100</f>
        <v>38.792508102139742</v>
      </c>
      <c r="P18" s="81">
        <f>($N$3-M15-M18-M21)/$N$3*100</f>
        <v>52.132186776422941</v>
      </c>
      <c r="R18" s="31">
        <f>dic!H18</f>
        <v>11112.8148</v>
      </c>
      <c r="S18" s="31">
        <f>dic!I18</f>
        <v>1424.3772379566699</v>
      </c>
      <c r="T18" s="8">
        <f>S18/(S18+R18)*100</f>
        <v>11.361214166970814</v>
      </c>
      <c r="U18" s="8">
        <f>T18-$U$3</f>
        <v>10.261214166970815</v>
      </c>
      <c r="V18" s="8">
        <f>1-U18/100</f>
        <v>0.89738785833029189</v>
      </c>
      <c r="W18" s="8">
        <f>U18/100</f>
        <v>0.10261214166970815</v>
      </c>
      <c r="X18" s="8">
        <f>2*V18*W18*100</f>
        <v>18.416578010332778</v>
      </c>
      <c r="Y18" s="8">
        <f>X18/$X$3+AVERAGE($K$9:$K$11)</f>
        <v>16.21361524400465</v>
      </c>
      <c r="Z18" s="79">
        <f>LN(($Y$18-AVERAGE($K$9:$K$11))/($Y$18-K18))/D18*$Y$3</f>
        <v>1.1946639392172453E-2</v>
      </c>
      <c r="AC18" s="31">
        <f>R18</f>
        <v>11112.8148</v>
      </c>
      <c r="AD18" s="31">
        <f>S18</f>
        <v>1424.3772379566699</v>
      </c>
      <c r="AE18" s="31">
        <f>AD18/(AD18+AC18)*100</f>
        <v>11.361214166970814</v>
      </c>
      <c r="AP18" s="8">
        <v>0.58699999999999997</v>
      </c>
      <c r="AQ18" s="110">
        <f>'Cell Count'!I14</f>
        <v>31500</v>
      </c>
      <c r="AR18" s="110">
        <f>AQ18*100</f>
        <v>3150000</v>
      </c>
      <c r="AS18" s="80">
        <f>1000*J24/AR18</f>
        <v>0.22754051632904038</v>
      </c>
      <c r="AT18" s="110">
        <f>'Cell Count'!J14</f>
        <v>8.6433333333333326</v>
      </c>
      <c r="AU18" s="8">
        <v>23.6</v>
      </c>
      <c r="AV18" s="8">
        <v>1.3999999999999986</v>
      </c>
    </row>
    <row r="19" spans="1:48" x14ac:dyDescent="0.3">
      <c r="A19" s="1" t="s">
        <v>86</v>
      </c>
      <c r="B19" s="1">
        <v>25</v>
      </c>
      <c r="C19" s="1">
        <v>25</v>
      </c>
      <c r="D19" s="1">
        <v>24</v>
      </c>
      <c r="E19" s="1" t="s">
        <v>70</v>
      </c>
      <c r="F19" s="1" t="s">
        <v>75</v>
      </c>
      <c r="G19" s="31">
        <f>'DMSPraw (JS)'!W138</f>
        <v>520.53299930491755</v>
      </c>
      <c r="H19" s="31">
        <f>'DMSPraw (JS)'!X138</f>
        <v>33.74961675715565</v>
      </c>
      <c r="I19" s="31">
        <f>'DMSPraw (JS)'!Y138</f>
        <v>23.192663621563305</v>
      </c>
      <c r="J19" s="31">
        <f t="shared" si="0"/>
        <v>577.47527968363647</v>
      </c>
      <c r="K19" s="31">
        <f t="shared" si="1"/>
        <v>5.8443396530575313</v>
      </c>
      <c r="L19" s="87"/>
      <c r="M19" s="31">
        <f>'DMSPraw (JS)'!Z138</f>
        <v>94.219670182897488</v>
      </c>
      <c r="N19" s="81">
        <f t="shared" ref="N19:N20" si="4">(M19-M16-M22)/$N$3*100</f>
        <v>55.735169433661802</v>
      </c>
      <c r="P19" s="81">
        <f>($N$3-M16-M19-M22)/$N$3*100</f>
        <v>26.667128087226899</v>
      </c>
      <c r="R19" s="31">
        <f>dic!H19</f>
        <v>10584.578100000001</v>
      </c>
      <c r="S19" s="31">
        <f>dic!I19</f>
        <v>1452.3316040049999</v>
      </c>
      <c r="T19" s="8">
        <f t="shared" ref="T19:T20" si="5">S19/(S19+R19)*100</f>
        <v>12.065651730541523</v>
      </c>
      <c r="U19" s="8">
        <f t="shared" ref="U19:U20" si="6">T19-$U$3</f>
        <v>10.965651730541524</v>
      </c>
      <c r="V19" s="8">
        <f t="shared" ref="V19:V20" si="7">1-U19/100</f>
        <v>0.89034348269458474</v>
      </c>
      <c r="W19" s="8">
        <f t="shared" ref="W19:W20" si="8">U19/100</f>
        <v>0.10965651730541523</v>
      </c>
      <c r="X19" s="8">
        <f t="shared" ref="X19:X20" si="9">2*V19*W19*100</f>
        <v>19.526393103572477</v>
      </c>
      <c r="Y19" s="8">
        <f>X19/$X$3+AVERAGE($K$9:$K$11)</f>
        <v>17.029655753739725</v>
      </c>
      <c r="Z19" s="111">
        <f>LN(($Y$19-AVERAGE($K$9:$K$11))/($Y$19-K19))/D19*$Y$3</f>
        <v>1.1027554864568851E-2</v>
      </c>
      <c r="AC19" s="31">
        <f t="shared" ref="AC19:AC20" si="10">R19</f>
        <v>10584.578100000001</v>
      </c>
      <c r="AD19" s="31">
        <f t="shared" ref="AD19:AD20" si="11">S19</f>
        <v>1452.3316040049999</v>
      </c>
      <c r="AE19" s="31">
        <f t="shared" ref="AE19:AE20" si="12">AD19/(AD19+AC19)*100</f>
        <v>12.065651730541523</v>
      </c>
      <c r="AP19" s="8">
        <v>0.623</v>
      </c>
      <c r="AQ19" s="110">
        <f>'Cell Count'!I16</f>
        <v>39100</v>
      </c>
      <c r="AR19" s="110">
        <f t="shared" ref="AR19:AR32" si="13">AQ19*100</f>
        <v>3910000</v>
      </c>
      <c r="AS19" s="80">
        <f>1000*J25/AR19</f>
        <v>0.14758026429530149</v>
      </c>
      <c r="AT19" s="110">
        <f>'Cell Count'!J16</f>
        <v>10.158333333333333</v>
      </c>
      <c r="AU19" s="8">
        <v>23.9</v>
      </c>
      <c r="AV19" s="8">
        <v>1.1000000000000014</v>
      </c>
    </row>
    <row r="20" spans="1:48" x14ac:dyDescent="0.3">
      <c r="A20" s="1" t="s">
        <v>86</v>
      </c>
      <c r="B20" s="1">
        <v>25</v>
      </c>
      <c r="C20" s="1">
        <v>25</v>
      </c>
      <c r="D20" s="1">
        <v>24</v>
      </c>
      <c r="E20" s="1" t="s">
        <v>71</v>
      </c>
      <c r="F20" s="1" t="s">
        <v>75</v>
      </c>
      <c r="G20" s="31">
        <f>'DMSPraw (JS)'!W139</f>
        <v>547.34906059101422</v>
      </c>
      <c r="H20" s="31">
        <f>'DMSPraw (JS)'!X139</f>
        <v>37.005231805710224</v>
      </c>
      <c r="I20" s="31">
        <f>'DMSPraw (JS)'!Y139</f>
        <v>24.937957669257898</v>
      </c>
      <c r="J20" s="31">
        <f t="shared" si="0"/>
        <v>609.29225006598233</v>
      </c>
      <c r="K20" s="31">
        <f t="shared" si="1"/>
        <v>6.0734781710587651</v>
      </c>
      <c r="L20" s="87"/>
      <c r="M20" s="31">
        <f>'DMSPraw (JS)'!Z139</f>
        <v>93.042205897498178</v>
      </c>
      <c r="N20" s="81">
        <f t="shared" si="4"/>
        <v>56.029675619864094</v>
      </c>
      <c r="P20" s="81">
        <f>($N$3-M17-M20-M23)/$N$3*100</f>
        <v>28.574599047948784</v>
      </c>
      <c r="R20" s="31">
        <f>dic!H20</f>
        <v>10693.82375</v>
      </c>
      <c r="S20" s="31">
        <f>dic!I20</f>
        <v>1430.6373901349998</v>
      </c>
      <c r="T20" s="8">
        <f t="shared" si="5"/>
        <v>11.799595657074047</v>
      </c>
      <c r="U20" s="8">
        <f t="shared" si="6"/>
        <v>10.699595657074047</v>
      </c>
      <c r="V20" s="8">
        <f t="shared" si="7"/>
        <v>0.89300404342925954</v>
      </c>
      <c r="W20" s="8">
        <f t="shared" si="8"/>
        <v>0.10699595657074047</v>
      </c>
      <c r="X20" s="8">
        <f t="shared" si="9"/>
        <v>19.109564369650538</v>
      </c>
      <c r="Y20" s="8">
        <f>X20/$X$3+AVERAGE($K$9:$K$11)</f>
        <v>16.723164037620656</v>
      </c>
      <c r="Z20" s="111">
        <f>LN(($Y$20-AVERAGE($K$9:$K$11))/($Y$20-K20))/D20*$Y$3</f>
        <v>1.2241845778578451E-2</v>
      </c>
      <c r="AC20" s="31">
        <f t="shared" si="10"/>
        <v>10693.82375</v>
      </c>
      <c r="AD20" s="31">
        <f t="shared" si="11"/>
        <v>1430.6373901349998</v>
      </c>
      <c r="AE20" s="31">
        <f t="shared" si="12"/>
        <v>11.799595657074047</v>
      </c>
      <c r="AP20" s="8">
        <v>0.61499999999999999</v>
      </c>
      <c r="AQ20" s="110">
        <f>'Cell Count'!I18</f>
        <v>40416.666666666664</v>
      </c>
      <c r="AR20" s="110">
        <f t="shared" si="13"/>
        <v>4041666.6666666665</v>
      </c>
      <c r="AS20" s="80">
        <f>1000*J26/AR20</f>
        <v>0.15062502340651082</v>
      </c>
      <c r="AT20" s="110">
        <f>'Cell Count'!J18</f>
        <v>9.3683333333333323</v>
      </c>
      <c r="AU20" s="8">
        <v>23.8</v>
      </c>
      <c r="AV20" s="8">
        <v>1.1999999999999993</v>
      </c>
    </row>
    <row r="21" spans="1:48" x14ac:dyDescent="0.3">
      <c r="A21" s="1" t="s">
        <v>86</v>
      </c>
      <c r="B21" s="1">
        <v>25</v>
      </c>
      <c r="C21" s="1">
        <v>25</v>
      </c>
      <c r="D21" s="1">
        <v>24</v>
      </c>
      <c r="E21" s="1" t="s">
        <v>67</v>
      </c>
      <c r="F21" s="1" t="s">
        <v>68</v>
      </c>
      <c r="G21" s="31">
        <f>'DMSPraw (JS)'!W131</f>
        <v>3.0419417804296147</v>
      </c>
      <c r="H21" s="31">
        <f>'DMSPraw (JS)'!X131</f>
        <v>0.19456382304127098</v>
      </c>
      <c r="I21" s="31">
        <f>'DMSPraw (JS)'!Y131</f>
        <v>0.21165897881590323</v>
      </c>
      <c r="J21" s="31">
        <f t="shared" si="0"/>
        <v>3.4481645822867892</v>
      </c>
      <c r="K21" s="31">
        <f t="shared" si="1"/>
        <v>5.6425329591500573</v>
      </c>
      <c r="L21" s="87"/>
      <c r="M21" s="31">
        <f>'DMSPraw (JS)'!Z131</f>
        <v>0.45002936890245487</v>
      </c>
      <c r="N21" s="81"/>
      <c r="P21" s="81"/>
      <c r="Z21" s="79">
        <f>LN(($Y$18-AVERAGE($K$9:$K$11))/($Y$18-K21))/D21*$Y$3</f>
        <v>1.0937625514750153E-2</v>
      </c>
      <c r="AR21" s="110"/>
      <c r="AS21" s="80"/>
    </row>
    <row r="22" spans="1:48" x14ac:dyDescent="0.3">
      <c r="A22" s="1" t="s">
        <v>86</v>
      </c>
      <c r="B22" s="1">
        <v>25</v>
      </c>
      <c r="C22" s="1">
        <v>25</v>
      </c>
      <c r="D22" s="1">
        <v>24</v>
      </c>
      <c r="E22" s="1" t="s">
        <v>70</v>
      </c>
      <c r="F22" s="1" t="s">
        <v>68</v>
      </c>
      <c r="G22" s="31">
        <f>'DMSPraw (JS)'!W132</f>
        <v>40.013366357683722</v>
      </c>
      <c r="H22" s="31">
        <f>'DMSPraw (JS)'!X132</f>
        <v>2.6577523274402179</v>
      </c>
      <c r="I22" s="31">
        <f>'DMSPraw (JS)'!Y132</f>
        <v>2.0701215609280155</v>
      </c>
      <c r="J22" s="31">
        <f t="shared" si="0"/>
        <v>44.741240246051959</v>
      </c>
      <c r="K22" s="31">
        <f t="shared" si="1"/>
        <v>5.9402741471270293</v>
      </c>
      <c r="L22" s="87"/>
      <c r="M22" s="31">
        <f>'DMSPraw (JS)'!Z132</f>
        <v>5.2546140535233246</v>
      </c>
      <c r="Z22" s="79">
        <f>LN(($Y$19-AVERAGE($K$9:$K$11))/($Y$19-K22))/D22*$Y$3</f>
        <v>1.1407998458078663E-2</v>
      </c>
      <c r="AR22" s="110"/>
      <c r="AS22" s="80"/>
    </row>
    <row r="23" spans="1:48" x14ac:dyDescent="0.3">
      <c r="A23" s="1" t="s">
        <v>86</v>
      </c>
      <c r="B23" s="1">
        <v>25</v>
      </c>
      <c r="C23" s="1">
        <v>25</v>
      </c>
      <c r="D23" s="1">
        <v>24</v>
      </c>
      <c r="E23" s="1" t="s">
        <v>71</v>
      </c>
      <c r="F23" s="1" t="s">
        <v>68</v>
      </c>
      <c r="G23" s="31">
        <f>'DMSPraw (JS)'!W133</f>
        <v>50.183007711557359</v>
      </c>
      <c r="H23" s="31">
        <f>'DMSPraw (JS)'!X133</f>
        <v>3.3225145406561318</v>
      </c>
      <c r="I23" s="31">
        <f>'DMSPraw (JS)'!Y133</f>
        <v>2.3350289310637233</v>
      </c>
      <c r="J23" s="31">
        <f t="shared" si="0"/>
        <v>55.840551183277213</v>
      </c>
      <c r="K23" s="31">
        <f t="shared" si="1"/>
        <v>5.9500031254188945</v>
      </c>
      <c r="L23" s="87"/>
      <c r="M23" s="31">
        <f>'DMSPraw (JS)'!Z133</f>
        <v>5.0219090886656312</v>
      </c>
      <c r="Z23" s="79">
        <f>LN(($Y$20-AVERAGE($K$9:$K$11))/($Y$20-K23))/D23*$Y$3</f>
        <v>1.1732712550041885E-2</v>
      </c>
      <c r="AR23" s="110"/>
      <c r="AS23" s="80"/>
    </row>
    <row r="24" spans="1:48" x14ac:dyDescent="0.3">
      <c r="A24" s="1" t="s">
        <v>86</v>
      </c>
      <c r="B24" s="1">
        <v>25</v>
      </c>
      <c r="C24" s="1">
        <v>25</v>
      </c>
      <c r="D24" s="1">
        <v>24</v>
      </c>
      <c r="E24" s="1" t="s">
        <v>67</v>
      </c>
      <c r="F24" s="1" t="s">
        <v>79</v>
      </c>
      <c r="G24" s="31">
        <f>'DMSPraw (JS)'!W144</f>
        <v>643.81942882531871</v>
      </c>
      <c r="H24" s="31">
        <f>'DMSPraw (JS)'!X144</f>
        <v>41.428787407004926</v>
      </c>
      <c r="I24" s="31">
        <f>'DMSPraw (JS)'!Y144</f>
        <v>31.504410204153452</v>
      </c>
      <c r="J24" s="31">
        <f t="shared" si="0"/>
        <v>716.75262643647716</v>
      </c>
      <c r="K24" s="31">
        <f t="shared" si="1"/>
        <v>5.7800677498705459</v>
      </c>
      <c r="L24" s="87"/>
      <c r="M24" s="31">
        <f>'DMSPraw (JS)'!Z144</f>
        <v>87.269651747812489</v>
      </c>
      <c r="N24" s="81">
        <f>M24/$N$3*100</f>
        <v>59.773734073844174</v>
      </c>
      <c r="O24" s="81">
        <f>(M24)/((J24)+(M24))*100</f>
        <v>10.854133537803468</v>
      </c>
      <c r="Z24" s="79">
        <f>LN(($Y$18-AVERAGE($K$9:$K$11))/($Y$18-K24))/D24*$Y$3</f>
        <v>1.1516025623223647E-2</v>
      </c>
      <c r="AB24" s="8">
        <v>30</v>
      </c>
      <c r="AF24" s="80">
        <f>Picarro!G23</f>
        <v>0.15993076863157485</v>
      </c>
      <c r="AG24" s="80">
        <f>Picarro!H23</f>
        <v>3.4559249089599034E-3</v>
      </c>
      <c r="AH24" s="79">
        <f>AG24/(AF24+AG24)*100</f>
        <v>2.1151813737527654</v>
      </c>
      <c r="AI24" s="71">
        <f>LN(($AE$18-AVERAGE($AH$9:$AH$11))/($AE$18-AH24))/D24</f>
        <v>4.3916898546225496E-3</v>
      </c>
      <c r="AJ24" s="70">
        <f>(AF24+AG24)/AB24*1000</f>
        <v>5.4462231180178255</v>
      </c>
      <c r="AL24" s="45">
        <f>(J24*5)/1000000/(AJ24/12)*100</f>
        <v>0.7896326803783339</v>
      </c>
      <c r="AM24" s="45">
        <f>(M24*5)/1000000/(AJ24/12)*100</f>
        <v>9.6143308700405897E-2</v>
      </c>
      <c r="AN24" s="45">
        <f t="shared" ref="AN24:AN37" si="14">(M24/(J24+M24))*100</f>
        <v>10.854133537803468</v>
      </c>
      <c r="AO24" s="79">
        <f>Z24/AI24</f>
        <v>2.6222310783404374</v>
      </c>
      <c r="AR24" s="110"/>
    </row>
    <row r="25" spans="1:48" x14ac:dyDescent="0.3">
      <c r="A25" s="1" t="s">
        <v>86</v>
      </c>
      <c r="B25" s="1">
        <v>25</v>
      </c>
      <c r="C25" s="1">
        <v>25</v>
      </c>
      <c r="D25" s="1">
        <v>24</v>
      </c>
      <c r="E25" s="1" t="s">
        <v>70</v>
      </c>
      <c r="F25" s="1" t="s">
        <v>79</v>
      </c>
      <c r="G25" s="31">
        <f>'DMSPraw (JS)'!W145</f>
        <v>518.73544649197254</v>
      </c>
      <c r="H25" s="31">
        <f>'DMSPraw (JS)'!X145</f>
        <v>33.176056628680463</v>
      </c>
      <c r="I25" s="31">
        <f>'DMSPraw (JS)'!Y145</f>
        <v>25.127330273975744</v>
      </c>
      <c r="J25" s="31">
        <f t="shared" si="0"/>
        <v>577.0388333946288</v>
      </c>
      <c r="K25" s="31">
        <f t="shared" si="1"/>
        <v>5.7493629039679934</v>
      </c>
      <c r="L25" s="87"/>
      <c r="M25" s="31">
        <f>'DMSPraw (JS)'!Z145</f>
        <v>83.39419371060464</v>
      </c>
      <c r="N25" s="81">
        <f>M25/$N$3*100</f>
        <v>57.119310760688116</v>
      </c>
      <c r="O25" s="81">
        <f>(M25)/((J25)+(M25))*100</f>
        <v>12.627199169025902</v>
      </c>
      <c r="Z25" s="79">
        <f>LN(($Y$19-AVERAGE($K$9:$K$11))/($Y$19-K25))/D25*$Y$3</f>
        <v>1.0654110154573009E-2</v>
      </c>
      <c r="AB25" s="8">
        <v>30</v>
      </c>
      <c r="AF25" s="80">
        <f>Picarro!G24</f>
        <v>0.1478351911355183</v>
      </c>
      <c r="AG25" s="80">
        <f>Picarro!H24</f>
        <v>3.181312924772643E-3</v>
      </c>
      <c r="AH25" s="79">
        <f t="shared" ref="AH25:AH26" si="15">AG25/(AF25+AG25)*100</f>
        <v>2.1065995035235052</v>
      </c>
      <c r="AI25" s="71">
        <f>LN(($AE$19-AVERAGE($AH$9:$AH$11))/($AE$19-AH25))/D25</f>
        <v>4.0596367556950562E-3</v>
      </c>
      <c r="AJ25" s="70">
        <f>(AF25+AG25)/AB25*1000</f>
        <v>5.0338834686763647</v>
      </c>
      <c r="AL25" s="45">
        <f>(J25*5)/1000000/(AJ25/12)*100</f>
        <v>0.68778568711646215</v>
      </c>
      <c r="AM25" s="45">
        <f>(M25*5)/1000000/(AJ25/12)*100</f>
        <v>9.9399432938243298E-2</v>
      </c>
      <c r="AN25" s="45">
        <f t="shared" si="14"/>
        <v>12.627199169025902</v>
      </c>
      <c r="AO25" s="79">
        <f>Z25/AI25</f>
        <v>2.6243998652408749</v>
      </c>
      <c r="AR25" s="110"/>
    </row>
    <row r="26" spans="1:48" x14ac:dyDescent="0.3">
      <c r="A26" s="1" t="s">
        <v>86</v>
      </c>
      <c r="B26" s="1">
        <v>25</v>
      </c>
      <c r="C26" s="1">
        <v>25</v>
      </c>
      <c r="D26" s="1">
        <v>24</v>
      </c>
      <c r="E26" s="1" t="s">
        <v>71</v>
      </c>
      <c r="F26" s="1" t="s">
        <v>79</v>
      </c>
      <c r="G26" s="31">
        <f>'DMSPraw (JS)'!W146</f>
        <v>545.75398301808013</v>
      </c>
      <c r="H26" s="31">
        <f>'DMSPraw (JS)'!X146</f>
        <v>36.511847638816654</v>
      </c>
      <c r="I26" s="31">
        <f>'DMSPraw (JS)'!Y146</f>
        <v>26.510305611084473</v>
      </c>
      <c r="J26" s="31">
        <f t="shared" si="0"/>
        <v>608.77613626798131</v>
      </c>
      <c r="K26" s="31">
        <f t="shared" si="1"/>
        <v>5.9975819457456945</v>
      </c>
      <c r="L26" s="115"/>
      <c r="M26" s="31">
        <f>'DMSPraw (JS)'!Z146</f>
        <v>84.697526152330425</v>
      </c>
      <c r="N26" s="81">
        <f t="shared" ref="N26" si="16">M26/$N$3*100</f>
        <v>58.012004213924953</v>
      </c>
      <c r="O26" s="81">
        <f>(M26)/((J26)+(M26))*100</f>
        <v>12.21351736080722</v>
      </c>
      <c r="Q26" s="114"/>
      <c r="Z26" s="79">
        <f>LN(($Y$20-AVERAGE($K$9:$K$11))/($Y$20-K26))/D26*$Y$3</f>
        <v>1.1928203172737548E-2</v>
      </c>
      <c r="AA26" s="114"/>
      <c r="AB26" s="8">
        <v>30</v>
      </c>
      <c r="AF26" s="80">
        <f>Picarro!G25</f>
        <v>0.15966484002258963</v>
      </c>
      <c r="AG26" s="80">
        <f>Picarro!H25</f>
        <v>3.4897616404743819E-3</v>
      </c>
      <c r="AH26" s="79">
        <f t="shared" si="15"/>
        <v>2.138929337513388</v>
      </c>
      <c r="AI26" s="71">
        <f>LN(($AE$20-AVERAGE($AH$9:$AH$11))/($AE$20-AH26))/D26</f>
        <v>4.3048819433262504E-3</v>
      </c>
      <c r="AJ26" s="70">
        <f t="shared" ref="AJ26" si="17">(AF26+AG26)/AB26*1000</f>
        <v>5.4384867221021338</v>
      </c>
      <c r="AK26" s="8"/>
      <c r="AL26" s="45">
        <f>(J26*5)/1000000/(AJ26/12)*100</f>
        <v>0.67163109965193202</v>
      </c>
      <c r="AM26" s="45">
        <f>(M26*5)/1000000/(AJ26/12)*100</f>
        <v>9.3442382574679544E-2</v>
      </c>
      <c r="AN26" s="45">
        <f t="shared" si="14"/>
        <v>12.21351736080722</v>
      </c>
      <c r="AO26" s="79">
        <f>Z26/AI26</f>
        <v>2.7708548874910588</v>
      </c>
      <c r="AR26" s="110"/>
    </row>
    <row r="27" spans="1:48" x14ac:dyDescent="0.3">
      <c r="A27" s="1" t="s">
        <v>86</v>
      </c>
      <c r="B27" s="1">
        <v>25</v>
      </c>
      <c r="C27" s="1">
        <v>45</v>
      </c>
      <c r="D27" s="1">
        <v>24</v>
      </c>
      <c r="E27" s="1" t="s">
        <v>67</v>
      </c>
      <c r="F27" s="1" t="s">
        <v>73</v>
      </c>
      <c r="G27" s="31">
        <f>'DMSPraw (JS)'!W110</f>
        <v>1.4435873010819062</v>
      </c>
      <c r="H27" s="31">
        <f>'DMSPraw (JS)'!X110</f>
        <v>5.7896684013476599E-2</v>
      </c>
      <c r="I27" s="31">
        <f>'DMSPraw (JS)'!Y110</f>
        <v>5.7077851493815862E-2</v>
      </c>
      <c r="J27" s="31">
        <f t="shared" si="0"/>
        <v>1.5585618365891989</v>
      </c>
      <c r="K27" s="31">
        <f t="shared" si="1"/>
        <v>3.7147505254061244</v>
      </c>
      <c r="L27" s="87"/>
      <c r="M27" s="31">
        <f>'DMSPraw (JS)'!Z110</f>
        <v>2.210116759522077</v>
      </c>
      <c r="O27" s="81"/>
      <c r="Z27" s="80">
        <f>LN(($Y$30-AVERAGE($K$9:$K$11))/($Y$30-K27))/D27*$Y$3</f>
        <v>3.7079685062893844E-3</v>
      </c>
      <c r="AM27" s="45"/>
      <c r="AN27" s="45">
        <f t="shared" si="14"/>
        <v>58.644341860369678</v>
      </c>
      <c r="AR27" s="110"/>
    </row>
    <row r="28" spans="1:48" x14ac:dyDescent="0.3">
      <c r="A28" s="1" t="s">
        <v>86</v>
      </c>
      <c r="B28" s="1">
        <v>25</v>
      </c>
      <c r="C28" s="1">
        <v>45</v>
      </c>
      <c r="D28" s="1">
        <v>24</v>
      </c>
      <c r="E28" s="1" t="s">
        <v>70</v>
      </c>
      <c r="F28" s="1" t="s">
        <v>73</v>
      </c>
      <c r="G28" s="31">
        <f>'DMSPraw (JS)'!W111</f>
        <v>1.1451895670502539</v>
      </c>
      <c r="H28" s="31">
        <f>'DMSPraw (JS)'!X111</f>
        <v>7.9027093407774737E-2</v>
      </c>
      <c r="I28" s="31">
        <f>'DMSPraw (JS)'!Y111</f>
        <v>0.20826915670852042</v>
      </c>
      <c r="J28" s="31">
        <f t="shared" si="0"/>
        <v>1.4324858171665491</v>
      </c>
      <c r="K28" s="31">
        <f t="shared" si="1"/>
        <v>5.5167801635963141</v>
      </c>
      <c r="L28" s="87"/>
      <c r="M28" s="31">
        <f>'DMSPraw (JS)'!Z111</f>
        <v>1.5527970090194334</v>
      </c>
      <c r="O28" s="81"/>
      <c r="Z28" s="79">
        <f>LN(($Y$31-AVERAGE($K$9:$K$11))/($Y$31-K28))/D28*$Y$3</f>
        <v>1.2055911217959568E-2</v>
      </c>
      <c r="AM28" s="45"/>
      <c r="AN28" s="45">
        <f t="shared" si="14"/>
        <v>52.015071918773515</v>
      </c>
      <c r="AR28" s="110"/>
    </row>
    <row r="29" spans="1:48" x14ac:dyDescent="0.3">
      <c r="A29" s="1" t="s">
        <v>86</v>
      </c>
      <c r="B29" s="1">
        <v>25</v>
      </c>
      <c r="C29" s="1">
        <v>45</v>
      </c>
      <c r="D29" s="1">
        <v>24</v>
      </c>
      <c r="E29" s="1" t="s">
        <v>71</v>
      </c>
      <c r="F29" s="1" t="s">
        <v>73</v>
      </c>
      <c r="G29" s="31">
        <f>'DMSPraw (JS)'!W112</f>
        <v>1.4551754162532664</v>
      </c>
      <c r="H29" s="31">
        <f>'DMSPraw (JS)'!X112</f>
        <v>9.6998291881868287E-2</v>
      </c>
      <c r="I29" s="31">
        <f>'DMSPraw (JS)'!Y112</f>
        <v>9.4809654399133567E-2</v>
      </c>
      <c r="J29" s="31">
        <f t="shared" si="0"/>
        <v>1.6469833625342682</v>
      </c>
      <c r="K29" s="31">
        <f t="shared" si="1"/>
        <v>5.8894518359076669</v>
      </c>
      <c r="L29" s="87"/>
      <c r="M29" s="31">
        <f>'DMSPraw (JS)'!Z112</f>
        <v>1.3039909086954484</v>
      </c>
      <c r="N29" s="81"/>
      <c r="O29" s="81"/>
      <c r="P29" s="81"/>
      <c r="Z29" s="79">
        <f>LN(($Y$32-AVERAGE($K$9:$K$11))/($Y$32-K29))/D29*$Y$3</f>
        <v>1.3999641745813172E-2</v>
      </c>
      <c r="AM29" s="45"/>
      <c r="AN29" s="45">
        <f t="shared" si="14"/>
        <v>44.188487897322645</v>
      </c>
      <c r="AR29" s="110"/>
    </row>
    <row r="30" spans="1:48" x14ac:dyDescent="0.3">
      <c r="A30" s="1" t="s">
        <v>86</v>
      </c>
      <c r="B30" s="1">
        <v>25</v>
      </c>
      <c r="C30" s="1">
        <v>45</v>
      </c>
      <c r="D30" s="1">
        <v>24</v>
      </c>
      <c r="E30" s="1" t="s">
        <v>67</v>
      </c>
      <c r="F30" s="1" t="s">
        <v>75</v>
      </c>
      <c r="G30" s="31">
        <f>'DMSPraw (JS)'!W140</f>
        <v>168.22550090571139</v>
      </c>
      <c r="H30" s="31">
        <f>'DMSPraw (JS)'!X140</f>
        <v>13.799813177042486</v>
      </c>
      <c r="I30" s="31">
        <f>'DMSPraw (JS)'!Y140</f>
        <v>7.7113644763806191</v>
      </c>
      <c r="J30" s="31">
        <f t="shared" si="0"/>
        <v>189.7366785591345</v>
      </c>
      <c r="K30" s="31">
        <f t="shared" si="1"/>
        <v>7.2731394276734695</v>
      </c>
      <c r="L30" s="87"/>
      <c r="M30" s="31">
        <f>'DMSPraw (JS)'!Z140</f>
        <v>22.361678939963642</v>
      </c>
      <c r="N30" s="81">
        <f>(M30-M27-M33)/$N$3*100</f>
        <v>13.540707472673674</v>
      </c>
      <c r="O30" s="81"/>
      <c r="P30" s="81">
        <f>($N$3-M27-M30-M33)/$N$3*100</f>
        <v>82.908270568613901</v>
      </c>
      <c r="R30" s="31">
        <f>dic!H21</f>
        <v>11745.994650000001</v>
      </c>
      <c r="S30" s="31">
        <f>dic!I21</f>
        <v>1430.6373901349998</v>
      </c>
      <c r="T30" s="31">
        <f>S30/(S30+R30)*100</f>
        <v>10.857382871263226</v>
      </c>
      <c r="U30" s="8">
        <f>T30-$U$3</f>
        <v>9.7573828712632267</v>
      </c>
      <c r="V30" s="8">
        <f>1-U30/100</f>
        <v>0.9024261712873678</v>
      </c>
      <c r="W30" s="8">
        <f>U30/100</f>
        <v>9.757382871263226E-2</v>
      </c>
      <c r="X30" s="8">
        <f>2*V30*W30*100</f>
        <v>17.610635332598033</v>
      </c>
      <c r="Y30" s="8">
        <f>X30/$X$3+AVERAGE($K$9:$K$11)</f>
        <v>15.621010333905575</v>
      </c>
      <c r="Z30" s="79">
        <f>LN(($Y$30-AVERAGE($K$9:$K$11))/($Y$30-K30))/D30*$Y$3</f>
        <v>1.9389686728886597E-2</v>
      </c>
      <c r="AC30" s="31">
        <f>R30</f>
        <v>11745.994650000001</v>
      </c>
      <c r="AD30" s="31">
        <f>S30</f>
        <v>1430.6373901349998</v>
      </c>
      <c r="AE30" s="31">
        <f>AD30/(AD30+AC30)*100</f>
        <v>10.857382871263226</v>
      </c>
      <c r="AM30" s="45"/>
      <c r="AN30" s="45">
        <f t="shared" si="14"/>
        <v>10.543070301739006</v>
      </c>
      <c r="AP30" s="8">
        <v>0.61699999999999999</v>
      </c>
      <c r="AQ30" s="110">
        <f>'Cell Count'!I20</f>
        <v>84733.333333333328</v>
      </c>
      <c r="AR30" s="110">
        <f t="shared" si="13"/>
        <v>8473333.3333333321</v>
      </c>
      <c r="AS30" s="110"/>
      <c r="AT30" s="110">
        <f>'Cell Count'!J20</f>
        <v>10.403333333333334</v>
      </c>
      <c r="AU30" s="8">
        <v>42.9</v>
      </c>
      <c r="AV30" s="8">
        <v>2.1000000000000014</v>
      </c>
    </row>
    <row r="31" spans="1:48" x14ac:dyDescent="0.3">
      <c r="A31" s="1" t="s">
        <v>86</v>
      </c>
      <c r="B31" s="1">
        <v>25</v>
      </c>
      <c r="C31" s="1">
        <v>45</v>
      </c>
      <c r="D31" s="1">
        <v>24</v>
      </c>
      <c r="E31" s="1" t="s">
        <v>70</v>
      </c>
      <c r="F31" s="1" t="s">
        <v>75</v>
      </c>
      <c r="G31" s="26">
        <f>'DMSPraw (JS)'!W141</f>
        <v>129.49400704894657</v>
      </c>
      <c r="H31" s="26">
        <f>'DMSPraw (JS)'!X141</f>
        <v>9.8420256930483934</v>
      </c>
      <c r="I31" s="26">
        <f>'DMSPraw (JS)'!Y141</f>
        <v>5.6926681746810335</v>
      </c>
      <c r="J31" s="26">
        <f t="shared" si="0"/>
        <v>145.028700916676</v>
      </c>
      <c r="K31" s="31">
        <f t="shared" si="1"/>
        <v>6.7862606717431593</v>
      </c>
      <c r="L31" s="87"/>
      <c r="M31" s="31">
        <f>'DMSPraw (JS)'!Z141</f>
        <v>17.264616857892509</v>
      </c>
      <c r="N31" s="81">
        <f>(M31-M28-M34)/$N$3*100</f>
        <v>8.1678464731217684</v>
      </c>
      <c r="O31" s="81"/>
      <c r="P31" s="81">
        <f>($N$3-M28-M31-M34)/$N$3*100</f>
        <v>84.517686393816973</v>
      </c>
      <c r="R31" s="31">
        <f>dic!H22</f>
        <v>12685.0054</v>
      </c>
      <c r="S31" s="31">
        <f>dic!I22</f>
        <v>1407.5532836899999</v>
      </c>
      <c r="T31" s="31">
        <f t="shared" ref="T31:T32" si="18">S31/(S31+R31)*100</f>
        <v>9.9879185553367922</v>
      </c>
      <c r="U31" s="8">
        <f t="shared" ref="U31:U32" si="19">T31-$U$3</f>
        <v>8.8879185553367925</v>
      </c>
      <c r="V31" s="8">
        <f t="shared" ref="V31:V32" si="20">1-U31/100</f>
        <v>0.91112081444663207</v>
      </c>
      <c r="W31" s="8">
        <f t="shared" ref="W31:W32" si="21">U31/100</f>
        <v>8.887918555336792E-2</v>
      </c>
      <c r="X31" s="8">
        <f t="shared" ref="X31:X32" si="22">2*V31*W31*100</f>
        <v>16.195935185747583</v>
      </c>
      <c r="Y31" s="8">
        <f>X31/$X$3+AVERAGE($K$9:$K$11)</f>
        <v>14.580789637692011</v>
      </c>
      <c r="Z31" s="79">
        <f>LN(($Y$31-AVERAGE($K$9:$K$11))/($Y$31-K31))/D31*$Y$3</f>
        <v>1.872019729139579E-2</v>
      </c>
      <c r="AC31" s="31">
        <f t="shared" ref="AC31:AC32" si="23">R31</f>
        <v>12685.0054</v>
      </c>
      <c r="AD31" s="31">
        <f t="shared" ref="AD31:AD32" si="24">S31</f>
        <v>1407.5532836899999</v>
      </c>
      <c r="AE31" s="31">
        <f t="shared" ref="AE31:AE32" si="25">AD31/(AD31+AC31)*100</f>
        <v>9.9879185553367922</v>
      </c>
      <c r="AM31" s="45"/>
      <c r="AN31" s="45">
        <f t="shared" si="14"/>
        <v>10.637909862606731</v>
      </c>
      <c r="AP31" s="8">
        <v>0.625</v>
      </c>
      <c r="AQ31" s="110">
        <f>'Cell Count'!I26</f>
        <v>51816.666666666664</v>
      </c>
      <c r="AR31" s="110">
        <f t="shared" si="13"/>
        <v>5181666.666666666</v>
      </c>
      <c r="AS31" s="110"/>
      <c r="AT31" s="110">
        <f>'Cell Count'!J26</f>
        <v>10.578333333333333</v>
      </c>
      <c r="AU31" s="8">
        <v>42.7</v>
      </c>
      <c r="AV31" s="8">
        <v>2.2999999999999972</v>
      </c>
    </row>
    <row r="32" spans="1:48" x14ac:dyDescent="0.3">
      <c r="A32" s="1" t="s">
        <v>86</v>
      </c>
      <c r="B32" s="1">
        <v>25</v>
      </c>
      <c r="C32" s="1">
        <v>45</v>
      </c>
      <c r="D32" s="1">
        <v>24</v>
      </c>
      <c r="E32" s="1" t="s">
        <v>71</v>
      </c>
      <c r="F32" s="1" t="s">
        <v>75</v>
      </c>
      <c r="G32" s="31">
        <f>'DMSPraw (JS)'!W142</f>
        <v>260.83956636666392</v>
      </c>
      <c r="H32" s="31">
        <f>'DMSPraw (JS)'!X142</f>
        <v>26.991950559672613</v>
      </c>
      <c r="I32" s="31">
        <f>'DMSPraw (JS)'!Y142</f>
        <v>12.027650694296057</v>
      </c>
      <c r="J32" s="31">
        <f t="shared" si="0"/>
        <v>299.85916762063255</v>
      </c>
      <c r="K32" s="31">
        <f t="shared" si="1"/>
        <v>9.0015425487412593</v>
      </c>
      <c r="L32" s="87"/>
      <c r="M32" s="31">
        <f>'DMSPraw (JS)'!Z142</f>
        <v>79.226959252794217</v>
      </c>
      <c r="N32" s="81">
        <f>(M32-M29-M35)/$N$3*100</f>
        <v>48.894036857042764</v>
      </c>
      <c r="O32" s="81"/>
      <c r="P32" s="81">
        <f>($N$3-M29-M32-M35)/$N$3*100</f>
        <v>40.36395568883151</v>
      </c>
      <c r="R32" s="31">
        <f>dic!H23</f>
        <v>12869.210449999999</v>
      </c>
      <c r="S32" s="31">
        <f>dic!I23</f>
        <v>1419.5045166049999</v>
      </c>
      <c r="T32" s="31">
        <f t="shared" si="18"/>
        <v>9.9344449093050553</v>
      </c>
      <c r="U32" s="8">
        <f t="shared" si="19"/>
        <v>8.8344449093050557</v>
      </c>
      <c r="V32" s="8">
        <f t="shared" si="20"/>
        <v>0.9116555509069495</v>
      </c>
      <c r="W32" s="8">
        <f t="shared" si="21"/>
        <v>8.8344449093050559E-2</v>
      </c>
      <c r="X32" s="8">
        <f t="shared" si="22"/>
        <v>16.107941481499193</v>
      </c>
      <c r="Y32" s="8">
        <f>X32/$X$3+AVERAGE($K$9:$K$11)</f>
        <v>14.516088384568194</v>
      </c>
      <c r="Z32" s="79">
        <f>LN(($Y$32-AVERAGE($K$9:$K$11))/($Y$32-K32))/D32*$Y$3</f>
        <v>3.3762696518834741E-2</v>
      </c>
      <c r="AC32" s="31">
        <f t="shared" si="23"/>
        <v>12869.210449999999</v>
      </c>
      <c r="AD32" s="31">
        <f t="shared" si="24"/>
        <v>1419.5045166049999</v>
      </c>
      <c r="AE32" s="31">
        <f t="shared" si="25"/>
        <v>9.9344449093050553</v>
      </c>
      <c r="AM32" s="45"/>
      <c r="AN32" s="45">
        <f t="shared" si="14"/>
        <v>20.89946153034699</v>
      </c>
      <c r="AP32" s="8">
        <v>0.628</v>
      </c>
      <c r="AQ32" s="110">
        <f>'Cell Count'!I30</f>
        <v>56700.484872292574</v>
      </c>
      <c r="AR32" s="110">
        <f t="shared" si="13"/>
        <v>5670048.4872292578</v>
      </c>
      <c r="AS32" s="110"/>
      <c r="AT32" s="110">
        <f>'Cell Count'!J30</f>
        <v>9.3683333333333341</v>
      </c>
      <c r="AU32" s="8">
        <v>42.2</v>
      </c>
      <c r="AV32" s="8">
        <v>2.7999999999999972</v>
      </c>
    </row>
    <row r="33" spans="1:46" x14ac:dyDescent="0.3">
      <c r="A33" s="1" t="s">
        <v>86</v>
      </c>
      <c r="B33" s="1">
        <v>25</v>
      </c>
      <c r="C33" s="1">
        <v>45</v>
      </c>
      <c r="D33" s="1">
        <v>24</v>
      </c>
      <c r="E33" s="1" t="s">
        <v>67</v>
      </c>
      <c r="F33" s="1" t="s">
        <v>68</v>
      </c>
      <c r="G33" s="31">
        <f>'DMSPraw (JS)'!W134</f>
        <v>3.6057551135406758</v>
      </c>
      <c r="H33" s="31">
        <f>'DMSPraw (JS)'!X134</f>
        <v>0.27254702617603765</v>
      </c>
      <c r="I33" s="31">
        <f>'DMSPraw (JS)'!Y134</f>
        <v>0.26280306634094358</v>
      </c>
      <c r="J33" s="31">
        <f t="shared" si="0"/>
        <v>4.1411052060576568</v>
      </c>
      <c r="K33" s="31">
        <f t="shared" si="1"/>
        <v>6.5815045166530108</v>
      </c>
      <c r="L33" s="87"/>
      <c r="M33" s="31">
        <f>'DMSPraw (JS)'!Z134</f>
        <v>0.38212927033800154</v>
      </c>
      <c r="N33" s="81"/>
      <c r="O33" s="81"/>
      <c r="P33" s="81"/>
      <c r="Z33" s="79">
        <f>LN(($Y$30-AVERAGE($K$9:$K$11))/($Y$30-K33))/D33*$Y$3</f>
        <v>1.5874109207479312E-2</v>
      </c>
      <c r="AM33" s="45"/>
      <c r="AN33" s="45">
        <f t="shared" si="14"/>
        <v>8.4481419730091343</v>
      </c>
    </row>
    <row r="34" spans="1:46" x14ac:dyDescent="0.3">
      <c r="A34" s="1" t="s">
        <v>86</v>
      </c>
      <c r="B34" s="1">
        <v>25</v>
      </c>
      <c r="C34" s="1">
        <v>45</v>
      </c>
      <c r="D34" s="1">
        <v>24</v>
      </c>
      <c r="E34" s="1" t="s">
        <v>70</v>
      </c>
      <c r="F34" s="1" t="s">
        <v>68</v>
      </c>
      <c r="G34" s="31">
        <f>'DMSPraw (JS)'!W135</f>
        <v>21.684238269882332</v>
      </c>
      <c r="H34" s="31">
        <f>'DMSPraw (JS)'!X135</f>
        <v>2.0227195825689366</v>
      </c>
      <c r="I34" s="31">
        <f>'DMSPraw (JS)'!Y135</f>
        <v>1.066024773041486</v>
      </c>
      <c r="J34" s="31">
        <f t="shared" si="0"/>
        <v>24.772982625492755</v>
      </c>
      <c r="K34" s="31">
        <f t="shared" si="1"/>
        <v>8.1650224082725007</v>
      </c>
      <c r="L34" s="87"/>
      <c r="M34" s="31">
        <f>'DMSPraw (JS)'!Z135</f>
        <v>3.7867639981152932</v>
      </c>
      <c r="O34" s="81"/>
      <c r="Z34" s="79">
        <f>LN(($Y$31-AVERAGE($K$9:$K$11))/($Y$31-K34))/D34*$Y$3</f>
        <v>2.7317834446855802E-2</v>
      </c>
      <c r="AM34" s="45"/>
      <c r="AN34" s="45">
        <f t="shared" si="14"/>
        <v>13.259095215449424</v>
      </c>
    </row>
    <row r="35" spans="1:46" x14ac:dyDescent="0.3">
      <c r="A35" s="1" t="s">
        <v>86</v>
      </c>
      <c r="B35" s="1">
        <v>25</v>
      </c>
      <c r="C35" s="1">
        <v>45</v>
      </c>
      <c r="D35" s="1">
        <v>24</v>
      </c>
      <c r="E35" s="108" t="s">
        <v>71</v>
      </c>
      <c r="F35" s="1" t="s">
        <v>68</v>
      </c>
      <c r="G35" s="31">
        <f>'DMSPraw (JS)'!W136</f>
        <v>44.047927090429333</v>
      </c>
      <c r="H35" s="31">
        <f>'DMSPraw (JS)'!X136</f>
        <v>4.6466286000554131</v>
      </c>
      <c r="I35" s="31">
        <f>'DMSPraw (JS)'!Y136</f>
        <v>2.2746343602859866</v>
      </c>
      <c r="J35" s="31">
        <f t="shared" si="0"/>
        <v>50.969190050770735</v>
      </c>
      <c r="K35" s="31">
        <f t="shared" si="1"/>
        <v>9.1165439266876263</v>
      </c>
      <c r="L35" s="87"/>
      <c r="M35" s="31">
        <f>'DMSPraw (JS)'!Z136</f>
        <v>6.5376745328163262</v>
      </c>
      <c r="O35" s="81"/>
      <c r="Z35" s="79">
        <f>LN(($Y$32-AVERAGE($K$9:$K$11))/($Y$32-K35))/D35*$Y$3</f>
        <v>3.4693496132905378E-2</v>
      </c>
      <c r="AM35" s="45"/>
      <c r="AN35" s="45">
        <f t="shared" si="14"/>
        <v>11.368511533633905</v>
      </c>
    </row>
    <row r="36" spans="1:46" x14ac:dyDescent="0.3">
      <c r="A36" s="1" t="s">
        <v>86</v>
      </c>
      <c r="B36" s="1">
        <v>25</v>
      </c>
      <c r="C36" s="1">
        <v>45</v>
      </c>
      <c r="D36" s="1">
        <v>24</v>
      </c>
      <c r="E36" s="1" t="s">
        <v>67</v>
      </c>
      <c r="F36" s="1" t="s">
        <v>79</v>
      </c>
      <c r="G36" s="31">
        <f>'DMSPraw (JS)'!W147</f>
        <v>359.17365926063866</v>
      </c>
      <c r="H36" s="31">
        <f>'DMSPraw (JS)'!X147</f>
        <v>34.291630509440331</v>
      </c>
      <c r="I36" s="31">
        <f>'DMSPraw (JS)'!Y147</f>
        <v>17.698061892495822</v>
      </c>
      <c r="J36" s="31">
        <f t="shared" si="0"/>
        <v>411.16335166257483</v>
      </c>
      <c r="K36" s="31">
        <f t="shared" si="1"/>
        <v>8.3401476252149269</v>
      </c>
      <c r="L36" s="87"/>
      <c r="M36" s="31">
        <f>'DMSPraw (JS)'!Z147</f>
        <v>93.10935499694817</v>
      </c>
      <c r="N36" s="81">
        <f>M36/$N$3*100</f>
        <v>63.773530819827521</v>
      </c>
      <c r="O36" s="81">
        <f>(M36)/((J36)+(M36))*100</f>
        <v>18.464087738108368</v>
      </c>
      <c r="Z36" s="79">
        <f>LN(($Y$30-AVERAGE($K$9:$K$11))/($Y$30-K36))/D36*$Y$3</f>
        <v>2.5429794890854975E-2</v>
      </c>
      <c r="AB36" s="8">
        <v>30</v>
      </c>
      <c r="AF36" s="46">
        <f>Picarro!G26</f>
        <v>0.14810473797978616</v>
      </c>
      <c r="AG36" s="46">
        <f>Picarro!H26</f>
        <v>2.5679129909836223E-3</v>
      </c>
      <c r="AH36" s="79">
        <f>AG36/(AF36+AG36)*100</f>
        <v>1.7042993366339538</v>
      </c>
      <c r="AI36" s="71">
        <f>LN(($AE$30-AVERAGE($AH$9:$AH$11))/($AE$30-AH36))/D36</f>
        <v>2.7175212850319443E-3</v>
      </c>
      <c r="AJ36" s="70">
        <f>(AF36+AG36)/AB36*1000</f>
        <v>5.0224216990256592</v>
      </c>
      <c r="AL36" s="45">
        <f>(J36*5)/1000000/(AJ36/12)*100</f>
        <v>0.49119334412999177</v>
      </c>
      <c r="AM36" s="45">
        <f>(M36*5)/1000000/(AJ36/12)*100</f>
        <v>0.11123242201865832</v>
      </c>
      <c r="AN36" s="45">
        <f t="shared" si="14"/>
        <v>18.464087738108368</v>
      </c>
      <c r="AO36" s="79">
        <f>Z36/AI36</f>
        <v>9.3577169131744444</v>
      </c>
    </row>
    <row r="37" spans="1:46" x14ac:dyDescent="0.3">
      <c r="A37" s="1" t="s">
        <v>86</v>
      </c>
      <c r="B37" s="1">
        <v>25</v>
      </c>
      <c r="C37" s="1">
        <v>45</v>
      </c>
      <c r="D37" s="1">
        <v>24</v>
      </c>
      <c r="E37" s="1" t="s">
        <v>70</v>
      </c>
      <c r="F37" s="1" t="s">
        <v>79</v>
      </c>
      <c r="G37" s="31">
        <f>'DMSPraw (JS)'!W148</f>
        <v>305.814550755293</v>
      </c>
      <c r="H37" s="31">
        <f>'DMSPraw (JS)'!X148</f>
        <v>31.189743210480156</v>
      </c>
      <c r="I37" s="31">
        <f>'DMSPraw (JS)'!Y148</f>
        <v>15.184018037560154</v>
      </c>
      <c r="J37" s="31">
        <f t="shared" si="0"/>
        <v>352.18831200333335</v>
      </c>
      <c r="K37" s="31">
        <f t="shared" si="1"/>
        <v>8.8559847523233408</v>
      </c>
      <c r="L37" s="87"/>
      <c r="M37" s="31">
        <f>'DMSPraw (JS)'!Z148</f>
        <v>79.939351659191232</v>
      </c>
      <c r="N37" s="81">
        <f>M37/$N$3*100</f>
        <v>54.752980588487141</v>
      </c>
      <c r="O37" s="81">
        <f>(M37)/((J37)+(M37))*100</f>
        <v>18.499012764343838</v>
      </c>
      <c r="Z37" s="79">
        <f>LN(($Y$31-AVERAGE($K$9:$K$11))/($Y$31-K37))/D37*$Y$3</f>
        <v>3.2350631523980246E-2</v>
      </c>
      <c r="AB37" s="8">
        <v>30</v>
      </c>
      <c r="AF37" s="46">
        <f>Picarro!G27</f>
        <v>0.18226410585967168</v>
      </c>
      <c r="AG37" s="46">
        <f>Picarro!H27</f>
        <v>2.8565500185001266E-3</v>
      </c>
      <c r="AH37" s="79">
        <f t="shared" ref="AH37:AH38" si="26">AG37/(AF37+AG37)*100</f>
        <v>1.5430747071142761</v>
      </c>
      <c r="AI37" s="71">
        <f>LN(($AE$31-AVERAGE($AH$9:$AH$11))/($AE$31-AH37))/D37</f>
        <v>2.1895736900650956E-3</v>
      </c>
      <c r="AJ37" s="70">
        <f>(AF37+AG37)/AB37*1000</f>
        <v>6.1706885292723941</v>
      </c>
      <c r="AL37" s="45">
        <f>(J37*5)/1000000/(AJ37/12)*100</f>
        <v>0.34244636753188479</v>
      </c>
      <c r="AM37" s="45">
        <f>(M37*5)/1000000/(AJ37/12)*100</f>
        <v>7.7728134823182013E-2</v>
      </c>
      <c r="AN37" s="45">
        <f t="shared" si="14"/>
        <v>18.499012764343838</v>
      </c>
      <c r="AO37" s="79">
        <f>Z37/AI37</f>
        <v>14.774853968499443</v>
      </c>
    </row>
    <row r="38" spans="1:46" x14ac:dyDescent="0.3">
      <c r="A38" s="1" t="s">
        <v>86</v>
      </c>
      <c r="B38" s="1">
        <v>25</v>
      </c>
      <c r="C38" s="1">
        <v>45</v>
      </c>
      <c r="D38" s="1">
        <v>24</v>
      </c>
      <c r="E38" s="108" t="s">
        <v>71</v>
      </c>
      <c r="F38" s="1" t="s">
        <v>79</v>
      </c>
      <c r="G38" s="47">
        <f>'DMSPraw (JS)'!W149</f>
        <v>75.82836207484155</v>
      </c>
      <c r="H38" s="47">
        <f>'DMSPraw (JS)'!X149</f>
        <v>7.7812873699194913</v>
      </c>
      <c r="I38" s="47">
        <f>'DMSPraw (JS)'!Y149</f>
        <v>4.1741843725058372</v>
      </c>
      <c r="J38" s="47">
        <f t="shared" si="0"/>
        <v>87.783833817266881</v>
      </c>
      <c r="K38" s="31">
        <f t="shared" si="1"/>
        <v>8.8641462004464522</v>
      </c>
      <c r="M38" s="47"/>
      <c r="N38" s="90"/>
      <c r="O38" s="81"/>
      <c r="Z38" s="79">
        <f>LN(($Y$32-AVERAGE($K$9:$K$11))/($Y$32-K38))/D38*$Y$3</f>
        <v>3.2675757639569564E-2</v>
      </c>
      <c r="AB38" s="8">
        <v>30</v>
      </c>
      <c r="AF38" s="46">
        <f>Picarro!G28</f>
        <v>0.16278531966271348</v>
      </c>
      <c r="AG38" s="46">
        <f>Picarro!H28</f>
        <v>3.0498276567155458E-3</v>
      </c>
      <c r="AH38" s="79">
        <f t="shared" si="26"/>
        <v>1.8390719374108411</v>
      </c>
      <c r="AI38" s="71">
        <f>LN(($AE$32-AVERAGE($AH$9:$AH$11))/($AE$32-AH38))/D38</f>
        <v>3.6994625156405985E-3</v>
      </c>
      <c r="AJ38" s="70">
        <f>(AF38+AG38)/AB38*1000</f>
        <v>5.5278382439809679</v>
      </c>
      <c r="AL38" s="89"/>
      <c r="AM38" s="89"/>
      <c r="AN38" s="45"/>
      <c r="AO38" s="45">
        <f>Z38/AI38</f>
        <v>8.8325689208696936</v>
      </c>
    </row>
    <row r="39" spans="1:46" x14ac:dyDescent="0.3">
      <c r="O39" s="81"/>
      <c r="AN39" s="45"/>
    </row>
    <row r="40" spans="1:46" x14ac:dyDescent="0.3">
      <c r="O40" s="81"/>
      <c r="S40" s="105"/>
      <c r="AN40" s="45"/>
    </row>
    <row r="41" spans="1:46" x14ac:dyDescent="0.3">
      <c r="A41" s="1" t="s">
        <v>86</v>
      </c>
      <c r="B41" s="1">
        <v>45</v>
      </c>
      <c r="C41" s="1"/>
      <c r="D41" s="1">
        <v>0</v>
      </c>
      <c r="E41" s="1" t="s">
        <v>67</v>
      </c>
      <c r="F41" s="1" t="s">
        <v>75</v>
      </c>
      <c r="G41" s="31">
        <f>'DMSPraw (JS)'!W158</f>
        <v>274.15985978831964</v>
      </c>
      <c r="H41" s="31">
        <f>'DMSPraw (JS)'!X158</f>
        <v>8.1674509312118673</v>
      </c>
      <c r="I41" s="31">
        <f>'DMSPraw (JS)'!Y158</f>
        <v>12.745084592305158</v>
      </c>
      <c r="J41" s="31">
        <f t="shared" ref="J41:J69" si="27">SUM(G41:I41)</f>
        <v>295.07239531183666</v>
      </c>
      <c r="K41" s="31">
        <f t="shared" ref="K41:K69" si="28">H41/(G41+H41+I41)*100</f>
        <v>2.7679481581394256</v>
      </c>
      <c r="L41" s="87"/>
      <c r="M41" s="31">
        <f>'DMSPraw (JS)'!Z158</f>
        <v>9.5885582197383634E-3</v>
      </c>
      <c r="O41" s="81"/>
      <c r="R41" s="31"/>
      <c r="S41" s="31"/>
      <c r="T41" s="79"/>
      <c r="U41" s="31"/>
      <c r="V41" s="80"/>
      <c r="W41" s="80"/>
      <c r="X41" s="31"/>
      <c r="Y41" s="31"/>
      <c r="Z41" s="79"/>
      <c r="AB41" s="8">
        <v>30</v>
      </c>
      <c r="AE41" s="79"/>
      <c r="AF41" s="80">
        <f>Picarro!G29</f>
        <v>0.15525767073669453</v>
      </c>
      <c r="AG41" s="80">
        <f>Picarro!H29</f>
        <v>1.720020058031976E-3</v>
      </c>
      <c r="AH41" s="79">
        <f>AG41/(AF41+AG41)*100</f>
        <v>1.0957098740108095</v>
      </c>
      <c r="AJ41" s="70">
        <f>(AF41+AG41)/AB41*1000</f>
        <v>5.2325896931575508</v>
      </c>
      <c r="AL41" s="45">
        <f>(J41*5)/1000000/(AJ41/12)*100</f>
        <v>0.33834763963743353</v>
      </c>
      <c r="AM41" s="45"/>
      <c r="AN41" s="45"/>
      <c r="AP41" s="8">
        <v>0.61799999999999999</v>
      </c>
      <c r="AQ41" s="110">
        <f>'Cell Count'!I21</f>
        <v>26883.333333333332</v>
      </c>
      <c r="AR41" s="110"/>
      <c r="AS41" s="110"/>
      <c r="AT41" s="110">
        <f>'Cell Count'!J21</f>
        <v>10.283333333333333</v>
      </c>
    </row>
    <row r="42" spans="1:46" x14ac:dyDescent="0.3">
      <c r="A42" s="1" t="s">
        <v>86</v>
      </c>
      <c r="B42" s="1">
        <v>45</v>
      </c>
      <c r="C42" s="1"/>
      <c r="D42" s="1">
        <v>0</v>
      </c>
      <c r="E42" s="1" t="s">
        <v>70</v>
      </c>
      <c r="F42" s="1" t="s">
        <v>75</v>
      </c>
      <c r="G42" s="31">
        <f>'DMSPraw (JS)'!W159</f>
        <v>334.69097820262368</v>
      </c>
      <c r="H42" s="31">
        <f>'DMSPraw (JS)'!X159</f>
        <v>9.8344795855879816</v>
      </c>
      <c r="I42" s="31">
        <f>'DMSPraw (JS)'!Y159</f>
        <v>15.572746166422565</v>
      </c>
      <c r="J42" s="31">
        <f t="shared" si="27"/>
        <v>360.09820395463424</v>
      </c>
      <c r="K42" s="31">
        <f t="shared" si="28"/>
        <v>2.73105488380246</v>
      </c>
      <c r="L42" s="87"/>
      <c r="M42" s="31">
        <f>'DMSPraw (JS)'!Z159</f>
        <v>2.4923508734516875E-2</v>
      </c>
      <c r="O42" s="81"/>
      <c r="R42" s="31"/>
      <c r="S42" s="31"/>
      <c r="T42" s="79"/>
      <c r="U42" s="31"/>
      <c r="V42" s="80"/>
      <c r="W42" s="80"/>
      <c r="X42" s="31"/>
      <c r="Y42" s="31"/>
      <c r="AB42" s="8">
        <v>30</v>
      </c>
      <c r="AE42" s="79"/>
      <c r="AF42" s="80">
        <f>Picarro!G30</f>
        <v>0.19271892660318204</v>
      </c>
      <c r="AG42" s="80">
        <f>Picarro!H30</f>
        <v>2.1201924013164301E-3</v>
      </c>
      <c r="AH42" s="79">
        <f t="shared" ref="AH42" si="29">AG42/(AF42+AG42)*100</f>
        <v>1.0881759331233061</v>
      </c>
      <c r="AJ42" s="70">
        <f t="shared" ref="AJ42" si="30">(AF42+AG42)/AB42*1000</f>
        <v>6.4946373001499484</v>
      </c>
      <c r="AL42" s="45">
        <f>(J42*5)/1000000/(AJ42/12)*100</f>
        <v>0.33267280740649241</v>
      </c>
      <c r="AM42" s="45"/>
      <c r="AN42" s="45"/>
      <c r="AP42" s="8">
        <v>0.61</v>
      </c>
      <c r="AQ42" s="110">
        <f>'Cell Count'!I23</f>
        <v>62966.666666666664</v>
      </c>
      <c r="AR42" s="110"/>
      <c r="AS42" s="110"/>
      <c r="AT42" s="110">
        <f>'Cell Count'!J23</f>
        <v>10.421666666666667</v>
      </c>
    </row>
    <row r="43" spans="1:46" x14ac:dyDescent="0.3">
      <c r="A43" s="1" t="s">
        <v>86</v>
      </c>
      <c r="B43" s="1">
        <v>45</v>
      </c>
      <c r="C43" s="1"/>
      <c r="D43" s="1">
        <v>0</v>
      </c>
      <c r="E43" s="1" t="s">
        <v>71</v>
      </c>
      <c r="F43" s="1" t="s">
        <v>75</v>
      </c>
      <c r="G43" s="31">
        <f>'DMSPraw (JS)'!W160</f>
        <v>331.21894147339276</v>
      </c>
      <c r="H43" s="31">
        <f>'DMSPraw (JS)'!X160</f>
        <v>9.8931760279356595</v>
      </c>
      <c r="I43" s="31">
        <f>'DMSPraw (JS)'!Y160</f>
        <v>15.353176943161667</v>
      </c>
      <c r="J43" s="31">
        <f t="shared" si="27"/>
        <v>356.4652944444901</v>
      </c>
      <c r="K43" s="31">
        <f t="shared" si="28"/>
        <v>2.7753546227699473</v>
      </c>
      <c r="L43" s="87"/>
      <c r="M43" s="31">
        <f>'DMSPraw (JS)'!Z160</f>
        <v>3.802659868410263E-2</v>
      </c>
      <c r="O43" s="81"/>
      <c r="R43" s="31"/>
      <c r="S43" s="31"/>
      <c r="T43" s="79"/>
      <c r="U43" s="31"/>
      <c r="V43" s="80"/>
      <c r="W43" s="80"/>
      <c r="X43" s="31"/>
      <c r="Y43" s="31"/>
      <c r="AB43" s="8">
        <v>30</v>
      </c>
      <c r="AE43" s="79"/>
      <c r="AH43" s="79"/>
      <c r="AJ43" s="70"/>
      <c r="AN43" s="45"/>
      <c r="AP43" s="8">
        <v>0.61899999999999999</v>
      </c>
      <c r="AQ43" s="110">
        <f>'Cell Count'!I25</f>
        <v>81000</v>
      </c>
      <c r="AR43" s="110"/>
      <c r="AS43" s="110"/>
      <c r="AT43" s="110">
        <f>'Cell Count'!J25</f>
        <v>10.781666666666666</v>
      </c>
    </row>
    <row r="44" spans="1:46" x14ac:dyDescent="0.3">
      <c r="A44" s="1" t="s">
        <v>86</v>
      </c>
      <c r="B44" s="1">
        <v>45</v>
      </c>
      <c r="C44" s="1"/>
      <c r="D44" s="1">
        <v>0</v>
      </c>
      <c r="E44" s="1" t="s">
        <v>67</v>
      </c>
      <c r="F44" s="1" t="s">
        <v>68</v>
      </c>
      <c r="G44" s="31">
        <f>'DMSPraw (JS)'!W155</f>
        <v>14.493527532269599</v>
      </c>
      <c r="H44" s="31">
        <f>'DMSPraw (JS)'!X155</f>
        <v>0.86879137133772388</v>
      </c>
      <c r="I44" s="31">
        <f>'DMSPraw (JS)'!Y155</f>
        <v>1.4041302131640259</v>
      </c>
      <c r="J44" s="31">
        <f t="shared" si="27"/>
        <v>16.766449116771348</v>
      </c>
      <c r="K44" s="31">
        <f t="shared" si="28"/>
        <v>5.1817255119849959</v>
      </c>
      <c r="L44" s="87"/>
      <c r="M44" s="31">
        <f>'DMSPraw (JS)'!Z155</f>
        <v>0.27926006798727088</v>
      </c>
      <c r="O44" s="81"/>
      <c r="AN44" s="45"/>
    </row>
    <row r="45" spans="1:46" x14ac:dyDescent="0.3">
      <c r="A45" s="1" t="s">
        <v>86</v>
      </c>
      <c r="B45" s="1">
        <v>45</v>
      </c>
      <c r="C45" s="1"/>
      <c r="D45" s="1">
        <v>0</v>
      </c>
      <c r="E45" s="1" t="s">
        <v>70</v>
      </c>
      <c r="F45" s="1" t="s">
        <v>68</v>
      </c>
      <c r="G45" s="31">
        <f>'DMSPraw (JS)'!W156</f>
        <v>11.433508146825252</v>
      </c>
      <c r="H45" s="31">
        <f>'DMSPraw (JS)'!X156</f>
        <v>0.39631405785419449</v>
      </c>
      <c r="I45" s="31">
        <f>'DMSPraw (JS)'!Y156</f>
        <v>0.86103785288431012</v>
      </c>
      <c r="J45" s="31">
        <f t="shared" si="27"/>
        <v>12.690860057563757</v>
      </c>
      <c r="K45" s="31">
        <f t="shared" si="28"/>
        <v>3.1228305729995909</v>
      </c>
      <c r="L45" s="87"/>
      <c r="M45" s="31">
        <f>'DMSPraw (JS)'!Z156</f>
        <v>1.1662950179568723E-2</v>
      </c>
      <c r="O45" s="81"/>
      <c r="AN45" s="45"/>
    </row>
    <row r="46" spans="1:46" x14ac:dyDescent="0.3">
      <c r="A46" s="1" t="s">
        <v>86</v>
      </c>
      <c r="B46" s="1">
        <v>45</v>
      </c>
      <c r="C46" s="1"/>
      <c r="D46" s="1">
        <v>0</v>
      </c>
      <c r="E46" s="108" t="s">
        <v>71</v>
      </c>
      <c r="F46" s="1" t="s">
        <v>68</v>
      </c>
      <c r="G46" s="31">
        <f>'DMSPraw (JS)'!W157</f>
        <v>4.6659106568206052</v>
      </c>
      <c r="H46" s="31">
        <f>'DMSPraw (JS)'!X157</f>
        <v>0.17287543819893472</v>
      </c>
      <c r="I46" s="31">
        <f>'DMSPraw (JS)'!Y157</f>
        <v>0.39448150819923783</v>
      </c>
      <c r="J46" s="31">
        <f t="shared" si="27"/>
        <v>5.2332676032187777</v>
      </c>
      <c r="K46" s="31">
        <f t="shared" si="28"/>
        <v>3.3033938125504188</v>
      </c>
      <c r="L46" s="87"/>
      <c r="M46" s="31">
        <f>'DMSPraw (JS)'!Z157</f>
        <v>5.1409611385753257E-2</v>
      </c>
      <c r="O46" s="81"/>
      <c r="AN46" s="45"/>
    </row>
    <row r="47" spans="1:46" x14ac:dyDescent="0.3">
      <c r="A47" s="1" t="s">
        <v>86</v>
      </c>
      <c r="B47" s="1">
        <v>45</v>
      </c>
      <c r="C47" s="1">
        <v>25</v>
      </c>
      <c r="D47" s="1">
        <v>24</v>
      </c>
      <c r="E47" s="1" t="s">
        <v>67</v>
      </c>
      <c r="F47" s="1" t="s">
        <v>73</v>
      </c>
      <c r="G47" s="31">
        <f>'DMSPraw (JS)'!W124</f>
        <v>4.7733739585144281</v>
      </c>
      <c r="H47" s="31">
        <f>'DMSPraw (JS)'!X124</f>
        <v>0.18909528222518812</v>
      </c>
      <c r="I47" s="31">
        <f>'DMSPraw (JS)'!Y124</f>
        <v>0.26674580195217701</v>
      </c>
      <c r="J47" s="31">
        <f t="shared" si="27"/>
        <v>5.2292150426917932</v>
      </c>
      <c r="K47" s="31">
        <f t="shared" si="28"/>
        <v>3.6161313061596587</v>
      </c>
      <c r="L47" s="87"/>
      <c r="M47" s="31">
        <f>'DMSPraw (JS)'!Z124</f>
        <v>4.6062486906358959</v>
      </c>
      <c r="O47" s="81"/>
      <c r="Z47" s="79">
        <f>LN(($Y$50-AVERAGE($K$41:$K$43))/($Y$50-K47))/D47*$Y$3</f>
        <v>2.778498052011942E-3</v>
      </c>
      <c r="AN47" s="45">
        <f>(M47/(J47+M47))*100</f>
        <v>46.833060601174495</v>
      </c>
    </row>
    <row r="48" spans="1:46" x14ac:dyDescent="0.3">
      <c r="A48" s="1" t="s">
        <v>86</v>
      </c>
      <c r="B48" s="1">
        <v>45</v>
      </c>
      <c r="C48" s="1">
        <v>25</v>
      </c>
      <c r="D48" s="1">
        <v>24</v>
      </c>
      <c r="E48" s="1" t="s">
        <v>70</v>
      </c>
      <c r="F48" s="1" t="s">
        <v>73</v>
      </c>
      <c r="G48" s="31">
        <f>'DMSPraw (JS)'!W125</f>
        <v>4.1835052295036297</v>
      </c>
      <c r="H48" s="31">
        <f>'DMSPraw (JS)'!X125</f>
        <v>0.20180244741534839</v>
      </c>
      <c r="I48" s="31">
        <f>'DMSPraw (JS)'!Y125</f>
        <v>5.1109380100969493E-2</v>
      </c>
      <c r="J48" s="31">
        <f t="shared" si="27"/>
        <v>4.4364170570199475</v>
      </c>
      <c r="K48" s="31">
        <f t="shared" si="28"/>
        <v>4.5487708847396817</v>
      </c>
      <c r="L48" s="87"/>
      <c r="M48" s="31">
        <f>'DMSPraw (JS)'!Z125</f>
        <v>4.6868720342039216</v>
      </c>
      <c r="O48" s="81"/>
      <c r="Z48" s="79">
        <f>LN(($Y$51-AVERAGE($K$41:$K$43))/($Y$51-K48))/D48*$Y$3</f>
        <v>5.7062966370151156E-3</v>
      </c>
      <c r="AN48" s="45">
        <f t="shared" ref="AN48:AN69" si="31">(M48/(J48+M48))*100</f>
        <v>51.372613400056011</v>
      </c>
    </row>
    <row r="49" spans="1:48" x14ac:dyDescent="0.3">
      <c r="A49" s="1" t="s">
        <v>86</v>
      </c>
      <c r="B49" s="1">
        <v>45</v>
      </c>
      <c r="C49" s="1">
        <v>25</v>
      </c>
      <c r="D49" s="1">
        <v>24</v>
      </c>
      <c r="E49" s="1" t="s">
        <v>71</v>
      </c>
      <c r="F49" s="1" t="s">
        <v>73</v>
      </c>
      <c r="G49" s="31">
        <f>'DMSPraw (JS)'!W126</f>
        <v>3.5387924152302501</v>
      </c>
      <c r="H49" s="31">
        <f>'DMSPraw (JS)'!X126</f>
        <v>0.12859953462403992</v>
      </c>
      <c r="I49" s="31">
        <f>'DMSPraw (JS)'!Y126</f>
        <v>8.6610057507850169E-2</v>
      </c>
      <c r="J49" s="31">
        <f t="shared" si="27"/>
        <v>3.7540020073621405</v>
      </c>
      <c r="K49" s="31">
        <f t="shared" si="28"/>
        <v>3.4256650468443448</v>
      </c>
      <c r="L49" s="87"/>
      <c r="M49" s="31">
        <f>'DMSPraw (JS)'!Z126</f>
        <v>4.5689796305520334</v>
      </c>
      <c r="O49" s="81"/>
      <c r="Z49" s="79">
        <f>LN(($Y$52-AVERAGE($K$41:$K$43))/($Y$52-K49))/D49*$Y$3</f>
        <v>2.0769707848025958E-3</v>
      </c>
      <c r="AN49" s="45">
        <f t="shared" si="31"/>
        <v>54.895947502018849</v>
      </c>
    </row>
    <row r="50" spans="1:48" x14ac:dyDescent="0.3">
      <c r="A50" s="1" t="s">
        <v>86</v>
      </c>
      <c r="B50" s="1">
        <v>45</v>
      </c>
      <c r="C50" s="1">
        <v>25</v>
      </c>
      <c r="D50" s="1">
        <v>24</v>
      </c>
      <c r="E50" s="1" t="s">
        <v>67</v>
      </c>
      <c r="F50" s="1" t="s">
        <v>75</v>
      </c>
      <c r="G50" s="31">
        <f>'DMSPraw (JS)'!W171</f>
        <v>186.45532926902902</v>
      </c>
      <c r="H50" s="31">
        <f>'DMSPraw (JS)'!X171</f>
        <v>10.810403805412285</v>
      </c>
      <c r="I50" s="31">
        <f>'DMSPraw (JS)'!Y171</f>
        <v>8.8289695779477135</v>
      </c>
      <c r="J50" s="31">
        <f t="shared" si="27"/>
        <v>206.094702652389</v>
      </c>
      <c r="K50" s="31">
        <f t="shared" si="28"/>
        <v>5.2453574333959105</v>
      </c>
      <c r="L50" s="87"/>
      <c r="M50" s="31">
        <f>'DMSPraw (JS)'!Z171</f>
        <v>34.670737993238681</v>
      </c>
      <c r="N50" s="81">
        <f>(M50-M47-M53)/$N$3*100</f>
        <v>20.049842746931414</v>
      </c>
      <c r="O50" s="81"/>
      <c r="P50" s="81">
        <f>($N$3-M47-M50-M53)/$N$3*100</f>
        <v>72.555681112357874</v>
      </c>
      <c r="Q50" s="82"/>
      <c r="R50" s="31">
        <f>dic!H28</f>
        <v>9842.5673757799996</v>
      </c>
      <c r="S50" s="31">
        <f>dic!I28</f>
        <v>1328.5277099599998</v>
      </c>
      <c r="T50" s="79">
        <f>S50/(S50+R50)*100</f>
        <v>11.892546789400058</v>
      </c>
      <c r="U50" s="8">
        <f>T50-$U$3</f>
        <v>10.792546789400058</v>
      </c>
      <c r="V50" s="8">
        <f>1-U50/100</f>
        <v>0.89207453210599941</v>
      </c>
      <c r="W50" s="8">
        <f>U50/100</f>
        <v>0.10792546789400058</v>
      </c>
      <c r="X50" s="8">
        <f>2*V50*W50*100</f>
        <v>19.255512254772324</v>
      </c>
      <c r="Y50" s="8">
        <f>X50/$X$3+AVERAGE($K$9:$K$11)</f>
        <v>16.83047865903373</v>
      </c>
      <c r="Z50" s="79">
        <f>LN(($Y$50-AVERAGE($K$41:$K$43))/($Y$50-K50))/D50*$Y$3</f>
        <v>8.590015986852842E-3</v>
      </c>
      <c r="AC50" s="31">
        <f>R50</f>
        <v>9842.5673757799996</v>
      </c>
      <c r="AD50" s="31">
        <f>S50</f>
        <v>1328.5277099599998</v>
      </c>
      <c r="AE50" s="79">
        <f>AD50/(AD50+AC50)*100</f>
        <v>11.892546789400058</v>
      </c>
      <c r="AN50" s="45">
        <f t="shared" si="31"/>
        <v>14.400213710184865</v>
      </c>
      <c r="AP50" s="8">
        <v>0.51900000000000002</v>
      </c>
      <c r="AQ50" s="110">
        <f>'Cell Count'!I28</f>
        <v>32266.666666666668</v>
      </c>
      <c r="AR50" s="110"/>
      <c r="AS50" s="110"/>
      <c r="AT50" s="110">
        <f>'Cell Count'!J28</f>
        <v>9.7433333333333341</v>
      </c>
      <c r="AU50" s="8">
        <v>24.6</v>
      </c>
      <c r="AV50" s="8">
        <v>0.39999999999999858</v>
      </c>
    </row>
    <row r="51" spans="1:48" x14ac:dyDescent="0.3">
      <c r="A51" s="1" t="s">
        <v>86</v>
      </c>
      <c r="B51" s="1">
        <v>45</v>
      </c>
      <c r="C51" s="1">
        <v>25</v>
      </c>
      <c r="D51" s="1">
        <v>24</v>
      </c>
      <c r="E51" s="1" t="s">
        <v>70</v>
      </c>
      <c r="F51" s="1" t="s">
        <v>75</v>
      </c>
      <c r="G51" s="31">
        <f>'DMSPraw (JS)'!W172</f>
        <v>155.9883577767925</v>
      </c>
      <c r="H51" s="31">
        <f>'DMSPraw (JS)'!X172</f>
        <v>8.7116306653357078</v>
      </c>
      <c r="I51" s="31">
        <f>'DMSPraw (JS)'!Y172</f>
        <v>7.4085210013383822</v>
      </c>
      <c r="J51" s="31">
        <f t="shared" si="27"/>
        <v>172.1085094434666</v>
      </c>
      <c r="K51" s="31">
        <f t="shared" si="28"/>
        <v>5.0617082754977112</v>
      </c>
      <c r="L51" s="87"/>
      <c r="M51" s="31">
        <f>'DMSPraw (JS)'!Z172</f>
        <v>34.625212593337189</v>
      </c>
      <c r="N51" s="81">
        <f t="shared" ref="N51:N52" si="32">(M51-M48-M54)/$N$3*100</f>
        <v>19.031557599610551</v>
      </c>
      <c r="O51" s="81"/>
      <c r="P51" s="81">
        <f>($N$3-M48-M51-M54)/$N$3*100</f>
        <v>71.59975952654591</v>
      </c>
      <c r="Q51" s="82"/>
      <c r="R51" s="31">
        <f>dic!H29</f>
        <v>9871.5458796900002</v>
      </c>
      <c r="S51" s="31">
        <f>dic!I29</f>
        <v>1410.9929809549999</v>
      </c>
      <c r="T51" s="79">
        <f t="shared" ref="T51:T52" si="33">S51/(S51+R51)*100</f>
        <v>12.505988221115121</v>
      </c>
      <c r="U51" s="8">
        <f t="shared" ref="U51:U52" si="34">T51-$U$3</f>
        <v>11.405988221115122</v>
      </c>
      <c r="V51" s="8">
        <f t="shared" ref="V51:V52" si="35">1-U51/100</f>
        <v>0.88594011778884885</v>
      </c>
      <c r="W51" s="8">
        <f t="shared" ref="W51:W52" si="36">U51/100</f>
        <v>0.11405988221115121</v>
      </c>
      <c r="X51" s="8">
        <f t="shared" ref="X51:X52" si="37">2*V51*W51*100</f>
        <v>20.210045096225908</v>
      </c>
      <c r="Y51" s="8">
        <f>X51/$X$3+AVERAGE($K$9:$K$11)</f>
        <v>17.532341042455485</v>
      </c>
      <c r="Z51" s="79">
        <f>LN(($Y$51-AVERAGE($K$41:$K$43))/($Y$51-K51))/D51*$Y$3</f>
        <v>7.486576467773484E-3</v>
      </c>
      <c r="AC51" s="31">
        <f t="shared" ref="AC51:AC52" si="38">R51</f>
        <v>9871.5458796900002</v>
      </c>
      <c r="AD51" s="31">
        <f t="shared" ref="AD51:AD52" si="39">S51</f>
        <v>1410.9929809549999</v>
      </c>
      <c r="AE51" s="79">
        <f t="shared" ref="AE51:AE52" si="40">AD51/(AD51+AC51)*100</f>
        <v>12.505988221115121</v>
      </c>
      <c r="AN51" s="45">
        <f t="shared" si="31"/>
        <v>16.748700817747107</v>
      </c>
      <c r="AP51" s="8">
        <v>0.60499999999999998</v>
      </c>
      <c r="AQ51" s="110">
        <f>'Cell Count'!I33</f>
        <v>119883.33333333333</v>
      </c>
      <c r="AR51" s="110"/>
      <c r="AS51" s="110"/>
      <c r="AT51" s="110">
        <f>'Cell Count'!J33</f>
        <v>5.2666666666666666</v>
      </c>
      <c r="AU51" s="8">
        <v>24.2</v>
      </c>
      <c r="AV51" s="8">
        <v>0.80000000000000071</v>
      </c>
    </row>
    <row r="52" spans="1:48" x14ac:dyDescent="0.3">
      <c r="A52" s="1" t="s">
        <v>86</v>
      </c>
      <c r="B52" s="1">
        <v>45</v>
      </c>
      <c r="C52" s="1">
        <v>25</v>
      </c>
      <c r="D52" s="1">
        <v>24</v>
      </c>
      <c r="E52" s="108" t="s">
        <v>71</v>
      </c>
      <c r="F52" s="1" t="s">
        <v>75</v>
      </c>
      <c r="G52" s="31">
        <f>'DMSPraw (JS)'!W173</f>
        <v>104.97737853940914</v>
      </c>
      <c r="H52" s="31">
        <f>'DMSPraw (JS)'!X173</f>
        <v>5.4296539978266587</v>
      </c>
      <c r="I52" s="31">
        <f>'DMSPraw (JS)'!Y173</f>
        <v>4.4047114194765813</v>
      </c>
      <c r="J52" s="31">
        <f t="shared" si="27"/>
        <v>114.81174395671239</v>
      </c>
      <c r="K52" s="31">
        <f t="shared" si="28"/>
        <v>4.7291799694931971</v>
      </c>
      <c r="L52" s="87"/>
      <c r="M52" s="31">
        <f>'DMSPraw (JS)'!Z173</f>
        <v>25.626486148700184</v>
      </c>
      <c r="N52" s="81">
        <f t="shared" si="32"/>
        <v>11.320632651280258</v>
      </c>
      <c r="O52" s="81"/>
      <c r="P52" s="81">
        <f>($N$3-M49-M52-M55)/$N$3*100</f>
        <v>76.215857105115631</v>
      </c>
      <c r="Q52" s="82"/>
      <c r="R52" s="31">
        <f>dic!H30</f>
        <v>9938.1342570300003</v>
      </c>
      <c r="S52" s="31">
        <f>dic!I30</f>
        <v>1392.918945315</v>
      </c>
      <c r="T52" s="79">
        <f t="shared" si="33"/>
        <v>12.292934473440923</v>
      </c>
      <c r="U52" s="8">
        <f t="shared" si="34"/>
        <v>11.192934473440923</v>
      </c>
      <c r="V52" s="8">
        <f t="shared" si="35"/>
        <v>0.88807065526559081</v>
      </c>
      <c r="W52" s="8">
        <f t="shared" si="36"/>
        <v>0.11192934473440923</v>
      </c>
      <c r="X52" s="8">
        <f t="shared" si="37"/>
        <v>19.880233304347001</v>
      </c>
      <c r="Y52" s="8">
        <f>X52/$X$3+AVERAGE($K$9:$K$11)</f>
        <v>17.289832371956287</v>
      </c>
      <c r="Z52" s="79">
        <f>LN(($Y$52-AVERAGE($K$41:$K$43))/($Y$52-K52))/D52*$Y$3</f>
        <v>6.4379220324170972E-3</v>
      </c>
      <c r="AC52" s="31">
        <f t="shared" si="38"/>
        <v>9938.1342570300003</v>
      </c>
      <c r="AD52" s="31">
        <f t="shared" si="39"/>
        <v>1392.918945315</v>
      </c>
      <c r="AE52" s="79">
        <f t="shared" si="40"/>
        <v>12.292934473440923</v>
      </c>
      <c r="AN52" s="45">
        <f t="shared" si="31"/>
        <v>18.247514319615828</v>
      </c>
      <c r="AP52" s="8">
        <v>0.60399999999999998</v>
      </c>
      <c r="AQ52" s="110">
        <f>'Cell Count'!I34</f>
        <v>190666.66666666666</v>
      </c>
      <c r="AR52" s="110"/>
      <c r="AS52" s="110"/>
      <c r="AT52" s="110">
        <f>'Cell Count'!J34</f>
        <v>4.7</v>
      </c>
      <c r="AU52" s="8">
        <v>24.2</v>
      </c>
      <c r="AV52" s="8">
        <v>0.80000000000000071</v>
      </c>
    </row>
    <row r="53" spans="1:48" x14ac:dyDescent="0.3">
      <c r="A53" s="1" t="s">
        <v>86</v>
      </c>
      <c r="B53" s="1">
        <v>45</v>
      </c>
      <c r="C53" s="1">
        <v>25</v>
      </c>
      <c r="D53" s="1">
        <v>24</v>
      </c>
      <c r="E53" s="1" t="s">
        <v>67</v>
      </c>
      <c r="F53" s="1" t="s">
        <v>68</v>
      </c>
      <c r="G53" s="31">
        <f>'DMSPraw (JS)'!W165</f>
        <v>4.0582152461111329</v>
      </c>
      <c r="H53" s="31">
        <f>'DMSPraw (JS)'!X165</f>
        <v>0.19483511632460229</v>
      </c>
      <c r="I53" s="31">
        <f>'DMSPraw (JS)'!Y165</f>
        <v>0.22688164531419516</v>
      </c>
      <c r="J53" s="31">
        <f t="shared" si="27"/>
        <v>4.4799320077499312</v>
      </c>
      <c r="K53" s="31">
        <f t="shared" si="28"/>
        <v>4.3490641373028165</v>
      </c>
      <c r="L53" s="87"/>
      <c r="M53" s="31">
        <f>'DMSPraw (JS)'!Z165</f>
        <v>0.79171889208292334</v>
      </c>
      <c r="O53" s="81"/>
      <c r="Z53" s="79">
        <f>LN(($Y$50-AVERAGE($K$41:$K$43))/($Y$50-K53))/D53*$Y$3</f>
        <v>5.298756719155525E-3</v>
      </c>
      <c r="AN53" s="45">
        <f t="shared" si="31"/>
        <v>15.018424154528631</v>
      </c>
    </row>
    <row r="54" spans="1:48" x14ac:dyDescent="0.3">
      <c r="A54" s="1" t="s">
        <v>86</v>
      </c>
      <c r="B54" s="1">
        <v>45</v>
      </c>
      <c r="C54" s="1">
        <v>25</v>
      </c>
      <c r="D54" s="1">
        <v>24</v>
      </c>
      <c r="E54" s="1" t="s">
        <v>70</v>
      </c>
      <c r="F54" s="1" t="s">
        <v>68</v>
      </c>
      <c r="G54" s="31">
        <f>'DMSPraw (JS)'!W166</f>
        <v>6.9897719038044137</v>
      </c>
      <c r="H54" s="31">
        <f>'DMSPraw (JS)'!X166</f>
        <v>0.3052890784742372</v>
      </c>
      <c r="I54" s="31">
        <f>'DMSPraw (JS)'!Y166</f>
        <v>0.39086660152590441</v>
      </c>
      <c r="J54" s="31">
        <f t="shared" si="27"/>
        <v>7.6859275838045553</v>
      </c>
      <c r="K54" s="31">
        <f t="shared" si="28"/>
        <v>3.9720524965331285</v>
      </c>
      <c r="L54" s="87"/>
      <c r="M54" s="31">
        <f>'DMSPraw (JS)'!Z166</f>
        <v>2.1522664637018605</v>
      </c>
      <c r="O54" s="81"/>
      <c r="Z54" s="79">
        <f>LN(($Y$51-AVERAGE($K$41:$K$43))/($Y$51-K54))/D54*$Y$3</f>
        <v>3.7867763204698273E-3</v>
      </c>
      <c r="AN54" s="45">
        <f t="shared" si="31"/>
        <v>21.876641722139777</v>
      </c>
    </row>
    <row r="55" spans="1:48" x14ac:dyDescent="0.3">
      <c r="A55" s="1" t="s">
        <v>86</v>
      </c>
      <c r="B55" s="1">
        <v>45</v>
      </c>
      <c r="C55" s="1">
        <v>25</v>
      </c>
      <c r="D55" s="1">
        <v>24</v>
      </c>
      <c r="E55" s="1" t="s">
        <v>71</v>
      </c>
      <c r="F55" s="1" t="s">
        <v>68</v>
      </c>
      <c r="G55" s="31">
        <f>'DMSPraw (JS)'!W167</f>
        <v>5.6835797276367979</v>
      </c>
      <c r="H55" s="31">
        <f>'DMSPraw (JS)'!X167</f>
        <v>0.22356889638693259</v>
      </c>
      <c r="I55" s="31">
        <f>'DMSPraw (JS)'!Y167</f>
        <v>0.26075634727525726</v>
      </c>
      <c r="J55" s="31">
        <f t="shared" si="27"/>
        <v>6.167904971298988</v>
      </c>
      <c r="K55" s="31">
        <f t="shared" si="28"/>
        <v>3.6247136982048538</v>
      </c>
      <c r="L55" s="87"/>
      <c r="M55" s="31">
        <f>'DMSPraw (JS)'!Z167</f>
        <v>4.5293828472789741</v>
      </c>
      <c r="O55" s="81"/>
      <c r="Z55" s="79">
        <f>LN(($Y$52-AVERAGE($K$41:$K$43))/($Y$52-K55))/D55*$Y$3</f>
        <v>2.7156701423604913E-3</v>
      </c>
      <c r="AN55" s="45">
        <f t="shared" si="31"/>
        <v>42.341413301162213</v>
      </c>
    </row>
    <row r="56" spans="1:48" x14ac:dyDescent="0.3">
      <c r="A56" s="1" t="s">
        <v>86</v>
      </c>
      <c r="B56" s="1">
        <v>45</v>
      </c>
      <c r="C56" s="1">
        <v>25</v>
      </c>
      <c r="D56" s="1">
        <v>24</v>
      </c>
      <c r="E56" s="1" t="s">
        <v>67</v>
      </c>
      <c r="F56" s="1" t="s">
        <v>79</v>
      </c>
      <c r="G56" s="31">
        <f>'DMSPraw (JS)'!W178</f>
        <v>222.50742842096923</v>
      </c>
      <c r="H56" s="31">
        <f>'DMSPraw (JS)'!X178</f>
        <v>13.572477143922876</v>
      </c>
      <c r="I56" s="31">
        <f>'DMSPraw (JS)'!Y178</f>
        <v>11.131448441558891</v>
      </c>
      <c r="J56" s="31">
        <f t="shared" si="27"/>
        <v>247.21135400645099</v>
      </c>
      <c r="K56" s="31">
        <f t="shared" si="28"/>
        <v>5.4902321127081812</v>
      </c>
      <c r="L56" s="87"/>
      <c r="M56" s="31">
        <f>'DMSPraw (JS)'!Z178</f>
        <v>40.318582660921479</v>
      </c>
      <c r="N56" s="81">
        <f>M56/$N$3*100</f>
        <v>27.615467575973618</v>
      </c>
      <c r="O56" s="81">
        <f>(M56)/((J56)+(M56))*100</f>
        <v>14.022394721132578</v>
      </c>
      <c r="Z56" s="79">
        <f>LN(($Y$50-AVERAGE($K$41:$K$43))/($Y$50-K56))/D56*$Y$3</f>
        <v>9.5335742132670893E-3</v>
      </c>
      <c r="AB56" s="8">
        <v>30</v>
      </c>
      <c r="AF56" s="80">
        <f>Picarro!G32</f>
        <v>0.34391770851590037</v>
      </c>
      <c r="AG56" s="80">
        <f>Picarro!H32</f>
        <v>5.2893059531459955E-3</v>
      </c>
      <c r="AH56" s="79">
        <f>AG56/(AF56+AG56)*100</f>
        <v>1.5146620010448955</v>
      </c>
      <c r="AI56" s="71">
        <f>LN(($AE$50-AVERAGE($AH$41:$AH$43))/($AE$50-AH56))/D56</f>
        <v>1.6635403568634388E-3</v>
      </c>
      <c r="AJ56" s="70">
        <f>(AF56+AG56)/AB56*1000</f>
        <v>11.640233815634877</v>
      </c>
      <c r="AL56" s="45">
        <f>(J56*5)/1000000/(AJ56/12)*100</f>
        <v>0.12742597335514141</v>
      </c>
      <c r="AM56" s="45">
        <f>(M56*5)/1000000/(AJ56/12)*100</f>
        <v>2.0782357107002377E-2</v>
      </c>
      <c r="AN56" s="45">
        <f t="shared" si="31"/>
        <v>14.022394721132578</v>
      </c>
      <c r="AO56" s="79">
        <f>Z56/AI56</f>
        <v>5.7308944588770849</v>
      </c>
    </row>
    <row r="57" spans="1:48" x14ac:dyDescent="0.3">
      <c r="A57" s="1" t="s">
        <v>86</v>
      </c>
      <c r="B57" s="1">
        <v>45</v>
      </c>
      <c r="C57" s="1">
        <v>25</v>
      </c>
      <c r="D57" s="1">
        <v>24</v>
      </c>
      <c r="E57" s="1" t="s">
        <v>70</v>
      </c>
      <c r="F57" s="1" t="s">
        <v>79</v>
      </c>
      <c r="G57" s="31">
        <f>'DMSPraw (JS)'!W179</f>
        <v>169.36121430505574</v>
      </c>
      <c r="H57" s="31">
        <f>'DMSPraw (JS)'!X179</f>
        <v>9.5745029595531879</v>
      </c>
      <c r="I57" s="31">
        <f>'DMSPraw (JS)'!Y179</f>
        <v>8.2706310278537067</v>
      </c>
      <c r="J57" s="31">
        <f t="shared" si="27"/>
        <v>187.20634829246265</v>
      </c>
      <c r="K57" s="31">
        <f t="shared" si="28"/>
        <v>5.1144114752964702</v>
      </c>
      <c r="L57" s="87"/>
      <c r="M57" s="31">
        <f>'DMSPraw (JS)'!Z179</f>
        <v>37.561738546950686</v>
      </c>
      <c r="N57" s="81">
        <f t="shared" ref="N57" si="41">M57/$N$3*100</f>
        <v>25.727218182842936</v>
      </c>
      <c r="O57" s="81">
        <f>(M57)/((J57)+(M57))*100</f>
        <v>16.711330809959179</v>
      </c>
      <c r="Z57" s="79">
        <f>LN(($Y$51-AVERAGE($K$41:$K$43))/($Y$51-K57))/D57*$Y$3</f>
        <v>7.6736285044304645E-3</v>
      </c>
      <c r="AB57" s="8">
        <v>30</v>
      </c>
      <c r="AH57" s="79"/>
      <c r="AI57" s="71"/>
      <c r="AJ57" s="70"/>
      <c r="AL57" s="45"/>
      <c r="AM57" s="45"/>
      <c r="AN57" s="45">
        <f t="shared" si="31"/>
        <v>16.711330809959179</v>
      </c>
    </row>
    <row r="58" spans="1:48" x14ac:dyDescent="0.3">
      <c r="A58" s="1" t="s">
        <v>86</v>
      </c>
      <c r="B58" s="1">
        <v>45</v>
      </c>
      <c r="C58" s="1">
        <v>45</v>
      </c>
      <c r="D58" s="1">
        <v>24</v>
      </c>
      <c r="E58" s="1" t="s">
        <v>67</v>
      </c>
      <c r="F58" s="1" t="s">
        <v>73</v>
      </c>
      <c r="G58" s="31">
        <f>'DMSPraw (JS)'!W121</f>
        <v>2.2770988037893747</v>
      </c>
      <c r="H58" s="31">
        <f>'DMSPraw (JS)'!X121</f>
        <v>0.15188121246259523</v>
      </c>
      <c r="I58" s="31">
        <f>'DMSPraw (JS)'!Y121</f>
        <v>0.4166476045455621</v>
      </c>
      <c r="J58" s="31">
        <f t="shared" si="27"/>
        <v>2.845627620797532</v>
      </c>
      <c r="K58" s="31">
        <f t="shared" si="28"/>
        <v>5.3373537476427826</v>
      </c>
      <c r="L58" s="87"/>
      <c r="M58" s="31">
        <f>'DMSPraw (JS)'!Z121</f>
        <v>0.43293531766269217</v>
      </c>
      <c r="N58" s="81"/>
      <c r="O58" s="81"/>
      <c r="Z58" s="79">
        <f>LN(($Y$50-AVERAGE($K$41:$K$43))/($Y$50-K58))/D58*$Y$3</f>
        <v>8.9421391112710549E-3</v>
      </c>
      <c r="AB58" s="8">
        <v>30</v>
      </c>
      <c r="AF58" s="80">
        <f>Picarro!G34</f>
        <v>0.30478243169558528</v>
      </c>
      <c r="AG58" s="80">
        <f>Picarro!H34</f>
        <v>5.73482502775019E-3</v>
      </c>
      <c r="AH58" s="79">
        <f>AG58/(AF58+AG58)*100</f>
        <v>1.8468619387745662</v>
      </c>
      <c r="AI58" s="71">
        <f>LN(($AE$52-AVERAGE($AH$41:$AH$43))/($AE$52-AH58))/D58</f>
        <v>2.9073430684326395E-3</v>
      </c>
      <c r="AJ58" s="70">
        <f>(AF58+AG58)/AB58*1000</f>
        <v>10.350575224111182</v>
      </c>
      <c r="AL58" s="45"/>
      <c r="AM58" s="45"/>
      <c r="AN58" s="45">
        <f t="shared" si="31"/>
        <v>13.205032991253788</v>
      </c>
      <c r="AO58" s="79">
        <f t="shared" ref="AO58" si="42">Z58/AI58</f>
        <v>3.0757082672365179</v>
      </c>
    </row>
    <row r="59" spans="1:48" x14ac:dyDescent="0.3">
      <c r="A59" s="1" t="s">
        <v>86</v>
      </c>
      <c r="B59" s="1">
        <v>45</v>
      </c>
      <c r="C59" s="1">
        <v>45</v>
      </c>
      <c r="D59" s="1">
        <v>24</v>
      </c>
      <c r="E59" s="1" t="s">
        <v>70</v>
      </c>
      <c r="F59" s="1" t="s">
        <v>73</v>
      </c>
      <c r="G59" s="31">
        <f>'DMSPraw (JS)'!W122</f>
        <v>2.0239381208299507</v>
      </c>
      <c r="H59" s="31">
        <f>'DMSPraw (JS)'!X122</f>
        <v>0.10746412722704325</v>
      </c>
      <c r="I59" s="31">
        <f>'DMSPraw (JS)'!Y122</f>
        <v>0.34531576502681344</v>
      </c>
      <c r="J59" s="31">
        <f t="shared" si="27"/>
        <v>2.4767180130838073</v>
      </c>
      <c r="K59" s="31">
        <f t="shared" si="28"/>
        <v>4.3389730546368366</v>
      </c>
      <c r="L59" s="87"/>
      <c r="M59" s="31">
        <f>'DMSPraw (JS)'!Z122</f>
        <v>0.41489673600414934</v>
      </c>
      <c r="O59" s="81"/>
      <c r="Z59" s="79">
        <f>LN(($Y$51-AVERAGE($K$41:$K$43))/($Y$51-K59))/D59*$Y$3</f>
        <v>4.9983246668561937E-3</v>
      </c>
      <c r="AN59" s="45">
        <f t="shared" si="31"/>
        <v>14.348271537036938</v>
      </c>
    </row>
    <row r="60" spans="1:48" x14ac:dyDescent="0.3">
      <c r="A60" s="1" t="s">
        <v>86</v>
      </c>
      <c r="B60" s="1">
        <v>45</v>
      </c>
      <c r="C60" s="1">
        <v>45</v>
      </c>
      <c r="D60" s="1">
        <v>24</v>
      </c>
      <c r="E60" s="1" t="s">
        <v>71</v>
      </c>
      <c r="F60" s="1" t="s">
        <v>73</v>
      </c>
      <c r="G60" s="31">
        <f>'DMSPraw (JS)'!W123</f>
        <v>2.0208891428567122</v>
      </c>
      <c r="H60" s="31">
        <f>'DMSPraw (JS)'!X123</f>
        <v>0.13264106438574666</v>
      </c>
      <c r="I60" s="31">
        <f>'DMSPraw (JS)'!Y123</f>
        <v>0.18792693922342987</v>
      </c>
      <c r="J60" s="31">
        <f t="shared" si="27"/>
        <v>2.3414571464658884</v>
      </c>
      <c r="K60" s="31">
        <f t="shared" si="28"/>
        <v>5.6648939565667611</v>
      </c>
      <c r="L60" s="87"/>
      <c r="M60" s="31">
        <f>'DMSPraw (JS)'!Z123</f>
        <v>0.64259541862708247</v>
      </c>
      <c r="O60" s="81"/>
      <c r="Z60" s="79">
        <f>LN(($Y$52-AVERAGE($K$41:$K$43))/($Y$52-K60))/D60*$Y$3</f>
        <v>9.8571485168370016E-3</v>
      </c>
      <c r="AN60" s="45">
        <f t="shared" si="31"/>
        <v>21.53431967466236</v>
      </c>
    </row>
    <row r="61" spans="1:48" x14ac:dyDescent="0.3">
      <c r="A61" s="1" t="s">
        <v>86</v>
      </c>
      <c r="B61" s="1">
        <v>45</v>
      </c>
      <c r="C61" s="1">
        <v>45</v>
      </c>
      <c r="D61" s="1">
        <v>24</v>
      </c>
      <c r="E61" s="1" t="s">
        <v>67</v>
      </c>
      <c r="F61" s="1" t="s">
        <v>75</v>
      </c>
      <c r="G61" s="31">
        <f>'DMSPraw (JS)'!W168</f>
        <v>203.95643945857026</v>
      </c>
      <c r="H61" s="31">
        <f>'DMSPraw (JS)'!X168</f>
        <v>20.801799626671176</v>
      </c>
      <c r="I61" s="31">
        <f>'DMSPraw (JS)'!Y168</f>
        <v>9.346070573196311</v>
      </c>
      <c r="J61" s="31">
        <f t="shared" si="27"/>
        <v>234.10430965843773</v>
      </c>
      <c r="K61" s="31">
        <f t="shared" si="28"/>
        <v>8.8856970027682802</v>
      </c>
      <c r="L61" s="87"/>
      <c r="M61" s="31">
        <f>'DMSPraw (JS)'!Z168</f>
        <v>64.05614861651911</v>
      </c>
      <c r="N61" s="81">
        <f>(M61-M58-M64)/$N$3*100</f>
        <v>43.257782606664676</v>
      </c>
      <c r="O61" s="81"/>
      <c r="P61" s="81">
        <f>($N$3-M58-M61-M64)/$N$3*100</f>
        <v>55.509633816912462</v>
      </c>
      <c r="R61" s="31">
        <f>dic!H25</f>
        <v>15019.968433333333</v>
      </c>
      <c r="S61" s="31">
        <f>dic!I25</f>
        <v>1447.1270345066666</v>
      </c>
      <c r="T61" s="8">
        <f>S61/(S61+R61)*100</f>
        <v>8.7879920131202542</v>
      </c>
      <c r="U61" s="8">
        <f>T61-$U$3</f>
        <v>7.6879920131202546</v>
      </c>
      <c r="V61" s="8">
        <f>1-U61/100</f>
        <v>0.92312007986879752</v>
      </c>
      <c r="W61" s="8">
        <f>U61/100</f>
        <v>7.6879920131202539E-2</v>
      </c>
      <c r="X61" s="8">
        <f>2*V61*W61*100</f>
        <v>14.193879602364493</v>
      </c>
      <c r="Y61" s="8">
        <f>X61/$X$3+AVERAGE($K$9:$K$11)</f>
        <v>13.108689944027974</v>
      </c>
      <c r="Z61" s="79">
        <f>LN(($Y$61-AVERAGE($K$41:$K$43))/($Y$61-K61))/D61*$Y$3</f>
        <v>3.9595308723603125E-2</v>
      </c>
      <c r="AC61" s="31">
        <f>R61</f>
        <v>15019.968433333333</v>
      </c>
      <c r="AD61" s="31">
        <f>S61</f>
        <v>1447.1270345066666</v>
      </c>
      <c r="AE61" s="8">
        <f>AD61/(AD61+AC61)*100</f>
        <v>8.7879920131202542</v>
      </c>
      <c r="AN61" s="45">
        <f t="shared" si="31"/>
        <v>21.483783928668359</v>
      </c>
      <c r="AP61" s="8">
        <v>0.57099999999999995</v>
      </c>
      <c r="AQ61" s="110">
        <f>'Cell Count'!I22</f>
        <v>38633.333333333336</v>
      </c>
      <c r="AR61" s="110"/>
      <c r="AS61" s="110"/>
      <c r="AT61" s="110">
        <f>'Cell Count'!J22</f>
        <v>9.8616666666666664</v>
      </c>
      <c r="AU61" s="8">
        <v>44</v>
      </c>
      <c r="AV61" s="8">
        <v>1</v>
      </c>
    </row>
    <row r="62" spans="1:48" x14ac:dyDescent="0.3">
      <c r="A62" s="1" t="s">
        <v>86</v>
      </c>
      <c r="B62" s="1">
        <v>45</v>
      </c>
      <c r="C62" s="1">
        <v>45</v>
      </c>
      <c r="D62" s="1">
        <v>24</v>
      </c>
      <c r="E62" s="1" t="s">
        <v>70</v>
      </c>
      <c r="F62" s="1" t="s">
        <v>75</v>
      </c>
      <c r="G62" s="31">
        <f>'DMSPraw (JS)'!W169</f>
        <v>142.00785764502334</v>
      </c>
      <c r="H62" s="31">
        <f>'DMSPraw (JS)'!X169</f>
        <v>13.6492966066224</v>
      </c>
      <c r="I62" s="31">
        <f>'DMSPraw (JS)'!Y169</f>
        <v>6.2185493070688569</v>
      </c>
      <c r="J62" s="31">
        <f t="shared" si="27"/>
        <v>161.8757035587146</v>
      </c>
      <c r="K62" s="31">
        <f t="shared" si="28"/>
        <v>8.4319612557987167</v>
      </c>
      <c r="L62" s="87"/>
      <c r="M62" s="31">
        <f>'DMSPraw (JS)'!Z169</f>
        <v>31.277653550532957</v>
      </c>
      <c r="N62" s="81">
        <f t="shared" ref="N62" si="43">(M62-M59-M65)/$N$3*100</f>
        <v>20.738133643269169</v>
      </c>
      <c r="O62" s="81"/>
      <c r="P62" s="81">
        <f>($N$3-M59-M62-M65)/$N$3*100</f>
        <v>77.892032889114432</v>
      </c>
      <c r="Q62" s="82"/>
      <c r="R62" s="31">
        <f>dic!H26</f>
        <v>14806.30955</v>
      </c>
      <c r="S62" s="31">
        <f>dic!I26</f>
        <v>1479.7259521450001</v>
      </c>
      <c r="T62" s="8">
        <f>S62/(S62+R62)*100</f>
        <v>9.0858573404811036</v>
      </c>
      <c r="U62" s="8">
        <f t="shared" ref="U62:U63" si="44">T62-$U$3</f>
        <v>7.985857340481104</v>
      </c>
      <c r="V62" s="8">
        <f t="shared" ref="V62:V63" si="45">1-U62/100</f>
        <v>0.92014142659518894</v>
      </c>
      <c r="W62" s="8">
        <f t="shared" ref="W62:W63" si="46">U62/100</f>
        <v>7.9858573404811034E-2</v>
      </c>
      <c r="X62" s="8">
        <f t="shared" ref="X62:X63" si="47">2*V62*W62*100</f>
        <v>14.696236331711887</v>
      </c>
      <c r="Y62" s="8">
        <f>X62/$X$3+AVERAGE($K$9:$K$11)</f>
        <v>13.478069892077528</v>
      </c>
      <c r="Z62" s="79">
        <f>LN(($Y$62-AVERAGE($K$41:$K$43))/($Y$62-K62))/D62*$Y$3</f>
        <v>3.3279105221477034E-2</v>
      </c>
      <c r="AC62" s="31">
        <f t="shared" ref="AC62:AC63" si="48">R62</f>
        <v>14806.30955</v>
      </c>
      <c r="AD62" s="31">
        <f t="shared" ref="AD62:AD63" si="49">S62</f>
        <v>1479.7259521450001</v>
      </c>
      <c r="AE62" s="8">
        <f>AD62/(AD62+AC62)*100</f>
        <v>9.0858573404811036</v>
      </c>
      <c r="AN62" s="45">
        <f t="shared" si="31"/>
        <v>16.1931710733054</v>
      </c>
      <c r="AP62" s="8">
        <v>0.61</v>
      </c>
      <c r="AQ62" s="110">
        <f>'Cell Count'!I24</f>
        <v>25416.666666666668</v>
      </c>
      <c r="AR62" s="110"/>
      <c r="AS62" s="110"/>
      <c r="AT62" s="110">
        <f>'Cell Count'!J24</f>
        <v>10.001666666666667</v>
      </c>
      <c r="AU62" s="8">
        <v>42.7</v>
      </c>
      <c r="AV62" s="8">
        <v>2.2999999999999972</v>
      </c>
    </row>
    <row r="63" spans="1:48" x14ac:dyDescent="0.3">
      <c r="A63" s="1" t="s">
        <v>86</v>
      </c>
      <c r="B63" s="1">
        <v>45</v>
      </c>
      <c r="C63" s="1">
        <v>45</v>
      </c>
      <c r="D63" s="1">
        <v>24</v>
      </c>
      <c r="E63" s="1" t="s">
        <v>71</v>
      </c>
      <c r="F63" s="1" t="s">
        <v>75</v>
      </c>
      <c r="G63" s="31">
        <f>'DMSPraw (JS)'!W170</f>
        <v>205.80182190834518</v>
      </c>
      <c r="H63" s="31">
        <f>'DMSPraw (JS)'!X170</f>
        <v>21.951001243402587</v>
      </c>
      <c r="I63" s="31">
        <f>'DMSPraw (JS)'!Y170</f>
        <v>9.4283627556263525</v>
      </c>
      <c r="J63" s="31">
        <f t="shared" si="27"/>
        <v>237.1811859073741</v>
      </c>
      <c r="K63" s="31">
        <f t="shared" si="28"/>
        <v>9.2549504546178749</v>
      </c>
      <c r="L63" s="87"/>
      <c r="M63" s="31">
        <f>'DMSPraw (JS)'!Z170</f>
        <v>78.638822282863657</v>
      </c>
      <c r="N63" s="81">
        <f>(M63-M60-M66)/$N$3*100</f>
        <v>53.079157473431124</v>
      </c>
      <c r="O63" s="81"/>
      <c r="P63" s="81">
        <f>($N$3-M60-M63-M66)/$N$3*100</f>
        <v>45.354743387316525</v>
      </c>
      <c r="Q63" s="82"/>
      <c r="R63" s="31">
        <f>dic!H27</f>
        <v>15279.0664</v>
      </c>
      <c r="S63" s="31">
        <f>dic!I27</f>
        <v>1523.6235351599998</v>
      </c>
      <c r="T63" s="8">
        <f>S63/(S63+R63)*100</f>
        <v>9.0677358270581649</v>
      </c>
      <c r="U63" s="8">
        <f t="shared" si="44"/>
        <v>7.9677358270581653</v>
      </c>
      <c r="V63" s="8">
        <f t="shared" si="45"/>
        <v>0.92032264172941836</v>
      </c>
      <c r="W63" s="8">
        <f t="shared" si="46"/>
        <v>7.9677358270581658E-2</v>
      </c>
      <c r="X63" s="8">
        <f t="shared" si="47"/>
        <v>14.665775369920606</v>
      </c>
      <c r="Y63" s="8">
        <f>X63/$X$3+AVERAGE($K$9:$K$11)</f>
        <v>13.455672126054527</v>
      </c>
      <c r="Z63" s="79">
        <f>LN(($Y$63-AVERAGE($K$41:$K$43))/($Y$63-K63))/D63*$Y$3</f>
        <v>4.1285174933296573E-2</v>
      </c>
      <c r="AC63" s="31">
        <f t="shared" si="48"/>
        <v>15279.0664</v>
      </c>
      <c r="AD63" s="31">
        <f t="shared" si="49"/>
        <v>1523.6235351599998</v>
      </c>
      <c r="AE63" s="8">
        <f t="shared" ref="AE63" si="50">AD63/(AD63+AC63)*100</f>
        <v>9.0677358270581649</v>
      </c>
      <c r="AN63" s="45">
        <f t="shared" si="31"/>
        <v>24.899886088121011</v>
      </c>
      <c r="AQ63" s="110"/>
      <c r="AR63" s="110"/>
      <c r="AS63" s="110"/>
      <c r="AT63" s="110"/>
    </row>
    <row r="64" spans="1:48" x14ac:dyDescent="0.3">
      <c r="A64" s="1" t="s">
        <v>86</v>
      </c>
      <c r="B64" s="1">
        <v>45</v>
      </c>
      <c r="C64" s="1">
        <v>45</v>
      </c>
      <c r="D64" s="1">
        <v>24</v>
      </c>
      <c r="E64" s="1" t="s">
        <v>67</v>
      </c>
      <c r="F64" s="1" t="s">
        <v>68</v>
      </c>
      <c r="G64" s="31">
        <f>'DMSPraw (JS)'!W162</f>
        <v>3.8744975388138703</v>
      </c>
      <c r="H64" s="31">
        <f>'DMSPraw (JS)'!X162</f>
        <v>0.43565202249313789</v>
      </c>
      <c r="I64" s="31">
        <f>'DMSPraw (JS)'!Y162</f>
        <v>0.35456506291085021</v>
      </c>
      <c r="J64" s="31">
        <f t="shared" si="27"/>
        <v>4.6647146242178579</v>
      </c>
      <c r="K64" s="31">
        <f t="shared" si="28"/>
        <v>9.3393070656746673</v>
      </c>
      <c r="L64" s="87"/>
      <c r="M64" s="31">
        <f>'DMSPraw (JS)'!Z162</f>
        <v>0.46685069312598637</v>
      </c>
      <c r="N64" s="81"/>
      <c r="O64" s="81"/>
      <c r="P64" s="81"/>
      <c r="Q64" s="82"/>
      <c r="Z64" s="79">
        <f>LN(($Y$61-AVERAGE($K$41:$K$43))/($Y$61-K64))/D64*$Y$3</f>
        <v>4.4614091127069322E-2</v>
      </c>
      <c r="AN64" s="45">
        <f t="shared" si="31"/>
        <v>9.0976274149353227</v>
      </c>
    </row>
    <row r="65" spans="1:41" x14ac:dyDescent="0.3">
      <c r="A65" s="1" t="s">
        <v>86</v>
      </c>
      <c r="B65" s="1">
        <v>45</v>
      </c>
      <c r="C65" s="1">
        <v>45</v>
      </c>
      <c r="D65" s="1">
        <v>24</v>
      </c>
      <c r="E65" s="1" t="s">
        <v>70</v>
      </c>
      <c r="F65" s="1" t="s">
        <v>68</v>
      </c>
      <c r="G65" s="31">
        <f>'DMSPraw (JS)'!W163</f>
        <v>4.2046173536614555</v>
      </c>
      <c r="H65" s="31">
        <f>'DMSPraw (JS)'!X163</f>
        <v>0.42699173398700907</v>
      </c>
      <c r="I65" s="31">
        <f>'DMSPraw (JS)'!Y163</f>
        <v>0.23837738261850083</v>
      </c>
      <c r="J65" s="31">
        <f t="shared" si="27"/>
        <v>4.8699864702669657</v>
      </c>
      <c r="K65" s="31">
        <f t="shared" si="28"/>
        <v>8.76782177104492</v>
      </c>
      <c r="L65" s="87"/>
      <c r="M65" s="31">
        <f>'DMSPraw (JS)'!Z163</f>
        <v>0.58508169535582055</v>
      </c>
      <c r="O65" s="81"/>
      <c r="Z65" s="79">
        <f>LN(($Y$62-AVERAGE($K$41:$K$43))/($Y$62-K65))/D65*$Y$3</f>
        <v>3.6321163574948793E-2</v>
      </c>
      <c r="AN65" s="45">
        <f t="shared" si="31"/>
        <v>10.725469922501395</v>
      </c>
    </row>
    <row r="66" spans="1:41" x14ac:dyDescent="0.3">
      <c r="A66" s="1" t="s">
        <v>86</v>
      </c>
      <c r="B66" s="1">
        <v>45</v>
      </c>
      <c r="C66" s="1">
        <v>45</v>
      </c>
      <c r="D66" s="1">
        <v>24</v>
      </c>
      <c r="E66" s="1" t="s">
        <v>71</v>
      </c>
      <c r="F66" s="1" t="s">
        <v>68</v>
      </c>
      <c r="G66" s="31">
        <f>'DMSPraw (JS)'!W164</f>
        <v>2.5929556767214113</v>
      </c>
      <c r="H66" s="31">
        <f>'DMSPraw (JS)'!X164</f>
        <v>0.27703380087832169</v>
      </c>
      <c r="I66" s="31">
        <f>'DMSPraw (JS)'!Y164</f>
        <v>0.1415403512630366</v>
      </c>
      <c r="J66" s="31">
        <f t="shared" si="27"/>
        <v>3.0115298288627694</v>
      </c>
      <c r="K66" s="31">
        <f t="shared" si="28"/>
        <v>9.1991053259112743</v>
      </c>
      <c r="L66" s="87"/>
      <c r="M66" s="31">
        <f>'DMSPraw (JS)'!Z164</f>
        <v>0.50065695302713742</v>
      </c>
      <c r="O66" s="81"/>
      <c r="Z66" s="79">
        <f>LN(($Y$63-AVERAGE($K$41:$K$43))/($Y$63-K66))/D66*$Y$3</f>
        <v>4.0701884191367596E-2</v>
      </c>
      <c r="AN66" s="45">
        <f t="shared" si="31"/>
        <v>14.254849873267105</v>
      </c>
    </row>
    <row r="67" spans="1:41" x14ac:dyDescent="0.3">
      <c r="A67" s="1" t="s">
        <v>86</v>
      </c>
      <c r="B67" s="1">
        <v>45</v>
      </c>
      <c r="C67" s="1">
        <v>45</v>
      </c>
      <c r="D67" s="1">
        <v>24</v>
      </c>
      <c r="E67" s="1" t="s">
        <v>67</v>
      </c>
      <c r="F67" s="1" t="s">
        <v>79</v>
      </c>
      <c r="G67" s="31">
        <f>'DMSPraw (JS)'!W175</f>
        <v>218.65935434250284</v>
      </c>
      <c r="H67" s="31">
        <f>'DMSPraw (JS)'!X175</f>
        <v>25.076444660969852</v>
      </c>
      <c r="I67" s="31">
        <f>'DMSPraw (JS)'!Y175</f>
        <v>11.470549280915215</v>
      </c>
      <c r="J67" s="31">
        <f t="shared" si="27"/>
        <v>255.2063482843879</v>
      </c>
      <c r="K67" s="31">
        <f t="shared" si="28"/>
        <v>9.825948621397945</v>
      </c>
      <c r="L67" s="87"/>
      <c r="M67" s="31">
        <f>'DMSPraw (JS)'!Z175</f>
        <v>77.871670699236446</v>
      </c>
      <c r="N67" s="81">
        <f>M67/$N$3*100</f>
        <v>53.336760752901682</v>
      </c>
      <c r="O67" s="81">
        <f>(M67)/((J67)+(M67))*100</f>
        <v>23.379408505208197</v>
      </c>
      <c r="Z67" s="79">
        <f>LN(($Y$61-AVERAGE($K$41:$K$43))/($Y$61-K67))/D67*$Y$3</f>
        <v>5.0719357796212436E-2</v>
      </c>
      <c r="AB67" s="8">
        <v>30</v>
      </c>
      <c r="AF67" s="80">
        <f>Picarro!G35</f>
        <v>0.24425867850674768</v>
      </c>
      <c r="AG67" s="80">
        <f>Picarro!H35</f>
        <v>4.3229674203034028E-3</v>
      </c>
      <c r="AH67" s="79">
        <f>AG67/(AF67+AG67)*100</f>
        <v>1.7390533416823635</v>
      </c>
      <c r="AI67" s="71">
        <f>LN(($AE$61-AVERAGE($AH$41:$AH$43))/($AE$61-AH67))/D67</f>
        <v>3.659584670375705E-3</v>
      </c>
      <c r="AJ67" s="70">
        <f>(AF67+AG67)/AB67*1000</f>
        <v>8.2860548642350373</v>
      </c>
      <c r="AL67" s="45">
        <f>(J67*5)/1000000/(AJ67/12)*100</f>
        <v>0.18479700108136926</v>
      </c>
      <c r="AM67" s="45">
        <f>(M67*5)/1000000/(AJ67/12)*100</f>
        <v>5.638751273686541E-2</v>
      </c>
      <c r="AN67" s="45">
        <f t="shared" si="31"/>
        <v>23.379408505208197</v>
      </c>
      <c r="AO67" s="79">
        <f>Z67/AI67</f>
        <v>13.859320760299671</v>
      </c>
    </row>
    <row r="68" spans="1:41" x14ac:dyDescent="0.3">
      <c r="A68" s="1" t="s">
        <v>86</v>
      </c>
      <c r="B68" s="1">
        <v>45</v>
      </c>
      <c r="C68" s="1">
        <v>45</v>
      </c>
      <c r="D68" s="1">
        <v>24</v>
      </c>
      <c r="E68" s="1" t="s">
        <v>70</v>
      </c>
      <c r="F68" s="1" t="s">
        <v>79</v>
      </c>
      <c r="G68" s="31">
        <f>'DMSPraw (JS)'!W176</f>
        <v>278.31904771927736</v>
      </c>
      <c r="H68" s="31">
        <f>'DMSPraw (JS)'!X176</f>
        <v>29.748577491933506</v>
      </c>
      <c r="I68" s="31">
        <f>'DMSPraw (JS)'!Y176</f>
        <v>14.204686217674485</v>
      </c>
      <c r="J68" s="31">
        <f t="shared" si="27"/>
        <v>322.27231142888536</v>
      </c>
      <c r="K68" s="31">
        <f t="shared" si="28"/>
        <v>9.2308822188399553</v>
      </c>
      <c r="L68" s="87"/>
      <c r="M68" s="31">
        <f>'DMSPraw (JS)'!Z176</f>
        <v>78.909665823461353</v>
      </c>
      <c r="N68" s="81">
        <f>M68/$N$3*100</f>
        <v>54.047716317439289</v>
      </c>
      <c r="O68" s="81">
        <f>(M68)/((J68)+(M68))*100</f>
        <v>19.669294808282608</v>
      </c>
      <c r="Z68" s="79">
        <f>LN(($Y$62-AVERAGE($K$41:$K$43))/($Y$62-K68))/D68*$Y$3</f>
        <v>4.089168687027437E-2</v>
      </c>
      <c r="AB68" s="8">
        <v>30</v>
      </c>
      <c r="AF68" s="80">
        <f>Picarro!G36</f>
        <v>0.18646706977468794</v>
      </c>
      <c r="AG68" s="80">
        <f>Picarro!H36</f>
        <v>3.7233033436544567E-3</v>
      </c>
      <c r="AH68" s="79">
        <f>AG68/(AF68+AG68)*100</f>
        <v>1.9576718225047602</v>
      </c>
      <c r="AI68" s="71">
        <f>LN(($AE$62-AVERAGE($AH$41:$AH$43))/($AE$62-AH68))/D68</f>
        <v>4.775993347358347E-3</v>
      </c>
      <c r="AJ68" s="70">
        <f>(AF68+AG68)/AB68*1000</f>
        <v>6.3396791039447464</v>
      </c>
      <c r="AL68" s="45">
        <f>(J68*5)/1000000/(AJ68/12)*100</f>
        <v>0.30500500685754661</v>
      </c>
      <c r="AM68" s="45">
        <f>(M68*5)/1000000/(AJ68/12)*100</f>
        <v>7.4681697161322849E-2</v>
      </c>
      <c r="AN68" s="45">
        <f t="shared" si="31"/>
        <v>19.669294808282608</v>
      </c>
      <c r="AO68" s="79">
        <f>Z68/AI68</f>
        <v>8.5619229124119283</v>
      </c>
    </row>
    <row r="69" spans="1:41" x14ac:dyDescent="0.3">
      <c r="A69" s="1" t="s">
        <v>86</v>
      </c>
      <c r="B69" s="1">
        <v>45</v>
      </c>
      <c r="C69" s="1">
        <v>45</v>
      </c>
      <c r="D69" s="1">
        <v>24</v>
      </c>
      <c r="E69" s="1" t="s">
        <v>71</v>
      </c>
      <c r="F69" s="1" t="s">
        <v>79</v>
      </c>
      <c r="G69" s="31">
        <f>'DMSPraw (JS)'!W177</f>
        <v>200.46703032866378</v>
      </c>
      <c r="H69" s="31">
        <f>'DMSPraw (JS)'!X177</f>
        <v>21.998180774852763</v>
      </c>
      <c r="I69" s="31">
        <f>'DMSPraw (JS)'!Y177</f>
        <v>10.038808385299891</v>
      </c>
      <c r="J69" s="31">
        <f t="shared" si="27"/>
        <v>232.50401948881643</v>
      </c>
      <c r="K69" s="31">
        <f t="shared" si="28"/>
        <v>9.461419558774935</v>
      </c>
      <c r="L69" s="87"/>
      <c r="M69" s="31">
        <f>'DMSPraw (JS)'!Z177</f>
        <v>79.053520783371198</v>
      </c>
      <c r="N69" s="81">
        <f t="shared" ref="N69" si="51">M69/$N$3*100</f>
        <v>54.146247111898084</v>
      </c>
      <c r="O69" s="81">
        <f>(M69)/((J69)+(M69))*100</f>
        <v>25.373650310086305</v>
      </c>
      <c r="Z69" s="79">
        <f>LN(($Y$63-AVERAGE($K$41:$K$43))/($Y$63-K69))/D69*$Y$3</f>
        <v>4.3511169076451701E-2</v>
      </c>
      <c r="AB69" s="8">
        <v>30</v>
      </c>
      <c r="AF69" s="80">
        <f>Picarro!G37</f>
        <v>0.15219988705185877</v>
      </c>
      <c r="AG69" s="80">
        <f>Picarro!H37</f>
        <v>2.9596113026036492E-3</v>
      </c>
      <c r="AH69" s="79">
        <f t="shared" ref="AH69" si="52">AG69/(AF69+AG69)*100</f>
        <v>1.9074638252841003</v>
      </c>
      <c r="AI69" s="71">
        <f>LN(($AE$63-AVERAGE($AH$41:$AH$43))/($AE$63-AH69))/D69</f>
        <v>4.4942958560818631E-3</v>
      </c>
      <c r="AJ69" s="70">
        <f>(AF69+AG69)/AB69*1000</f>
        <v>5.1719832784820801</v>
      </c>
      <c r="AL69" s="45">
        <f>(J69*5)/1000000/(AJ69/12)*100</f>
        <v>0.26972711275708589</v>
      </c>
      <c r="AM69" s="45">
        <f>(M69*5)/1000000/(AJ69/12)*100</f>
        <v>9.1709717367731938E-2</v>
      </c>
      <c r="AN69" s="45">
        <f t="shared" si="31"/>
        <v>25.373650310086305</v>
      </c>
      <c r="AO69" s="79">
        <f>Z69/AI69</f>
        <v>9.6814207319196903</v>
      </c>
    </row>
    <row r="71" spans="1:41" x14ac:dyDescent="0.3">
      <c r="R71" s="8" t="s">
        <v>217</v>
      </c>
    </row>
    <row r="72" spans="1:41" x14ac:dyDescent="0.3">
      <c r="R72" s="110">
        <f>J67/(100*AQ61)</f>
        <v>6.6058588857046048E-5</v>
      </c>
    </row>
    <row r="73" spans="1:41" x14ac:dyDescent="0.3">
      <c r="R73" s="110">
        <f>J68/(100*AQ62)</f>
        <v>1.2679566351300406E-4</v>
      </c>
    </row>
    <row r="74" spans="1:41" x14ac:dyDescent="0.3">
      <c r="R74" s="110"/>
    </row>
  </sheetData>
  <autoFilter ref="C1:C69" xr:uid="{D2A250E0-ADBB-7E43-9117-3D718156EE63}"/>
  <sortState xmlns:xlrd2="http://schemas.microsoft.com/office/spreadsheetml/2017/richdata2" ref="B6:M38">
    <sortCondition ref="D6:D38"/>
    <sortCondition ref="C6:C38"/>
    <sortCondition ref="F6:F38"/>
  </sortState>
  <conditionalFormatting sqref="Z1:Z8 Z12:Z40 Z44:Z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:Z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1:Z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5">
    <cfRule type="colorScale" priority="2">
      <colorScale>
        <cfvo type="min"/>
        <cfvo type="num" val="0"/>
        <cfvo type="max"/>
        <color theme="8"/>
        <color theme="2"/>
        <color theme="7"/>
      </colorScale>
    </cfRule>
    <cfRule type="colorScale" priority="3">
      <colorScale>
        <cfvo type="min"/>
        <cfvo type="num" val="0"/>
        <cfvo type="max"/>
        <color rgb="FFF8696B"/>
        <color rgb="FF92D050"/>
        <color rgb="FFFF3399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56C1-A96E-C246-B4A2-C6B0C2164880}">
  <dimension ref="A1:AT73"/>
  <sheetViews>
    <sheetView zoomScale="55" zoomScaleNormal="55" workbookViewId="0">
      <pane xSplit="3876" ySplit="1536" topLeftCell="O17" activePane="bottomLeft"/>
      <selection activeCell="AW10" sqref="AW10"/>
      <selection pane="topRight" activeCell="N5" sqref="N5"/>
      <selection pane="bottomLeft" activeCell="F31" sqref="F31"/>
      <selection pane="bottomRight" activeCell="O25" sqref="O25"/>
    </sheetView>
  </sheetViews>
  <sheetFormatPr defaultColWidth="10.77734375" defaultRowHeight="14.4" x14ac:dyDescent="0.3"/>
  <cols>
    <col min="1" max="4" width="10.77734375" style="8"/>
    <col min="5" max="5" width="6.77734375" style="8" customWidth="1"/>
    <col min="6" max="6" width="11.44140625" style="8" customWidth="1"/>
    <col min="7" max="11" width="10.77734375" style="8"/>
    <col min="12" max="12" width="3.77734375" style="72" customWidth="1"/>
    <col min="13" max="16" width="10.77734375" style="8"/>
    <col min="17" max="17" width="3.33203125" style="72" customWidth="1"/>
    <col min="18" max="18" width="10" style="31" bestFit="1" customWidth="1"/>
    <col min="19" max="19" width="8.6640625" style="31" customWidth="1"/>
    <col min="20" max="20" width="8.6640625" style="31" bestFit="1" customWidth="1"/>
    <col min="21" max="21" width="8.44140625" style="31" customWidth="1"/>
    <col min="22" max="22" width="8.6640625" style="31" customWidth="1"/>
    <col min="23" max="23" width="8.33203125" style="31" customWidth="1"/>
    <col min="24" max="24" width="11" style="31" customWidth="1"/>
    <col min="25" max="25" width="10.77734375" style="31"/>
    <col min="26" max="26" width="19.33203125" style="8" customWidth="1"/>
    <col min="27" max="27" width="4" style="72" customWidth="1"/>
    <col min="28" max="28" width="10.77734375" style="8"/>
    <col min="29" max="31" width="10.77734375" style="31"/>
    <col min="32" max="33" width="10.77734375" style="80"/>
    <col min="34" max="36" width="10.77734375" style="8"/>
    <col min="37" max="37" width="3.44140625" style="72" customWidth="1"/>
    <col min="38" max="38" width="10.77734375" style="8"/>
    <col min="39" max="40" width="15.21875" style="8" customWidth="1"/>
    <col min="41" max="41" width="9.44140625" style="79" customWidth="1"/>
    <col min="42" max="16384" width="10.77734375" style="8"/>
  </cols>
  <sheetData>
    <row r="1" spans="1:46" x14ac:dyDescent="0.3">
      <c r="AB1" s="57"/>
      <c r="AC1" s="96"/>
      <c r="AE1" s="96"/>
      <c r="AF1" s="71"/>
      <c r="AG1" s="71"/>
      <c r="AH1" s="57"/>
      <c r="AI1" s="57"/>
      <c r="AJ1" s="57"/>
      <c r="AK1" s="83"/>
    </row>
    <row r="2" spans="1:46" x14ac:dyDescent="0.3">
      <c r="U2" s="31" t="s">
        <v>97</v>
      </c>
      <c r="X2" s="31" t="s">
        <v>98</v>
      </c>
      <c r="Y2" s="31" t="s">
        <v>99</v>
      </c>
      <c r="AB2" s="57"/>
      <c r="AC2" s="97"/>
      <c r="AE2" s="103"/>
      <c r="AF2" s="71"/>
      <c r="AG2" s="71"/>
      <c r="AH2" s="57"/>
      <c r="AI2" s="57"/>
      <c r="AJ2" s="57"/>
      <c r="AK2" s="83"/>
    </row>
    <row r="3" spans="1:46" x14ac:dyDescent="0.3">
      <c r="M3" s="73" t="s">
        <v>195</v>
      </c>
      <c r="N3" s="74">
        <f>200*73/100</f>
        <v>146</v>
      </c>
      <c r="O3" s="74"/>
      <c r="P3" s="73"/>
      <c r="U3" s="31">
        <v>1.1000000000000001</v>
      </c>
      <c r="W3" s="91"/>
      <c r="X3" s="31">
        <v>1.36</v>
      </c>
      <c r="Y3" s="31">
        <v>1.06</v>
      </c>
      <c r="AB3" s="57"/>
      <c r="AC3" s="96"/>
      <c r="AD3" s="96"/>
      <c r="AE3" s="96"/>
      <c r="AG3" s="71"/>
      <c r="AH3" s="57"/>
      <c r="AI3" s="57"/>
      <c r="AJ3" s="57"/>
      <c r="AK3" s="83"/>
    </row>
    <row r="4" spans="1:46" x14ac:dyDescent="0.3">
      <c r="G4" s="75" t="s">
        <v>181</v>
      </c>
      <c r="H4" s="76"/>
      <c r="I4" s="75"/>
      <c r="J4" s="75"/>
      <c r="K4" s="75"/>
      <c r="L4" s="85"/>
      <c r="M4" s="77"/>
      <c r="N4" s="73" t="s">
        <v>196</v>
      </c>
      <c r="O4" s="73"/>
      <c r="P4" s="73"/>
      <c r="S4" s="92" t="s">
        <v>101</v>
      </c>
      <c r="AB4" s="57"/>
      <c r="AC4" s="92" t="s">
        <v>101</v>
      </c>
      <c r="AE4" s="104" t="s">
        <v>102</v>
      </c>
      <c r="AF4" s="98" t="s">
        <v>202</v>
      </c>
      <c r="AG4" s="99"/>
      <c r="AI4" s="60" t="s">
        <v>203</v>
      </c>
      <c r="AJ4" s="57"/>
      <c r="AK4" s="83"/>
    </row>
    <row r="5" spans="1:46" ht="55.8" x14ac:dyDescent="0.3">
      <c r="A5" s="10" t="s">
        <v>56</v>
      </c>
      <c r="B5" s="10" t="s">
        <v>173</v>
      </c>
      <c r="C5" s="10" t="s">
        <v>172</v>
      </c>
      <c r="D5" s="10" t="s">
        <v>175</v>
      </c>
      <c r="E5" s="10" t="s">
        <v>174</v>
      </c>
      <c r="F5" s="10" t="s">
        <v>117</v>
      </c>
      <c r="G5" s="78" t="s">
        <v>192</v>
      </c>
      <c r="H5" s="78" t="s">
        <v>191</v>
      </c>
      <c r="I5" s="78" t="s">
        <v>193</v>
      </c>
      <c r="J5" s="78" t="s">
        <v>103</v>
      </c>
      <c r="K5" s="78" t="s">
        <v>201</v>
      </c>
      <c r="L5" s="86"/>
      <c r="M5" s="61" t="s">
        <v>194</v>
      </c>
      <c r="N5" s="61" t="s">
        <v>104</v>
      </c>
      <c r="O5" s="61" t="s">
        <v>216</v>
      </c>
      <c r="P5" s="62" t="s">
        <v>105</v>
      </c>
      <c r="Q5" s="63"/>
      <c r="R5" s="93" t="s">
        <v>106</v>
      </c>
      <c r="S5" s="93" t="s">
        <v>107</v>
      </c>
      <c r="T5" s="93" t="s">
        <v>108</v>
      </c>
      <c r="U5" s="94" t="s">
        <v>109</v>
      </c>
      <c r="V5" s="94" t="s">
        <v>197</v>
      </c>
      <c r="W5" s="94" t="s">
        <v>198</v>
      </c>
      <c r="X5" s="94" t="s">
        <v>110</v>
      </c>
      <c r="Y5" s="95" t="s">
        <v>199</v>
      </c>
      <c r="Z5" s="68" t="s">
        <v>200</v>
      </c>
      <c r="AB5" s="67" t="s">
        <v>111</v>
      </c>
      <c r="AC5" s="93" t="s">
        <v>106</v>
      </c>
      <c r="AD5" s="93" t="s">
        <v>107</v>
      </c>
      <c r="AE5" s="93" t="s">
        <v>108</v>
      </c>
      <c r="AF5" s="100" t="s">
        <v>112</v>
      </c>
      <c r="AG5" s="101" t="s">
        <v>113</v>
      </c>
      <c r="AH5" s="67" t="s">
        <v>114</v>
      </c>
      <c r="AI5" s="68" t="s">
        <v>204</v>
      </c>
      <c r="AJ5" s="69" t="s">
        <v>115</v>
      </c>
      <c r="AL5" s="56" t="s">
        <v>206</v>
      </c>
      <c r="AM5" s="56" t="s">
        <v>214</v>
      </c>
      <c r="AN5" s="56" t="s">
        <v>215</v>
      </c>
      <c r="AO5" s="84" t="s">
        <v>205</v>
      </c>
      <c r="AP5" s="109" t="s">
        <v>167</v>
      </c>
      <c r="AQ5" s="10" t="s">
        <v>211</v>
      </c>
      <c r="AR5" s="10" t="s">
        <v>212</v>
      </c>
      <c r="AS5" s="10" t="s">
        <v>187</v>
      </c>
      <c r="AT5" s="10" t="s">
        <v>213</v>
      </c>
    </row>
    <row r="6" spans="1:46" x14ac:dyDescent="0.3">
      <c r="A6" s="9" t="s">
        <v>65</v>
      </c>
      <c r="B6" s="9">
        <v>25</v>
      </c>
      <c r="C6" s="9"/>
      <c r="D6" s="8">
        <v>0</v>
      </c>
      <c r="E6" s="9" t="s">
        <v>67</v>
      </c>
      <c r="F6" s="9" t="s">
        <v>73</v>
      </c>
      <c r="G6" s="31">
        <f>'DMSPraw (JS)'!W6</f>
        <v>23.72153817388422</v>
      </c>
      <c r="H6" s="31">
        <f>'DMSPraw (JS)'!X6</f>
        <v>0.70427900745077054</v>
      </c>
      <c r="I6" s="31">
        <f>'DMSPraw (JS)'!Y6</f>
        <v>1.2231173041243646</v>
      </c>
      <c r="J6" s="31">
        <f>SUM(G6:I6)</f>
        <v>25.648934485459357</v>
      </c>
      <c r="K6" s="31">
        <f>H6/(G6+H6+I6)*100</f>
        <v>2.745841188256898</v>
      </c>
      <c r="L6" s="87"/>
      <c r="M6" s="31">
        <f>'DMSPraw (JS)'!Z6</f>
        <v>-2.372153817388422E-2</v>
      </c>
      <c r="R6" s="93"/>
      <c r="S6" s="93"/>
      <c r="T6" s="93"/>
      <c r="U6" s="94"/>
      <c r="V6" s="94"/>
      <c r="W6" s="94"/>
      <c r="X6" s="94"/>
      <c r="Y6" s="95"/>
      <c r="Z6" s="68"/>
    </row>
    <row r="7" spans="1:46" x14ac:dyDescent="0.3">
      <c r="A7" s="9" t="s">
        <v>65</v>
      </c>
      <c r="B7" s="9">
        <v>25</v>
      </c>
      <c r="C7" s="9"/>
      <c r="D7" s="8">
        <v>0</v>
      </c>
      <c r="E7" s="9" t="s">
        <v>70</v>
      </c>
      <c r="F7" s="9" t="s">
        <v>73</v>
      </c>
      <c r="G7" s="31">
        <f>'DMSPraw (JS)'!W8</f>
        <v>42.339349049201758</v>
      </c>
      <c r="H7" s="31">
        <f>'DMSPraw (JS)'!X8</f>
        <v>1.2751089941706275</v>
      </c>
      <c r="I7" s="31">
        <f>'DMSPraw (JS)'!Y8</f>
        <v>2.0514754657893053</v>
      </c>
      <c r="J7" s="31">
        <f t="shared" ref="J7:J39" si="0">SUM(G7:I7)</f>
        <v>45.66593350916169</v>
      </c>
      <c r="K7" s="31">
        <f t="shared" ref="K7:K39" si="1">H7/(G7+H7+I7)*100</f>
        <v>2.7922543046553727</v>
      </c>
      <c r="L7" s="87"/>
      <c r="M7" s="31">
        <f>'DMSPraw (JS)'!Z8</f>
        <v>5.2910753996464936E-2</v>
      </c>
    </row>
    <row r="8" spans="1:46" x14ac:dyDescent="0.3">
      <c r="A8" s="9" t="s">
        <v>65</v>
      </c>
      <c r="B8" s="9">
        <v>25</v>
      </c>
      <c r="C8" s="9"/>
      <c r="D8" s="8">
        <v>0</v>
      </c>
      <c r="E8" s="9" t="s">
        <v>71</v>
      </c>
      <c r="F8" s="9" t="s">
        <v>73</v>
      </c>
      <c r="G8" s="31">
        <f>'DMSPraw (JS)'!W9</f>
        <v>8.577116843903692</v>
      </c>
      <c r="H8" s="31">
        <f>'DMSPraw (JS)'!X9</f>
        <v>5.3625787447359401E-2</v>
      </c>
      <c r="I8" s="31">
        <f>'DMSPraw (JS)'!Y9</f>
        <v>0.18665310246909045</v>
      </c>
      <c r="J8" s="31">
        <f t="shared" si="0"/>
        <v>8.8173957338201419</v>
      </c>
      <c r="K8" s="31">
        <f t="shared" si="1"/>
        <v>0.60818170201515942</v>
      </c>
      <c r="L8" s="87"/>
      <c r="M8" s="31">
        <f>'DMSPraw (JS)'!Z9</f>
        <v>0.23558782200766221</v>
      </c>
    </row>
    <row r="9" spans="1:46" x14ac:dyDescent="0.3">
      <c r="A9" s="9" t="s">
        <v>65</v>
      </c>
      <c r="B9" s="9">
        <v>25</v>
      </c>
      <c r="C9" s="9"/>
      <c r="D9" s="8">
        <v>0</v>
      </c>
      <c r="E9" s="9" t="s">
        <v>71</v>
      </c>
      <c r="F9" s="9" t="s">
        <v>73</v>
      </c>
      <c r="G9" s="31">
        <f>'DMSPraw (JS)'!W10</f>
        <v>6.4602224735039222</v>
      </c>
      <c r="H9" s="31">
        <f>'DMSPraw (JS)'!X10</f>
        <v>0.21196693730706517</v>
      </c>
      <c r="I9" s="31">
        <f>'DMSPraw (JS)'!Y10</f>
        <v>0.25771944149801401</v>
      </c>
      <c r="J9" s="31">
        <f t="shared" si="0"/>
        <v>6.9299088523090013</v>
      </c>
      <c r="K9" s="31">
        <f t="shared" si="1"/>
        <v>3.0587261943054149</v>
      </c>
      <c r="L9" s="87"/>
      <c r="M9" s="31">
        <f>'DMSPraw (JS)'!Z10</f>
        <v>0.11828647659058411</v>
      </c>
    </row>
    <row r="10" spans="1:46" x14ac:dyDescent="0.3">
      <c r="A10" s="9" t="s">
        <v>65</v>
      </c>
      <c r="B10" s="9">
        <v>25</v>
      </c>
      <c r="C10" s="9"/>
      <c r="D10" s="8">
        <v>0</v>
      </c>
      <c r="E10" s="9" t="s">
        <v>67</v>
      </c>
      <c r="F10" s="9" t="s">
        <v>75</v>
      </c>
      <c r="G10" s="31">
        <f>'DMSPraw (JS)'!W25</f>
        <v>2412.3468998128865</v>
      </c>
      <c r="H10" s="31">
        <f>'DMSPraw (JS)'!X25</f>
        <v>63.330040750726759</v>
      </c>
      <c r="I10" s="31">
        <f>'DMSPraw (JS)'!Y25</f>
        <v>101.02383087428463</v>
      </c>
      <c r="J10" s="31">
        <f t="shared" si="0"/>
        <v>2576.7007714378979</v>
      </c>
      <c r="K10" s="31">
        <f t="shared" si="1"/>
        <v>2.4577956995521126</v>
      </c>
      <c r="L10" s="87"/>
      <c r="M10" s="31">
        <f>'DMSPraw (JS)'!Z25</f>
        <v>-0.1308483588956344</v>
      </c>
      <c r="T10" s="79"/>
      <c r="V10" s="80"/>
      <c r="W10" s="80"/>
      <c r="Z10" s="79"/>
      <c r="AA10" s="114"/>
      <c r="AB10" s="8">
        <v>30</v>
      </c>
      <c r="AE10" s="79"/>
      <c r="AF10" s="80">
        <f>Picarro!G2</f>
        <v>0.18717966836088878</v>
      </c>
      <c r="AG10" s="80">
        <f>Picarro!H2</f>
        <v>2.0867519619871084E-3</v>
      </c>
      <c r="AH10" s="79">
        <f>AG10/(AF10+AG10)*100</f>
        <v>1.1025473818478992</v>
      </c>
      <c r="AJ10" s="70">
        <f>(AF10+AG10)/AB10*1000</f>
        <v>6.3088806774291966</v>
      </c>
      <c r="AL10" s="45">
        <f>(J10*5)/1000000/(AJ10/12)*100</f>
        <v>2.4505463677476396</v>
      </c>
      <c r="AP10" s="8">
        <v>0.59199999999999997</v>
      </c>
      <c r="AQ10" s="110">
        <f>'Cell Count'!I3</f>
        <v>318666.66666666669</v>
      </c>
      <c r="AR10" s="31">
        <f>'Cell Count'!J3</f>
        <v>5.8416666666666659</v>
      </c>
    </row>
    <row r="11" spans="1:46" x14ac:dyDescent="0.3">
      <c r="A11" s="9" t="s">
        <v>65</v>
      </c>
      <c r="B11" s="9">
        <v>25</v>
      </c>
      <c r="C11" s="9"/>
      <c r="D11" s="8">
        <v>0</v>
      </c>
      <c r="E11" s="9" t="s">
        <v>70</v>
      </c>
      <c r="F11" s="9" t="s">
        <v>75</v>
      </c>
      <c r="G11" s="31">
        <f>'DMSPraw (JS)'!W26</f>
        <v>2259.5237480599249</v>
      </c>
      <c r="H11" s="31">
        <f>'DMSPraw (JS)'!X26</f>
        <v>62.358060902026558</v>
      </c>
      <c r="I11" s="31">
        <f>'DMSPraw (JS)'!Y26</f>
        <v>96.866305924534814</v>
      </c>
      <c r="J11" s="31">
        <f t="shared" si="0"/>
        <v>2418.7481148864863</v>
      </c>
      <c r="K11" s="31">
        <f t="shared" si="1"/>
        <v>2.5781130543621353</v>
      </c>
      <c r="L11" s="87"/>
      <c r="M11" s="31">
        <f>'DMSPraw (JS)'!Z26</f>
        <v>-0.5615911781961429</v>
      </c>
      <c r="T11" s="79"/>
      <c r="V11" s="80"/>
      <c r="W11" s="80"/>
      <c r="AA11" s="114"/>
      <c r="AB11" s="8">
        <v>30</v>
      </c>
      <c r="AE11" s="79"/>
      <c r="AF11" s="80">
        <f>Picarro!G3</f>
        <v>0.19048718914918891</v>
      </c>
      <c r="AG11" s="80">
        <f>Picarro!H3</f>
        <v>2.1256849915288895E-3</v>
      </c>
      <c r="AH11" s="79">
        <f t="shared" ref="AH11:AH12" si="2">AG11/(AF11+AG11)*100</f>
        <v>1.1036048348335847</v>
      </c>
      <c r="AJ11" s="70">
        <f>(AF11+AG11)/AB11*1000</f>
        <v>6.4204291380239278</v>
      </c>
      <c r="AL11" s="45">
        <f t="shared" ref="AL11:AL12" si="3">(J11*5)/1000000/(AJ11/12)*100</f>
        <v>2.2603611654820872</v>
      </c>
      <c r="AP11" s="8">
        <v>0.625</v>
      </c>
      <c r="AQ11" s="110">
        <f>'Cell Count'!I5</f>
        <v>196500</v>
      </c>
      <c r="AR11" s="110">
        <f>'Cell Count'!J5</f>
        <v>5.2833333333333341</v>
      </c>
    </row>
    <row r="12" spans="1:46" x14ac:dyDescent="0.3">
      <c r="A12" s="9" t="s">
        <v>65</v>
      </c>
      <c r="B12" s="9">
        <v>25</v>
      </c>
      <c r="C12" s="9"/>
      <c r="D12" s="8">
        <v>0</v>
      </c>
      <c r="E12" s="9" t="s">
        <v>71</v>
      </c>
      <c r="F12" s="9" t="s">
        <v>75</v>
      </c>
      <c r="G12" s="31">
        <f>'DMSPraw (JS)'!W27</f>
        <v>3198.7133061181162</v>
      </c>
      <c r="H12" s="31">
        <f>'DMSPraw (JS)'!X27</f>
        <v>83.973059925014212</v>
      </c>
      <c r="I12" s="31">
        <f>'DMSPraw (JS)'!Y27</f>
        <v>132.3276400379456</v>
      </c>
      <c r="J12" s="31">
        <f t="shared" si="0"/>
        <v>3415.0140060810759</v>
      </c>
      <c r="K12" s="31">
        <f t="shared" si="1"/>
        <v>2.4589374970493343</v>
      </c>
      <c r="L12" s="87"/>
      <c r="M12" s="31">
        <f>'DMSPraw (JS)'!Z27</f>
        <v>-0.3057235559290592</v>
      </c>
      <c r="T12" s="79"/>
      <c r="V12" s="80"/>
      <c r="W12" s="80"/>
      <c r="AA12" s="114"/>
      <c r="AB12" s="8">
        <v>30</v>
      </c>
      <c r="AE12" s="79"/>
      <c r="AF12" s="80">
        <f>Picarro!G4</f>
        <v>0.21248676754104107</v>
      </c>
      <c r="AG12" s="80">
        <f>Picarro!H4</f>
        <v>2.3544390566882828E-3</v>
      </c>
      <c r="AH12" s="79">
        <f t="shared" si="2"/>
        <v>1.0958973345819809</v>
      </c>
      <c r="AJ12" s="70">
        <f>(AF12+AG12)/AB12*1000</f>
        <v>7.1613735532576452</v>
      </c>
      <c r="AL12" s="45">
        <f t="shared" si="3"/>
        <v>2.861194697372782</v>
      </c>
      <c r="AP12" s="8">
        <v>0.61299999999999999</v>
      </c>
      <c r="AQ12" s="110">
        <f>'Cell Count'!I7</f>
        <v>370000</v>
      </c>
      <c r="AR12" s="110">
        <f>'Cell Count'!J7</f>
        <v>4.55</v>
      </c>
    </row>
    <row r="13" spans="1:46" x14ac:dyDescent="0.3">
      <c r="A13" s="9" t="s">
        <v>65</v>
      </c>
      <c r="B13" s="9">
        <v>25</v>
      </c>
      <c r="C13" s="9"/>
      <c r="D13" s="8">
        <v>0</v>
      </c>
      <c r="E13" s="9" t="s">
        <v>67</v>
      </c>
      <c r="F13" s="9" t="s">
        <v>68</v>
      </c>
      <c r="G13" s="31">
        <f>'DMSPraw (JS)'!W22</f>
        <v>129.88243117648247</v>
      </c>
      <c r="H13" s="31">
        <f>'DMSPraw (JS)'!X22</f>
        <v>3.9747679106037301</v>
      </c>
      <c r="I13" s="31">
        <f>'DMSPraw (JS)'!Y22</f>
        <v>5.8030713549704833</v>
      </c>
      <c r="J13" s="31">
        <f t="shared" si="0"/>
        <v>139.66027044205669</v>
      </c>
      <c r="K13" s="31">
        <f t="shared" si="1"/>
        <v>2.8460262163482004</v>
      </c>
      <c r="L13" s="87"/>
      <c r="M13" s="31">
        <f>'DMSPraw (JS)'!Z22</f>
        <v>7.6351975114369308E-4</v>
      </c>
      <c r="AF13" s="8"/>
      <c r="AG13" s="8"/>
      <c r="AH13" s="79"/>
      <c r="AJ13" s="70"/>
      <c r="AL13" s="45"/>
    </row>
    <row r="14" spans="1:46" x14ac:dyDescent="0.3">
      <c r="A14" s="9" t="s">
        <v>65</v>
      </c>
      <c r="B14" s="9">
        <v>25</v>
      </c>
      <c r="C14" s="9"/>
      <c r="D14" s="8">
        <v>0</v>
      </c>
      <c r="E14" s="9" t="s">
        <v>70</v>
      </c>
      <c r="F14" s="9" t="s">
        <v>68</v>
      </c>
      <c r="G14" s="31">
        <f>'DMSPraw (JS)'!W23</f>
        <v>270.80073066635003</v>
      </c>
      <c r="H14" s="31">
        <f>'DMSPraw (JS)'!X23</f>
        <v>8.2229420179938426</v>
      </c>
      <c r="I14" s="31">
        <f>'DMSPraw (JS)'!Y23</f>
        <v>11.987922266473037</v>
      </c>
      <c r="J14" s="31">
        <f t="shared" si="0"/>
        <v>291.01159495081691</v>
      </c>
      <c r="K14" s="31">
        <f t="shared" si="1"/>
        <v>2.8256406825932761</v>
      </c>
      <c r="L14" s="87"/>
      <c r="M14" s="31">
        <f>'DMSPraw (JS)'!Z23</f>
        <v>-2.2575220358626857E-2</v>
      </c>
      <c r="AF14" s="8"/>
      <c r="AG14" s="8"/>
      <c r="AH14" s="79"/>
      <c r="AJ14" s="70"/>
      <c r="AL14" s="45"/>
    </row>
    <row r="15" spans="1:46" x14ac:dyDescent="0.3">
      <c r="A15" s="9" t="s">
        <v>65</v>
      </c>
      <c r="B15" s="9">
        <v>25</v>
      </c>
      <c r="C15" s="9"/>
      <c r="D15" s="8">
        <v>0</v>
      </c>
      <c r="E15" s="9" t="s">
        <v>71</v>
      </c>
      <c r="F15" s="9" t="s">
        <v>68</v>
      </c>
      <c r="G15" s="31">
        <f>'DMSPraw (JS)'!W24</f>
        <v>208.37155114774387</v>
      </c>
      <c r="H15" s="31">
        <f>'DMSPraw (JS)'!X24</f>
        <v>6.1187357099835156</v>
      </c>
      <c r="I15" s="31">
        <f>'DMSPraw (JS)'!Y24</f>
        <v>9.5448673273521223</v>
      </c>
      <c r="J15" s="31">
        <f t="shared" si="0"/>
        <v>224.03515418507953</v>
      </c>
      <c r="K15" s="31">
        <f t="shared" si="1"/>
        <v>2.7311498198754629</v>
      </c>
      <c r="L15" s="87"/>
      <c r="M15" s="31">
        <f>'DMSPraw (JS)'!Z24</f>
        <v>1.168984641035517E-2</v>
      </c>
      <c r="AF15" s="8"/>
      <c r="AG15" s="8"/>
      <c r="AH15" s="79"/>
      <c r="AJ15" s="70"/>
      <c r="AL15" s="45"/>
    </row>
    <row r="16" spans="1:46" x14ac:dyDescent="0.3">
      <c r="A16" s="9" t="s">
        <v>65</v>
      </c>
      <c r="B16" s="9">
        <v>25</v>
      </c>
      <c r="C16" s="9">
        <v>25</v>
      </c>
      <c r="D16" s="8">
        <v>24</v>
      </c>
      <c r="E16" s="9" t="s">
        <v>67</v>
      </c>
      <c r="F16" s="9" t="s">
        <v>73</v>
      </c>
      <c r="G16" s="31">
        <f>'DMSPraw (JS)'!W14</f>
        <v>19.339234950600758</v>
      </c>
      <c r="H16" s="31">
        <f>'DMSPraw (JS)'!X14</f>
        <v>0.5701115185295228</v>
      </c>
      <c r="I16" s="31">
        <f>'DMSPraw (JS)'!Y14</f>
        <v>0.54813762842322022</v>
      </c>
      <c r="J16" s="31">
        <f t="shared" si="0"/>
        <v>20.4574840975535</v>
      </c>
      <c r="K16" s="31">
        <f t="shared" si="1"/>
        <v>2.7868114955431009</v>
      </c>
      <c r="L16" s="87"/>
      <c r="M16" s="31">
        <f>'DMSPraw (JS)'!Z14</f>
        <v>7.5829603720911285</v>
      </c>
      <c r="Z16" s="79">
        <f>LN(($Y$19-AVERAGE($K$10:$K$12))/($Y$19-K16))/D16*$Y$3</f>
        <v>1.0796095338412477E-3</v>
      </c>
    </row>
    <row r="17" spans="1:46" x14ac:dyDescent="0.3">
      <c r="A17" s="9" t="s">
        <v>65</v>
      </c>
      <c r="B17" s="9">
        <v>25</v>
      </c>
      <c r="C17" s="9">
        <v>25</v>
      </c>
      <c r="D17" s="8">
        <v>24</v>
      </c>
      <c r="E17" s="9" t="s">
        <v>70</v>
      </c>
      <c r="F17" s="9" t="s">
        <v>73</v>
      </c>
      <c r="G17" s="31">
        <f>'DMSPraw (JS)'!W16</f>
        <v>41.94694609518622</v>
      </c>
      <c r="H17" s="31">
        <f>'DMSPraw (JS)'!X16</f>
        <v>1.1525120147055383</v>
      </c>
      <c r="I17" s="31">
        <f>'DMSPraw (JS)'!Y16</f>
        <v>1.085066177259514</v>
      </c>
      <c r="J17" s="31">
        <f t="shared" si="0"/>
        <v>44.18452428715127</v>
      </c>
      <c r="K17" s="31">
        <f t="shared" si="1"/>
        <v>2.6084065253604765</v>
      </c>
      <c r="L17" s="87"/>
      <c r="M17" s="31">
        <f>'DMSPraw (JS)'!Z16</f>
        <v>22.549486812793447</v>
      </c>
      <c r="Z17" s="79">
        <f>LN(($Y$20-AVERAGE($K$10:$K$12))/($Y$20-K17))/D17*$Y$3</f>
        <v>4.2081153164404107E-4</v>
      </c>
    </row>
    <row r="18" spans="1:46" x14ac:dyDescent="0.3">
      <c r="A18" s="9" t="s">
        <v>65</v>
      </c>
      <c r="B18" s="9">
        <v>25</v>
      </c>
      <c r="C18" s="9">
        <v>25</v>
      </c>
      <c r="D18" s="8">
        <v>24</v>
      </c>
      <c r="E18" s="9" t="s">
        <v>71</v>
      </c>
      <c r="F18" s="9" t="s">
        <v>73</v>
      </c>
      <c r="G18" s="31">
        <f>'DMSPraw (JS)'!W17</f>
        <v>15.703862428784467</v>
      </c>
      <c r="H18" s="31">
        <f>'DMSPraw (JS)'!X17</f>
        <v>0.67109253009265479</v>
      </c>
      <c r="I18" s="31">
        <f>'DMSPraw (JS)'!Y17</f>
        <v>0.36619946668348458</v>
      </c>
      <c r="J18" s="31">
        <f t="shared" si="0"/>
        <v>16.741154425560605</v>
      </c>
      <c r="K18" s="31">
        <f t="shared" si="1"/>
        <v>4.0086395061742115</v>
      </c>
      <c r="L18" s="87"/>
      <c r="M18" s="31">
        <f>'DMSPraw (JS)'!Z17</f>
        <v>8.6156523472385071</v>
      </c>
      <c r="Z18" s="79">
        <f>LN(($Y$21-AVERAGE($K$10:$K$12))/($Y$21-K18))/D18*$Y$3</f>
        <v>6.7082425030493302E-3</v>
      </c>
    </row>
    <row r="19" spans="1:46" x14ac:dyDescent="0.3">
      <c r="A19" s="9" t="s">
        <v>65</v>
      </c>
      <c r="B19" s="9">
        <v>25</v>
      </c>
      <c r="C19" s="9">
        <v>25</v>
      </c>
      <c r="D19" s="9">
        <v>24</v>
      </c>
      <c r="E19" s="9" t="s">
        <v>67</v>
      </c>
      <c r="F19" s="9" t="s">
        <v>75</v>
      </c>
      <c r="G19" s="31">
        <f>'DMSPraw (JS)'!W43</f>
        <v>1175.1774398247271</v>
      </c>
      <c r="H19" s="31">
        <f>'DMSPraw (JS)'!X43</f>
        <v>69.401458250894109</v>
      </c>
      <c r="I19" s="31">
        <f>'DMSPraw (JS)'!Y43</f>
        <v>51.373690532627535</v>
      </c>
      <c r="J19" s="31">
        <f t="shared" si="0"/>
        <v>1295.9525886082488</v>
      </c>
      <c r="K19" s="31">
        <f t="shared" si="1"/>
        <v>5.3552467012258385</v>
      </c>
      <c r="L19" s="87"/>
      <c r="M19" s="31">
        <f>'DMSPraw (JS)'!Z43</f>
        <v>87.434440611472709</v>
      </c>
      <c r="N19" s="81">
        <f>(M19-M22-M16)/$N$3*100</f>
        <v>54.149406376250511</v>
      </c>
      <c r="O19" s="81"/>
      <c r="P19" s="81">
        <f>($N$3-M16-M19-M22)/$N$3*100</f>
        <v>34.376200059164603</v>
      </c>
      <c r="Q19" s="82"/>
      <c r="R19" s="31">
        <f>dic!H4</f>
        <v>10861.768050000001</v>
      </c>
      <c r="S19" s="31">
        <f>dic!I4</f>
        <v>1209.6561279299999</v>
      </c>
      <c r="T19" s="31">
        <f>S19/(R19+S19)*100</f>
        <v>10.020823641849946</v>
      </c>
      <c r="U19" s="31">
        <f>T19-$U$3</f>
        <v>8.920823641849946</v>
      </c>
      <c r="V19" s="31">
        <f>1-U19/100</f>
        <v>0.9107917635815006</v>
      </c>
      <c r="W19" s="31">
        <f>U19/100</f>
        <v>8.9208236418499454E-2</v>
      </c>
      <c r="X19" s="31">
        <f>2*V19*W19*100</f>
        <v>16.250025394720112</v>
      </c>
      <c r="Y19" s="31">
        <f>X19/$X$3+AVERAGE($K$10:$K$12)</f>
        <v>14.446830168007549</v>
      </c>
      <c r="Z19" s="112">
        <f>LN(($Y$19-AVERAGE($K$10:$K$12))/($Y$19-K19))/D19*$Y$3</f>
        <v>1.2069013366408849E-2</v>
      </c>
      <c r="AC19" s="31">
        <f>R19</f>
        <v>10861.768050000001</v>
      </c>
      <c r="AD19" s="31">
        <f>S19</f>
        <v>1209.6561279299999</v>
      </c>
      <c r="AE19" s="31">
        <f>AD19/(AC19+AD19)*100</f>
        <v>10.020823641849946</v>
      </c>
      <c r="AP19" s="79">
        <v>0.61099999999999999</v>
      </c>
      <c r="AQ19" s="110">
        <f>'Cell Count'!I4</f>
        <v>164666.66666666666</v>
      </c>
      <c r="AR19" s="110">
        <f>'Cell Count'!J4</f>
        <v>5.3599999999999994</v>
      </c>
      <c r="AS19" s="8">
        <v>23.4</v>
      </c>
      <c r="AT19" s="8">
        <v>1.6000000000000014</v>
      </c>
    </row>
    <row r="20" spans="1:46" x14ac:dyDescent="0.3">
      <c r="A20" s="9" t="s">
        <v>65</v>
      </c>
      <c r="B20" s="9">
        <v>25</v>
      </c>
      <c r="C20" s="9">
        <v>25</v>
      </c>
      <c r="D20" s="9">
        <v>24</v>
      </c>
      <c r="E20" s="9" t="s">
        <v>70</v>
      </c>
      <c r="F20" s="9" t="s">
        <v>75</v>
      </c>
      <c r="G20" s="31">
        <f>'DMSPraw (JS)'!W44</f>
        <v>1099.185000624748</v>
      </c>
      <c r="H20" s="31">
        <f>'DMSPraw (JS)'!X44</f>
        <v>69.090178725202691</v>
      </c>
      <c r="I20" s="31">
        <f>'DMSPraw (JS)'!Y44</f>
        <v>49.260217937981011</v>
      </c>
      <c r="J20" s="31">
        <f t="shared" si="0"/>
        <v>1217.5353972879316</v>
      </c>
      <c r="K20" s="31">
        <f t="shared" si="1"/>
        <v>5.6745930244904201</v>
      </c>
      <c r="L20" s="87"/>
      <c r="M20" s="31">
        <f>'DMSPraw (JS)'!Z44</f>
        <v>86.765225527033181</v>
      </c>
      <c r="N20" s="81">
        <f t="shared" ref="N20:N21" si="4">(M20-M23-M17)/$N$3*100</f>
        <v>42.069616805126707</v>
      </c>
      <c r="O20" s="81"/>
      <c r="P20" s="81">
        <f t="shared" ref="P20:P21" si="5">($N$3-M17-M20-M23)/$N$3*100</f>
        <v>23.213143480423724</v>
      </c>
      <c r="Q20" s="82"/>
      <c r="R20" s="31">
        <f>dic!H6</f>
        <v>11289.922849999999</v>
      </c>
      <c r="S20" s="31">
        <f>dic!I6</f>
        <v>1218.9013061549999</v>
      </c>
      <c r="T20" s="31">
        <f t="shared" ref="T20:T21" si="6">S20/(R20+S20)*100</f>
        <v>9.744331608940529</v>
      </c>
      <c r="U20" s="31">
        <f t="shared" ref="U20:U21" si="7">T20-$U$3</f>
        <v>8.6443316089405293</v>
      </c>
      <c r="V20" s="31">
        <f t="shared" ref="V20:V21" si="8">1-U20/100</f>
        <v>0.91355668391059475</v>
      </c>
      <c r="W20" s="31">
        <f t="shared" ref="W20:W21" si="9">U20/100</f>
        <v>8.6443316089405295E-2</v>
      </c>
      <c r="X20" s="31">
        <f t="shared" ref="X20:X21" si="10">2*V20*W20*100</f>
        <v>15.794173838574494</v>
      </c>
      <c r="Y20" s="31">
        <f>X20/$X$3+AVERAGE($K$10:$K$12)</f>
        <v>14.111645200253419</v>
      </c>
      <c r="Z20" s="79">
        <f>LN(($Y$20-AVERAGE($K$10:$K$12))/($Y$20-K20))/D20*$Y$3</f>
        <v>1.411228564486758E-2</v>
      </c>
      <c r="AC20" s="31">
        <f t="shared" ref="AC20:AC21" si="11">R20</f>
        <v>11289.922849999999</v>
      </c>
      <c r="AD20" s="31">
        <f t="shared" ref="AD20:AD21" si="12">S20</f>
        <v>1218.9013061549999</v>
      </c>
      <c r="AE20" s="31">
        <f t="shared" ref="AE20:AE21" si="13">AD20/(AC20+AD20)*100</f>
        <v>9.744331608940529</v>
      </c>
      <c r="AP20" s="79">
        <v>0.6</v>
      </c>
      <c r="AQ20" s="110">
        <f>'Cell Count'!I6</f>
        <v>170000</v>
      </c>
      <c r="AR20" s="110">
        <f>'Cell Count'!J6</f>
        <v>5.4849999999999994</v>
      </c>
      <c r="AS20" s="8">
        <v>23.9</v>
      </c>
      <c r="AT20" s="8">
        <v>1.1000000000000014</v>
      </c>
    </row>
    <row r="21" spans="1:46" x14ac:dyDescent="0.3">
      <c r="A21" s="9" t="s">
        <v>65</v>
      </c>
      <c r="B21" s="9">
        <v>25</v>
      </c>
      <c r="C21" s="9">
        <v>25</v>
      </c>
      <c r="D21" s="9">
        <v>24</v>
      </c>
      <c r="E21" s="9" t="s">
        <v>71</v>
      </c>
      <c r="F21" s="9" t="s">
        <v>75</v>
      </c>
      <c r="G21" s="31">
        <f>'DMSPraw (JS)'!W45</f>
        <v>1685.1980589554366</v>
      </c>
      <c r="H21" s="31">
        <f>'DMSPraw (JS)'!X45</f>
        <v>102.44853781218916</v>
      </c>
      <c r="I21" s="31">
        <f>'DMSPraw (JS)'!Y45</f>
        <v>74.8830605176246</v>
      </c>
      <c r="J21" s="31">
        <f t="shared" si="0"/>
        <v>1862.5296572852506</v>
      </c>
      <c r="K21" s="31">
        <f t="shared" si="1"/>
        <v>5.5005050476089643</v>
      </c>
      <c r="L21" s="87"/>
      <c r="M21" s="31">
        <f>'DMSPraw (JS)'!Z45</f>
        <v>98.861521478711225</v>
      </c>
      <c r="N21" s="81">
        <f t="shared" si="4"/>
        <v>59.681449491751913</v>
      </c>
      <c r="O21" s="81"/>
      <c r="P21" s="81">
        <f t="shared" si="5"/>
        <v>24.254707740092709</v>
      </c>
      <c r="Q21" s="82"/>
      <c r="R21" s="31">
        <f>dic!H8</f>
        <v>11149.327150000001</v>
      </c>
      <c r="S21" s="31">
        <f>dic!I8</f>
        <v>1104.6970825200001</v>
      </c>
      <c r="T21" s="31">
        <f t="shared" si="6"/>
        <v>9.0149738694683688</v>
      </c>
      <c r="U21" s="31">
        <f t="shared" si="7"/>
        <v>7.9149738694683691</v>
      </c>
      <c r="V21" s="31">
        <f t="shared" si="8"/>
        <v>0.92085026130531633</v>
      </c>
      <c r="W21" s="31">
        <f t="shared" si="9"/>
        <v>7.9149738694683697E-2</v>
      </c>
      <c r="X21" s="31">
        <f t="shared" si="10"/>
        <v>14.577011511849397</v>
      </c>
      <c r="Y21" s="31">
        <f>X21/$X$3+AVERAGE($K$10:$K$12)</f>
        <v>13.216672901190847</v>
      </c>
      <c r="Z21" s="79">
        <f>LN(($Y$21-AVERAGE($K$10:$K$12))/($Y$21-K21))/D21*$Y$3</f>
        <v>1.4515074017426507E-2</v>
      </c>
      <c r="AC21" s="31">
        <f t="shared" si="11"/>
        <v>11149.327150000001</v>
      </c>
      <c r="AD21" s="31">
        <f t="shared" si="12"/>
        <v>1104.6970825200001</v>
      </c>
      <c r="AE21" s="31">
        <f t="shared" si="13"/>
        <v>9.0149738694683688</v>
      </c>
      <c r="AP21" s="79">
        <v>0.59499999999999997</v>
      </c>
      <c r="AQ21" s="110">
        <f>'Cell Count'!I8</f>
        <v>262166.66666666669</v>
      </c>
      <c r="AR21" s="110">
        <f>'Cell Count'!J8</f>
        <v>5.18</v>
      </c>
      <c r="AS21" s="8">
        <v>23.7</v>
      </c>
      <c r="AT21" s="8">
        <v>1.3000000000000007</v>
      </c>
    </row>
    <row r="22" spans="1:46" x14ac:dyDescent="0.3">
      <c r="A22" s="9" t="s">
        <v>65</v>
      </c>
      <c r="B22" s="9">
        <v>25</v>
      </c>
      <c r="C22" s="9">
        <v>25</v>
      </c>
      <c r="D22" s="9">
        <v>24</v>
      </c>
      <c r="E22" s="9" t="s">
        <v>67</v>
      </c>
      <c r="F22" s="9" t="s">
        <v>68</v>
      </c>
      <c r="G22" s="31">
        <f>'DMSPraw (JS)'!W33</f>
        <v>8.7943511695521099</v>
      </c>
      <c r="H22" s="31">
        <f>'DMSPraw (JS)'!X33</f>
        <v>0.43773214243911224</v>
      </c>
      <c r="I22" s="31">
        <f>'DMSPraw (JS)'!Y33</f>
        <v>0.2199276441686431</v>
      </c>
      <c r="J22" s="31">
        <f t="shared" si="0"/>
        <v>9.4520109561598655</v>
      </c>
      <c r="K22" s="31">
        <f t="shared" si="1"/>
        <v>4.6311006670368133</v>
      </c>
      <c r="L22" s="87"/>
      <c r="M22" s="31">
        <f>'DMSPraw (JS)'!Z33</f>
        <v>0.79334693005584889</v>
      </c>
      <c r="Z22" s="79">
        <f>LN(($Y$19-AVERAGE($K$10:$K$12))/($Y$19-K22))/D22*$Y$3</f>
        <v>8.6842099584379818E-3</v>
      </c>
    </row>
    <row r="23" spans="1:46" x14ac:dyDescent="0.3">
      <c r="A23" s="9" t="s">
        <v>65</v>
      </c>
      <c r="B23" s="9">
        <v>25</v>
      </c>
      <c r="C23" s="9">
        <v>25</v>
      </c>
      <c r="D23" s="9">
        <v>24</v>
      </c>
      <c r="E23" s="9" t="s">
        <v>70</v>
      </c>
      <c r="F23" s="9" t="s">
        <v>68</v>
      </c>
      <c r="G23" s="31">
        <f>'DMSPraw (JS)'!W34</f>
        <v>40.21493142351202</v>
      </c>
      <c r="H23" s="31">
        <f>'DMSPraw (JS)'!X34</f>
        <v>2.3097111095739722</v>
      </c>
      <c r="I23" s="31">
        <f>'DMSPraw (JS)'!Y34</f>
        <v>1.8571130542302279</v>
      </c>
      <c r="J23" s="31">
        <f t="shared" si="0"/>
        <v>44.381755587316221</v>
      </c>
      <c r="K23" s="31">
        <f t="shared" si="1"/>
        <v>5.2041905035276708</v>
      </c>
      <c r="L23" s="87"/>
      <c r="M23" s="31">
        <f>'DMSPraw (JS)'!Z34</f>
        <v>2.7940981787547376</v>
      </c>
      <c r="Z23" s="79">
        <f>LN(($Y$20-AVERAGE($K$10:$K$12))/($Y$20-K23))/D23*$Y$3</f>
        <v>1.1715998712293963E-2</v>
      </c>
    </row>
    <row r="24" spans="1:46" x14ac:dyDescent="0.3">
      <c r="A24" s="9" t="s">
        <v>65</v>
      </c>
      <c r="B24" s="9">
        <v>25</v>
      </c>
      <c r="C24" s="9">
        <v>25</v>
      </c>
      <c r="D24" s="9">
        <v>24</v>
      </c>
      <c r="E24" s="9" t="s">
        <v>71</v>
      </c>
      <c r="F24" s="9" t="s">
        <v>68</v>
      </c>
      <c r="G24" s="31">
        <f>'DMSPraw (JS)'!W35</f>
        <v>54.457079752594687</v>
      </c>
      <c r="H24" s="31">
        <f>'DMSPraw (JS)'!X35</f>
        <v>3.2520464721298414</v>
      </c>
      <c r="I24" s="31">
        <f>'DMSPraw (JS)'!Y35</f>
        <v>2.4757895038194113</v>
      </c>
      <c r="J24" s="31">
        <f t="shared" si="0"/>
        <v>60.184915728543942</v>
      </c>
      <c r="K24" s="31">
        <f t="shared" si="1"/>
        <v>5.4034244839649928</v>
      </c>
      <c r="L24" s="87"/>
      <c r="M24" s="31">
        <f>'DMSPraw (JS)'!Z35</f>
        <v>3.1109528735149246</v>
      </c>
      <c r="Z24" s="79">
        <f>LN(($Y$21-AVERAGE($K$10:$K$12))/($Y$21-K24))/D24*$Y$3</f>
        <v>1.3962859990119196E-2</v>
      </c>
      <c r="AN24" s="45">
        <f t="shared" ref="AN24:AN37" si="14">(M24/(J24+M24))*100</f>
        <v>4.9149382767356986</v>
      </c>
    </row>
    <row r="25" spans="1:46" x14ac:dyDescent="0.3">
      <c r="A25" s="9" t="s">
        <v>65</v>
      </c>
      <c r="B25" s="9">
        <v>25</v>
      </c>
      <c r="C25" s="9">
        <v>25</v>
      </c>
      <c r="D25" s="9">
        <v>24</v>
      </c>
      <c r="E25" s="9" t="s">
        <v>67</v>
      </c>
      <c r="F25" s="9" t="s">
        <v>79</v>
      </c>
      <c r="G25" s="31">
        <f>'DMSPraw (JS)'!W50</f>
        <v>1274.5544000724542</v>
      </c>
      <c r="H25" s="31">
        <f>'DMSPraw (JS)'!X50</f>
        <v>75.518342904805991</v>
      </c>
      <c r="I25" s="31">
        <f>'DMSPraw (JS)'!Y50</f>
        <v>58.859124617422417</v>
      </c>
      <c r="J25" s="31">
        <f t="shared" si="0"/>
        <v>1408.9318675946824</v>
      </c>
      <c r="K25" s="31">
        <f t="shared" si="1"/>
        <v>5.35997124074781</v>
      </c>
      <c r="L25" s="87"/>
      <c r="M25" s="31">
        <f>'DMSPraw (JS)'!Z50</f>
        <v>85.09739850459377</v>
      </c>
      <c r="N25" s="81">
        <f>M25/$N$3*100</f>
        <v>58.285889386708057</v>
      </c>
      <c r="O25" s="81">
        <f>(M25)/((J25)+(M25))*100</f>
        <v>5.695832098843181</v>
      </c>
      <c r="Z25" s="79">
        <f>LN(($Y$19-AVERAGE($K$10:$K$12))/($Y$19-K25))/D25*$Y$3</f>
        <v>1.2091971017278543E-2</v>
      </c>
      <c r="AB25" s="8">
        <v>30</v>
      </c>
      <c r="AF25" s="80">
        <f>Picarro!G5</f>
        <v>0.15626372319915874</v>
      </c>
      <c r="AG25" s="80">
        <f>Picarro!H5</f>
        <v>6.1812428190298144E-3</v>
      </c>
      <c r="AH25" s="79">
        <f>AG25/(AF25+AG25)*100</f>
        <v>3.8051304208083101</v>
      </c>
      <c r="AI25" s="71">
        <f>LN(($AE$19-AVERAGE($AH$10:$AH$12))/($AE$19-AH25))/D25</f>
        <v>1.5051434756585021E-2</v>
      </c>
      <c r="AJ25" s="70">
        <f>(AF25+AG25)/AB25*1000</f>
        <v>5.4148322006062859</v>
      </c>
      <c r="AL25" s="45">
        <f>(J25*5)/1000000/(AJ25/12)*100</f>
        <v>1.5611917216237221</v>
      </c>
      <c r="AM25" s="45">
        <f t="shared" ref="AM25:AM39" si="15">(M25*5)/1000000/(AJ25/12)*100</f>
        <v>9.4293668226763092E-2</v>
      </c>
      <c r="AN25" s="45">
        <f t="shared" si="14"/>
        <v>5.695832098843181</v>
      </c>
      <c r="AO25" s="79">
        <f>Z25/AI25</f>
        <v>0.80337663570499762</v>
      </c>
    </row>
    <row r="26" spans="1:46" x14ac:dyDescent="0.3">
      <c r="A26" s="9" t="s">
        <v>65</v>
      </c>
      <c r="B26" s="9">
        <v>25</v>
      </c>
      <c r="C26" s="9">
        <v>25</v>
      </c>
      <c r="D26" s="9">
        <v>24</v>
      </c>
      <c r="E26" s="9" t="s">
        <v>70</v>
      </c>
      <c r="F26" s="9" t="s">
        <v>79</v>
      </c>
      <c r="G26" s="31">
        <f>'DMSPraw (JS)'!W51</f>
        <v>918.47803781090761</v>
      </c>
      <c r="H26" s="31">
        <f>'DMSPraw (JS)'!X51</f>
        <v>58.53139395706097</v>
      </c>
      <c r="I26" s="31">
        <f>'DMSPraw (JS)'!Y51</f>
        <v>42.932490795537809</v>
      </c>
      <c r="J26" s="31">
        <f t="shared" si="0"/>
        <v>1019.9419225635064</v>
      </c>
      <c r="K26" s="31">
        <f t="shared" si="1"/>
        <v>5.7386987104078493</v>
      </c>
      <c r="L26" s="87"/>
      <c r="M26" s="31">
        <f>'DMSPraw (JS)'!Z51</f>
        <v>54.667263436552453</v>
      </c>
      <c r="N26" s="81">
        <f t="shared" ref="N26:N27" si="16">M26/$N$3*100</f>
        <v>37.443331120926338</v>
      </c>
      <c r="O26" s="81">
        <f t="shared" ref="O26:O73" si="17">(M26)/((J26)+(M26))*100</f>
        <v>5.087176263589976</v>
      </c>
      <c r="Z26" s="79">
        <f>LN(($Y$20-AVERAGE($K$10:$K$12))/($Y$20-K26))/D26*$Y$3</f>
        <v>1.4449150417230642E-2</v>
      </c>
      <c r="AB26" s="8">
        <v>30</v>
      </c>
      <c r="AF26" s="80">
        <f>Picarro!G6</f>
        <v>0.14994669139841482</v>
      </c>
      <c r="AG26" s="80">
        <f>Picarro!H6</f>
        <v>5.4901345640785961E-3</v>
      </c>
      <c r="AH26" s="79">
        <f t="shared" ref="AH26:AH27" si="18">AG26/(AF26+AG26)*100</f>
        <v>3.5320681119693957</v>
      </c>
      <c r="AI26" s="71">
        <f>LN(($AE$20-AVERAGE($AH$10:$AH$12))/($AE$20-AH26))/D26</f>
        <v>1.3762476804914221E-2</v>
      </c>
      <c r="AJ26" s="70">
        <f t="shared" ref="AJ26" si="19">(AF26+AG26)/AB26*1000</f>
        <v>5.1812275320831134</v>
      </c>
      <c r="AL26" s="45">
        <f>(J26*5)/1000000/(AJ26/12)*100</f>
        <v>1.1811200140289209</v>
      </c>
      <c r="AM26" s="45">
        <f t="shared" si="15"/>
        <v>6.3306152564861551E-2</v>
      </c>
      <c r="AN26" s="45">
        <f t="shared" si="14"/>
        <v>5.087176263589976</v>
      </c>
      <c r="AO26" s="79">
        <f>Z26/AI26</f>
        <v>1.049894624496023</v>
      </c>
    </row>
    <row r="27" spans="1:46" x14ac:dyDescent="0.3">
      <c r="A27" s="9" t="s">
        <v>65</v>
      </c>
      <c r="B27" s="9">
        <v>25</v>
      </c>
      <c r="C27" s="9">
        <v>25</v>
      </c>
      <c r="D27" s="9">
        <v>24</v>
      </c>
      <c r="E27" s="9" t="s">
        <v>71</v>
      </c>
      <c r="F27" s="9" t="s">
        <v>79</v>
      </c>
      <c r="G27" s="31">
        <f>'DMSPraw (JS)'!W52</f>
        <v>1642.8388286099912</v>
      </c>
      <c r="H27" s="31">
        <f>'DMSPraw (JS)'!X52</f>
        <v>98.618789423210757</v>
      </c>
      <c r="I27" s="31">
        <f>'DMSPraw (JS)'!Y52</f>
        <v>75.10266076991212</v>
      </c>
      <c r="J27" s="31">
        <f t="shared" si="0"/>
        <v>1816.560278803114</v>
      </c>
      <c r="K27" s="31">
        <f t="shared" si="1"/>
        <v>5.428875142430627</v>
      </c>
      <c r="L27" s="87"/>
      <c r="M27" s="31">
        <f>'DMSPraw (JS)'!Z52</f>
        <v>85.998853716060111</v>
      </c>
      <c r="N27" s="81">
        <f t="shared" si="16"/>
        <v>58.903324463054872</v>
      </c>
      <c r="O27" s="81">
        <f t="shared" si="17"/>
        <v>4.5201671919752231</v>
      </c>
      <c r="Z27" s="79">
        <f>LN(($Y$21-AVERAGE($K$10:$K$12))/($Y$21-K27))/D27*$Y$3</f>
        <v>1.4106962088578E-2</v>
      </c>
      <c r="AB27" s="8">
        <v>30</v>
      </c>
      <c r="AF27" s="80">
        <f>Picarro!G7</f>
        <v>0.18213912387295281</v>
      </c>
      <c r="AG27" s="80">
        <f>Picarro!H7</f>
        <v>7.1342369184631263E-3</v>
      </c>
      <c r="AH27" s="79">
        <f t="shared" si="18"/>
        <v>3.7692768219639938</v>
      </c>
      <c r="AI27" s="71">
        <f>LN(($AE$21-AVERAGE($AH$10:$AH$12))/($AE$21-AH27))/D27</f>
        <v>1.7135914263169617E-2</v>
      </c>
      <c r="AJ27" s="70">
        <f>(AF27+AG27)/AB27*1000</f>
        <v>6.3091120263805314</v>
      </c>
      <c r="AL27" s="45">
        <f>(J27*5)/1000000/(AJ27/12)*100</f>
        <v>1.7275587479259786</v>
      </c>
      <c r="AM27" s="45">
        <f t="shared" si="15"/>
        <v>8.1785379644364997E-2</v>
      </c>
      <c r="AN27" s="45">
        <f t="shared" si="14"/>
        <v>4.5201671919752231</v>
      </c>
      <c r="AO27" s="79">
        <f>Z27/AI27</f>
        <v>0.8232395349280095</v>
      </c>
    </row>
    <row r="28" spans="1:46" x14ac:dyDescent="0.3">
      <c r="A28" s="9" t="s">
        <v>65</v>
      </c>
      <c r="B28" s="9">
        <v>25</v>
      </c>
      <c r="C28" s="9">
        <v>45</v>
      </c>
      <c r="D28" s="8">
        <v>24</v>
      </c>
      <c r="E28" s="9" t="s">
        <v>67</v>
      </c>
      <c r="F28" s="9" t="s">
        <v>73</v>
      </c>
      <c r="G28" s="31">
        <f>'DMSPraw (JS)'!W18</f>
        <v>13.913853690454088</v>
      </c>
      <c r="H28" s="31">
        <f>'DMSPraw (JS)'!X18</f>
        <v>0.43125113418977684</v>
      </c>
      <c r="I28" s="31">
        <f>'DMSPraw (JS)'!Y18</f>
        <v>0.43887334522766941</v>
      </c>
      <c r="J28" s="31">
        <f t="shared" si="0"/>
        <v>14.783978169871535</v>
      </c>
      <c r="K28" s="31">
        <f t="shared" si="1"/>
        <v>2.9170168491497726</v>
      </c>
      <c r="L28" s="87"/>
      <c r="M28" s="31">
        <f>'DMSPraw (JS)'!Z18</f>
        <v>3.1372704334694368</v>
      </c>
      <c r="O28" s="81"/>
      <c r="Z28" s="79">
        <f>LN(($Y$31-AVERAGE($K$10:$K$12))/($Y$31-K28))/D28*$Y$3</f>
        <v>1.7038708057495963E-3</v>
      </c>
      <c r="AM28" s="45"/>
      <c r="AN28" s="45">
        <f t="shared" si="14"/>
        <v>17.505869724303533</v>
      </c>
    </row>
    <row r="29" spans="1:46" x14ac:dyDescent="0.3">
      <c r="A29" s="9" t="s">
        <v>65</v>
      </c>
      <c r="B29" s="9">
        <v>25</v>
      </c>
      <c r="C29" s="9">
        <v>45</v>
      </c>
      <c r="D29" s="8">
        <v>24</v>
      </c>
      <c r="E29" s="9" t="s">
        <v>70</v>
      </c>
      <c r="F29" s="9" t="s">
        <v>73</v>
      </c>
      <c r="G29" s="31">
        <f>'DMSPraw (JS)'!W19</f>
        <v>28.306909214311204</v>
      </c>
      <c r="H29" s="31">
        <f>'DMSPraw (JS)'!X19</f>
        <v>0.66986272496477817</v>
      </c>
      <c r="I29" s="31">
        <f>'DMSPraw (JS)'!Y19</f>
        <v>1.0626216909080337</v>
      </c>
      <c r="J29" s="31">
        <f t="shared" si="0"/>
        <v>30.039393630184019</v>
      </c>
      <c r="K29" s="31">
        <f t="shared" si="1"/>
        <v>2.2299475589004247</v>
      </c>
      <c r="L29" s="87"/>
      <c r="M29" s="31">
        <f>'DMSPraw (JS)'!Z19</f>
        <v>8.1058667669848123</v>
      </c>
      <c r="O29" s="81"/>
      <c r="Z29" s="79">
        <f>LN(($Y$32-AVERAGE($K$10:$K$12))/($Y$32-K29))/D29*$Y$3</f>
        <v>-1.1953848469652339E-3</v>
      </c>
      <c r="AM29" s="45"/>
      <c r="AN29" s="45">
        <f t="shared" si="14"/>
        <v>21.249997201713779</v>
      </c>
    </row>
    <row r="30" spans="1:46" x14ac:dyDescent="0.3">
      <c r="A30" s="9" t="s">
        <v>65</v>
      </c>
      <c r="B30" s="9">
        <v>25</v>
      </c>
      <c r="C30" s="9">
        <v>45</v>
      </c>
      <c r="D30" s="8">
        <v>24</v>
      </c>
      <c r="E30" s="9" t="s">
        <v>71</v>
      </c>
      <c r="F30" s="9" t="s">
        <v>73</v>
      </c>
      <c r="G30" s="31">
        <f>'DMSPraw (JS)'!W20</f>
        <v>8.7721883323855181</v>
      </c>
      <c r="H30" s="31">
        <f>'DMSPraw (JS)'!X20</f>
        <v>0.23803578033675651</v>
      </c>
      <c r="I30" s="31">
        <f>'DMSPraw (JS)'!Y20</f>
        <v>0.34500099522126737</v>
      </c>
      <c r="J30" s="31">
        <f t="shared" si="0"/>
        <v>9.3552251079435429</v>
      </c>
      <c r="K30" s="31">
        <f t="shared" si="1"/>
        <v>2.5444153143320922</v>
      </c>
      <c r="L30" s="87"/>
      <c r="M30" s="31">
        <f>'DMSPraw (JS)'!Z20</f>
        <v>2.6877456088657539</v>
      </c>
      <c r="O30" s="81"/>
      <c r="Z30" s="79">
        <f>LN(($Y$33-AVERAGE($K$10:$K$12))/($Y$33-K30))/D30*$Y$3</f>
        <v>1.8389672060256798E-4</v>
      </c>
      <c r="AM30" s="45"/>
      <c r="AN30" s="45">
        <f t="shared" si="14"/>
        <v>22.317961839052398</v>
      </c>
    </row>
    <row r="31" spans="1:46" x14ac:dyDescent="0.3">
      <c r="A31" s="9" t="s">
        <v>65</v>
      </c>
      <c r="B31" s="9">
        <v>25</v>
      </c>
      <c r="C31" s="9">
        <v>45</v>
      </c>
      <c r="D31" s="9">
        <v>24</v>
      </c>
      <c r="E31" s="9" t="s">
        <v>67</v>
      </c>
      <c r="F31" s="9" t="s">
        <v>75</v>
      </c>
      <c r="G31" s="31">
        <f>'DMSPraw (JS)'!W46</f>
        <v>1536.9100577696483</v>
      </c>
      <c r="H31" s="31">
        <f>'DMSPraw (JS)'!X46</f>
        <v>110.14478446544929</v>
      </c>
      <c r="I31" s="31">
        <f>'DMSPraw (JS)'!Y46</f>
        <v>69.620849260585956</v>
      </c>
      <c r="J31" s="31">
        <f t="shared" si="0"/>
        <v>1716.6756914956836</v>
      </c>
      <c r="K31" s="31">
        <f t="shared" si="1"/>
        <v>6.4161673058633291</v>
      </c>
      <c r="L31" s="87"/>
      <c r="M31" s="31">
        <f>'DMSPraw (JS)'!Z46</f>
        <v>87.50792776430113</v>
      </c>
      <c r="N31" s="81">
        <f>(M31-M34-M28)/$N$3*100</f>
        <v>57.63468511733403</v>
      </c>
      <c r="O31" s="81"/>
      <c r="P31" s="81">
        <f>($N$3-M28-M31-M34)/$N$3*100</f>
        <v>37.760811467606445</v>
      </c>
      <c r="Q31" s="82"/>
      <c r="R31" s="31">
        <f>dic!H3</f>
        <v>12595.734033333332</v>
      </c>
      <c r="S31" s="31">
        <f>dic!I3</f>
        <v>1290.8780517566665</v>
      </c>
      <c r="T31" s="31">
        <f>S31/(R31+S31)*100</f>
        <v>9.2958458394807284</v>
      </c>
      <c r="U31" s="31">
        <f>T31-$U$3</f>
        <v>8.1958458394807288</v>
      </c>
      <c r="V31" s="31">
        <f>1-U31/100</f>
        <v>0.91804154160519269</v>
      </c>
      <c r="W31" s="31">
        <f>U31/100</f>
        <v>8.1958458394807282E-2</v>
      </c>
      <c r="X31" s="31">
        <f>2*V31*W31*100</f>
        <v>15.048253898470785</v>
      </c>
      <c r="Y31" s="31">
        <f>X31/$X$3+AVERAGE($K$10:$K$12)</f>
        <v>13.563174656059514</v>
      </c>
      <c r="Z31" s="79">
        <f>LN(($Y$31-AVERAGE($K$10:$K$12))/($Y$31-K31))/D31*$Y$3</f>
        <v>1.9304523370557661E-2</v>
      </c>
      <c r="AC31" s="31">
        <f>R31</f>
        <v>12595.734033333332</v>
      </c>
      <c r="AD31" s="31">
        <f>S31</f>
        <v>1290.8780517566665</v>
      </c>
      <c r="AE31" s="31">
        <f>AD31/(AC31+AD31)*100</f>
        <v>9.2958458394807284</v>
      </c>
      <c r="AM31" s="45"/>
      <c r="AN31" s="45">
        <f t="shared" si="14"/>
        <v>4.8502783658014774</v>
      </c>
      <c r="AP31" s="8">
        <v>0.57599999999999996</v>
      </c>
      <c r="AQ31" s="110">
        <f>'Cell Count'!I35</f>
        <v>153000</v>
      </c>
      <c r="AR31" s="110">
        <f>'Cell Count'!J35</f>
        <v>5.0983333333333336</v>
      </c>
      <c r="AS31" s="8">
        <v>41.5</v>
      </c>
      <c r="AT31" s="8">
        <v>3.5</v>
      </c>
    </row>
    <row r="32" spans="1:46" x14ac:dyDescent="0.3">
      <c r="A32" s="9" t="s">
        <v>65</v>
      </c>
      <c r="B32" s="9">
        <v>25</v>
      </c>
      <c r="C32" s="9">
        <v>45</v>
      </c>
      <c r="D32" s="9">
        <v>24</v>
      </c>
      <c r="E32" s="9" t="s">
        <v>70</v>
      </c>
      <c r="F32" s="9" t="s">
        <v>75</v>
      </c>
      <c r="G32" s="31">
        <f>'DMSPraw (JS)'!W47</f>
        <v>1685.1872121632703</v>
      </c>
      <c r="H32" s="31">
        <f>'DMSPraw (JS)'!X47</f>
        <v>114.53959357089819</v>
      </c>
      <c r="I32" s="31">
        <f>'DMSPraw (JS)'!Y47</f>
        <v>73.516725607873113</v>
      </c>
      <c r="J32" s="31">
        <f t="shared" si="0"/>
        <v>1873.2435313420415</v>
      </c>
      <c r="K32" s="31">
        <f t="shared" si="1"/>
        <v>6.1145062910661157</v>
      </c>
      <c r="L32" s="87"/>
      <c r="M32" s="31">
        <f>'DMSPraw (JS)'!Z47</f>
        <v>101.43198616933431</v>
      </c>
      <c r="N32" s="81">
        <f>(M32-M35-M29)/$N$3*100</f>
        <v>63.446882978196896</v>
      </c>
      <c r="O32" s="81"/>
      <c r="P32" s="81">
        <f t="shared" ref="P32:P33" si="20">($N$3-M29-M32-M35)/$N$3*100</f>
        <v>24.498956718834833</v>
      </c>
      <c r="Q32" s="82"/>
      <c r="R32" s="31">
        <f>dic!H5</f>
        <v>13250.49215</v>
      </c>
      <c r="S32" s="31">
        <f>dic!I5</f>
        <v>1193.6931152350001</v>
      </c>
      <c r="T32" s="31">
        <f t="shared" ref="T32:T33" si="21">S32/(R32+S32)*100</f>
        <v>8.2641775449117318</v>
      </c>
      <c r="U32" s="31">
        <f t="shared" ref="U32:U33" si="22">T32-$U$3</f>
        <v>7.1641775449117322</v>
      </c>
      <c r="V32" s="31">
        <f t="shared" ref="V32:V33" si="23">1-U32/100</f>
        <v>0.92835822455088268</v>
      </c>
      <c r="W32" s="31">
        <f t="shared" ref="W32:W33" si="24">U32/100</f>
        <v>7.1641775449117318E-2</v>
      </c>
      <c r="X32" s="31">
        <f t="shared" ref="X32:X33" si="25">2*V32*W32*100</f>
        <v>13.301846291923114</v>
      </c>
      <c r="Y32" s="31">
        <f>X32/$X$3+AVERAGE($K$10:$K$12)</f>
        <v>12.279051415950933</v>
      </c>
      <c r="Z32" s="79">
        <f>LN(($Y$32-AVERAGE($K$10:$K$12))/($Y$32-K32))/D32*$Y$3</f>
        <v>2.0387500917848238E-2</v>
      </c>
      <c r="AC32" s="31">
        <f>R32</f>
        <v>13250.49215</v>
      </c>
      <c r="AD32" s="31">
        <f t="shared" ref="AD32:AD33" si="26">S32</f>
        <v>1193.6931152350001</v>
      </c>
      <c r="AE32" s="31">
        <f t="shared" ref="AE32:AE33" si="27">AD32/(AC32+AD32)*100</f>
        <v>8.2641775449117318</v>
      </c>
      <c r="AM32" s="45"/>
      <c r="AN32" s="45">
        <f t="shared" si="14"/>
        <v>5.1366406920953773</v>
      </c>
      <c r="AP32" s="8">
        <v>0.57599999999999996</v>
      </c>
      <c r="AQ32" s="110">
        <f>'Cell Count'!I36</f>
        <v>125100</v>
      </c>
      <c r="AR32" s="110">
        <f>'Cell Count'!J36</f>
        <v>5.28</v>
      </c>
      <c r="AS32" s="8">
        <v>43.1</v>
      </c>
      <c r="AT32" s="8">
        <v>1.8999999999999986</v>
      </c>
    </row>
    <row r="33" spans="1:46" x14ac:dyDescent="0.3">
      <c r="A33" s="9" t="s">
        <v>65</v>
      </c>
      <c r="B33" s="9">
        <v>25</v>
      </c>
      <c r="C33" s="9">
        <v>45</v>
      </c>
      <c r="D33" s="9">
        <v>24</v>
      </c>
      <c r="E33" s="9" t="s">
        <v>71</v>
      </c>
      <c r="F33" s="9" t="s">
        <v>75</v>
      </c>
      <c r="G33" s="31">
        <f>'DMSPraw (JS)'!W48</f>
        <v>2017.4865601394038</v>
      </c>
      <c r="H33" s="31">
        <f>'DMSPraw (JS)'!X48</f>
        <v>145.37159063300351</v>
      </c>
      <c r="I33" s="31">
        <f>'DMSPraw (JS)'!Y48</f>
        <v>88.868499363983361</v>
      </c>
      <c r="J33" s="31">
        <f t="shared" si="0"/>
        <v>2251.7266501363911</v>
      </c>
      <c r="K33" s="31">
        <f t="shared" si="1"/>
        <v>6.4560052448727774</v>
      </c>
      <c r="L33" s="87"/>
      <c r="M33" s="31">
        <f>'DMSPraw (JS)'!Z48</f>
        <v>101.51367441796376</v>
      </c>
      <c r="N33" s="81">
        <f t="shared" ref="N33" si="28">(M33-M36-M30)/$N$3*100</f>
        <v>66.931416540742859</v>
      </c>
      <c r="O33" s="81"/>
      <c r="P33" s="81">
        <f t="shared" si="20"/>
        <v>27.871588570929489</v>
      </c>
      <c r="Q33" s="82"/>
      <c r="R33" s="31">
        <f>dic!H7</f>
        <v>12083.34035</v>
      </c>
      <c r="S33" s="31">
        <f>dic!I7</f>
        <v>1242.9143066400002</v>
      </c>
      <c r="T33" s="31">
        <f t="shared" si="21"/>
        <v>9.3268089096639013</v>
      </c>
      <c r="U33" s="31">
        <f t="shared" si="22"/>
        <v>8.2268089096639017</v>
      </c>
      <c r="V33" s="31">
        <f t="shared" si="23"/>
        <v>0.91773191090336104</v>
      </c>
      <c r="W33" s="31">
        <f t="shared" si="24"/>
        <v>8.2268089096639019E-2</v>
      </c>
      <c r="X33" s="31">
        <f t="shared" si="25"/>
        <v>15.100010122605298</v>
      </c>
      <c r="Y33" s="31">
        <f>X33/$X$3+AVERAGE($K$10:$K$12)</f>
        <v>13.601230703217244</v>
      </c>
      <c r="Z33" s="79">
        <f>LN(($Y$33-AVERAGE($K$10:$K$12))/($Y$33-K33))/D33*$Y$3</f>
        <v>1.946718040789935E-2</v>
      </c>
      <c r="AA33" s="114"/>
      <c r="AC33" s="31">
        <f t="shared" ref="AC33" si="29">R33</f>
        <v>12083.34035</v>
      </c>
      <c r="AD33" s="31">
        <f t="shared" si="26"/>
        <v>1242.9143066400002</v>
      </c>
      <c r="AE33" s="31">
        <f t="shared" si="27"/>
        <v>9.3268089096639013</v>
      </c>
      <c r="AM33" s="45"/>
      <c r="AN33" s="45">
        <f t="shared" si="14"/>
        <v>4.3137827173341474</v>
      </c>
      <c r="AP33" s="8">
        <v>0.57799999999999996</v>
      </c>
      <c r="AQ33" s="110">
        <f>'Cell Count'!I37</f>
        <v>339000</v>
      </c>
      <c r="AR33" s="110">
        <f>'Cell Count'!J37</f>
        <v>5.6916666666666664</v>
      </c>
      <c r="AS33" s="8">
        <v>43.2</v>
      </c>
      <c r="AT33" s="8">
        <v>1.7999999999999972</v>
      </c>
    </row>
    <row r="34" spans="1:46" x14ac:dyDescent="0.3">
      <c r="A34" s="9" t="s">
        <v>65</v>
      </c>
      <c r="B34" s="9">
        <v>25</v>
      </c>
      <c r="C34" s="9">
        <v>45</v>
      </c>
      <c r="D34" s="9">
        <v>24</v>
      </c>
      <c r="E34" s="9" t="s">
        <v>67</v>
      </c>
      <c r="F34" s="9" t="s">
        <v>68</v>
      </c>
      <c r="G34" s="31">
        <f>'DMSPraw (JS)'!W36</f>
        <v>3.2404858741026792</v>
      </c>
      <c r="H34" s="31">
        <f>'DMSPraw (JS)'!X36</f>
        <v>0.24675831741976983</v>
      </c>
      <c r="I34" s="31">
        <f>'DMSPraw (JS)'!Y36</f>
        <v>7.5505411797587477E-2</v>
      </c>
      <c r="J34" s="31">
        <f t="shared" si="0"/>
        <v>3.5627496033200363</v>
      </c>
      <c r="K34" s="31">
        <f t="shared" si="1"/>
        <v>6.9260639925360454</v>
      </c>
      <c r="L34" s="87"/>
      <c r="M34" s="31">
        <f>'DMSPraw (JS)'!Z36</f>
        <v>0.22401705952401768</v>
      </c>
      <c r="O34" s="81"/>
      <c r="Z34" s="79">
        <f>LN(($Y$31-AVERAGE($K$10:$K$12))/($Y$31-K34))/D34*$Y$3</f>
        <v>2.2573607047720854E-2</v>
      </c>
      <c r="AM34" s="45"/>
      <c r="AN34" s="45">
        <f t="shared" si="14"/>
        <v>5.9157872525414463</v>
      </c>
    </row>
    <row r="35" spans="1:46" x14ac:dyDescent="0.3">
      <c r="A35" s="9" t="s">
        <v>65</v>
      </c>
      <c r="B35" s="9">
        <v>25</v>
      </c>
      <c r="C35" s="9">
        <v>45</v>
      </c>
      <c r="D35" s="9">
        <v>24</v>
      </c>
      <c r="E35" s="9" t="s">
        <v>70</v>
      </c>
      <c r="F35" s="9" t="s">
        <v>68</v>
      </c>
      <c r="G35" s="31">
        <f>'DMSPraw (JS)'!W37</f>
        <v>15.308085979947398</v>
      </c>
      <c r="H35" s="31">
        <f>'DMSPraw (JS)'!X37</f>
        <v>1.3019245579881817</v>
      </c>
      <c r="I35" s="31">
        <f>'DMSPraw (JS)'!Y37</f>
        <v>0.81245533090710442</v>
      </c>
      <c r="J35" s="31">
        <f t="shared" si="0"/>
        <v>17.422465868842686</v>
      </c>
      <c r="K35" s="31">
        <f t="shared" si="1"/>
        <v>7.4726767599325141</v>
      </c>
      <c r="L35" s="87"/>
      <c r="M35" s="31">
        <f>'DMSPraw (JS)'!Z37</f>
        <v>0.69367025418202899</v>
      </c>
      <c r="O35" s="81"/>
      <c r="Z35" s="79">
        <f>LN(($Y$32-AVERAGE($K$10:$K$12))/($Y$32-K35))/D35*$Y$3</f>
        <v>3.1379314912325811E-2</v>
      </c>
      <c r="AM35" s="45"/>
      <c r="AN35" s="45">
        <f t="shared" si="14"/>
        <v>3.8290187790122001</v>
      </c>
    </row>
    <row r="36" spans="1:46" x14ac:dyDescent="0.3">
      <c r="A36" s="9" t="s">
        <v>65</v>
      </c>
      <c r="B36" s="9">
        <v>25</v>
      </c>
      <c r="C36" s="9">
        <v>45</v>
      </c>
      <c r="D36" s="9">
        <v>24</v>
      </c>
      <c r="E36" s="9" t="s">
        <v>71</v>
      </c>
      <c r="F36" s="9" t="s">
        <v>68</v>
      </c>
      <c r="G36" s="31">
        <f>'DMSPraw (JS)'!W38</f>
        <v>36.695160865110246</v>
      </c>
      <c r="H36" s="31">
        <f>'DMSPraw (JS)'!X38</f>
        <v>2.2252933227955896</v>
      </c>
      <c r="I36" s="31">
        <f>'DMSPraw (JS)'!Y38</f>
        <v>1.5768261503247041</v>
      </c>
      <c r="J36" s="31">
        <f t="shared" si="0"/>
        <v>40.497280338230539</v>
      </c>
      <c r="K36" s="31">
        <f t="shared" si="1"/>
        <v>5.4949204099882527</v>
      </c>
      <c r="L36" s="87"/>
      <c r="M36" s="31">
        <f>'DMSPraw (JS)'!Z38</f>
        <v>1.1060606596134326</v>
      </c>
      <c r="O36" s="81"/>
      <c r="Z36" s="79">
        <f>LN(($Y$33-AVERAGE($K$10:$K$12))/($Y$33-K36))/D36*$Y$3</f>
        <v>1.3893415915445829E-2</v>
      </c>
      <c r="AM36" s="45"/>
      <c r="AN36" s="45">
        <f t="shared" si="14"/>
        <v>2.6585861449703101</v>
      </c>
    </row>
    <row r="37" spans="1:46" x14ac:dyDescent="0.3">
      <c r="A37" s="9" t="s">
        <v>65</v>
      </c>
      <c r="B37" s="9">
        <v>25</v>
      </c>
      <c r="C37" s="9">
        <v>45</v>
      </c>
      <c r="D37" s="9">
        <v>24</v>
      </c>
      <c r="E37" s="9" t="s">
        <v>67</v>
      </c>
      <c r="F37" s="9" t="s">
        <v>79</v>
      </c>
      <c r="G37" s="31">
        <f>'DMSPraw (JS)'!W53</f>
        <v>1938.2640156683299</v>
      </c>
      <c r="H37" s="31">
        <f>'DMSPraw (JS)'!X53</f>
        <v>133.97353773117464</v>
      </c>
      <c r="I37" s="31">
        <f>'DMSPraw (JS)'!Y53</f>
        <v>88.241617135622263</v>
      </c>
      <c r="J37" s="31">
        <f t="shared" si="0"/>
        <v>2160.4791705351267</v>
      </c>
      <c r="K37" s="31">
        <f t="shared" si="1"/>
        <v>6.2011029570810852</v>
      </c>
      <c r="L37" s="87"/>
      <c r="M37" s="31">
        <f>'DMSPraw (JS)'!Z53</f>
        <v>90.642555226987838</v>
      </c>
      <c r="N37" s="81">
        <f>M37/$N$3*100</f>
        <v>62.083941936293044</v>
      </c>
      <c r="O37" s="81">
        <f t="shared" si="17"/>
        <v>4.0265505942954238</v>
      </c>
      <c r="Z37" s="79">
        <f>LN(($Y$31-AVERAGE($K$10:$K$12))/($Y$31-K37))/D37*$Y$3</f>
        <v>1.7995085172979465E-2</v>
      </c>
      <c r="AB37" s="8">
        <v>30</v>
      </c>
      <c r="AF37" s="80">
        <f>Picarro!G8</f>
        <v>0.13531689743140349</v>
      </c>
      <c r="AG37" s="80">
        <f>Picarro!H8</f>
        <v>3.2849525812545031E-3</v>
      </c>
      <c r="AH37" s="79">
        <f>AG37/(AF37+AG37)*100</f>
        <v>2.3700640222006424</v>
      </c>
      <c r="AI37" s="71">
        <f>LN(($AE$31-AVERAGE($AH$10:$AH$12))/($AE$31-AH37))/D37</f>
        <v>7.0122131942680624E-3</v>
      </c>
      <c r="AJ37" s="70">
        <f>(AF37+AG37)/AB37*1000</f>
        <v>4.6200616670885992</v>
      </c>
      <c r="AL37" s="45">
        <f>(J37*5)/1000000/(AJ37/12)*100</f>
        <v>2.8057796534520092</v>
      </c>
      <c r="AM37" s="45">
        <f t="shared" si="15"/>
        <v>0.11771603293439276</v>
      </c>
      <c r="AN37" s="45">
        <f t="shared" si="14"/>
        <v>4.0265505942954238</v>
      </c>
      <c r="AO37" s="79">
        <f>Z37/AI37</f>
        <v>2.5662490107529878</v>
      </c>
    </row>
    <row r="38" spans="1:46" x14ac:dyDescent="0.3">
      <c r="A38" s="9" t="s">
        <v>65</v>
      </c>
      <c r="B38" s="9">
        <v>25</v>
      </c>
      <c r="C38" s="9">
        <v>45</v>
      </c>
      <c r="D38" s="9">
        <v>24</v>
      </c>
      <c r="E38" s="9" t="s">
        <v>70</v>
      </c>
      <c r="F38" s="9" t="s">
        <v>79</v>
      </c>
      <c r="G38" s="31">
        <f>'DMSPraw (JS)'!W54</f>
        <v>1576.2118163039256</v>
      </c>
      <c r="H38" s="31">
        <f>'DMSPraw (JS)'!X54</f>
        <v>109.6843875018902</v>
      </c>
      <c r="I38" s="31">
        <f>'DMSPraw (JS)'!Y54</f>
        <v>72.934664969519659</v>
      </c>
      <c r="J38" s="31">
        <f>SUM(G38:I38)</f>
        <v>1758.8308687753354</v>
      </c>
      <c r="K38" s="31">
        <f t="shared" si="1"/>
        <v>6.2362100557322409</v>
      </c>
      <c r="L38" s="87"/>
      <c r="M38" s="31">
        <f>'DMSPraw (JS)'!Z54</f>
        <v>89.197823886906946</v>
      </c>
      <c r="N38" s="81">
        <f t="shared" ref="N38:N39" si="30">M38/$N$3*100</f>
        <v>61.094399922538997</v>
      </c>
      <c r="O38" s="81">
        <f t="shared" si="17"/>
        <v>4.8266471316746662</v>
      </c>
      <c r="Z38" s="79">
        <f>LN(($Y$32-AVERAGE($K$10:$K$12))/($Y$32-K38))/D38*$Y$3</f>
        <v>2.1268185364673346E-2</v>
      </c>
      <c r="AB38" s="8">
        <v>30</v>
      </c>
      <c r="AF38" s="80">
        <f>Picarro!G9</f>
        <v>0.212248562832272</v>
      </c>
      <c r="AG38" s="80">
        <f>Picarro!H9</f>
        <v>4.7012541138439371E-3</v>
      </c>
      <c r="AH38" s="79">
        <f t="shared" ref="AH38" si="31">AG38/(AF38+AG38)*100</f>
        <v>2.1669776817611197</v>
      </c>
      <c r="AI38" s="71">
        <f>LN(($AE$32-AVERAGE($AH$10:$AH$12))/($AE$32-AH38))/D38</f>
        <v>6.715344759457279E-3</v>
      </c>
      <c r="AJ38" s="70">
        <f t="shared" ref="AJ38:AJ39" si="32">(AF38+AG38)/AB38*1000</f>
        <v>7.2316605648705314</v>
      </c>
      <c r="AL38" s="45">
        <f>(J38*5)/1000000/(AJ38/12)*100</f>
        <v>1.4592755174261893</v>
      </c>
      <c r="AM38" s="45">
        <f t="shared" si="15"/>
        <v>7.4006092863544565E-2</v>
      </c>
      <c r="AN38" s="45"/>
      <c r="AO38" s="79">
        <f>Z38/AI38</f>
        <v>3.1671025280900396</v>
      </c>
    </row>
    <row r="39" spans="1:46" x14ac:dyDescent="0.3">
      <c r="A39" s="9" t="s">
        <v>65</v>
      </c>
      <c r="B39" s="9">
        <v>25</v>
      </c>
      <c r="C39" s="9">
        <v>45</v>
      </c>
      <c r="D39" s="9">
        <v>24</v>
      </c>
      <c r="E39" s="9" t="s">
        <v>71</v>
      </c>
      <c r="F39" s="9" t="s">
        <v>79</v>
      </c>
      <c r="G39" s="31">
        <f>'DMSPraw (JS)'!W55</f>
        <v>2044.8519428264574</v>
      </c>
      <c r="H39" s="31">
        <f>'DMSPraw (JS)'!X55</f>
        <v>147.4639785853532</v>
      </c>
      <c r="I39" s="31">
        <f>'DMSPraw (JS)'!Y55</f>
        <v>94.350557138075985</v>
      </c>
      <c r="J39" s="31">
        <f t="shared" si="0"/>
        <v>2286.6664785498865</v>
      </c>
      <c r="K39" s="31">
        <f t="shared" si="1"/>
        <v>6.4488625677877183</v>
      </c>
      <c r="L39" s="87"/>
      <c r="M39" s="31">
        <f>'DMSPraw (JS)'!Z55</f>
        <v>95.094028305831117</v>
      </c>
      <c r="N39" s="81">
        <f t="shared" si="30"/>
        <v>65.132896099884334</v>
      </c>
      <c r="O39" s="81">
        <f t="shared" si="17"/>
        <v>3.9925940510017752</v>
      </c>
      <c r="Z39" s="79">
        <f>LN(($Y$33-AVERAGE($K$10:$K$12))/($Y$33-K39))/D39*$Y$3</f>
        <v>1.9423051546339762E-2</v>
      </c>
      <c r="AB39" s="8">
        <v>30</v>
      </c>
      <c r="AF39" s="80">
        <f>Picarro!G10</f>
        <v>0.17294234971081382</v>
      </c>
      <c r="AG39" s="80">
        <f>Picarro!H10</f>
        <v>5.2771640279644016E-3</v>
      </c>
      <c r="AH39" s="79">
        <f>AG39/(AF39+AG39)*100</f>
        <v>2.9610472597850883</v>
      </c>
      <c r="AI39" s="71">
        <f>LN(($AE$33-AVERAGE($AH$10:$AH$12))/($AE$33-AH39))/D39</f>
        <v>1.0682552775476374E-2</v>
      </c>
      <c r="AJ39" s="70">
        <f t="shared" si="32"/>
        <v>5.9406504579592738</v>
      </c>
      <c r="AL39" s="45">
        <f t="shared" ref="AL39" si="33">(J39*5)/1000000/(AJ39/12)*100</f>
        <v>2.3095112173983048</v>
      </c>
      <c r="AM39" s="45">
        <f t="shared" si="15"/>
        <v>9.60440567700033E-2</v>
      </c>
      <c r="AN39" s="45"/>
      <c r="AO39" s="79">
        <f>Z39/AI39</f>
        <v>1.8182031911818584</v>
      </c>
    </row>
    <row r="40" spans="1:46" x14ac:dyDescent="0.3">
      <c r="O40" s="81"/>
      <c r="AM40" s="45"/>
      <c r="AN40" s="45"/>
    </row>
    <row r="41" spans="1:46" x14ac:dyDescent="0.3">
      <c r="O41" s="81"/>
      <c r="AM41" s="45"/>
      <c r="AN41" s="45"/>
    </row>
    <row r="42" spans="1:46" x14ac:dyDescent="0.3">
      <c r="A42" s="1" t="s">
        <v>65</v>
      </c>
      <c r="B42" s="1">
        <v>45</v>
      </c>
      <c r="C42" s="1"/>
      <c r="D42" s="1">
        <v>0</v>
      </c>
      <c r="E42" s="1" t="s">
        <v>67</v>
      </c>
      <c r="F42" s="1" t="s">
        <v>73</v>
      </c>
      <c r="G42" s="31">
        <f>'DMSPraw (JS)'!W40</f>
        <v>10.627909909524814</v>
      </c>
      <c r="H42" s="31">
        <f>'DMSPraw (JS)'!X40</f>
        <v>0.2954878134061894</v>
      </c>
      <c r="I42" s="31">
        <f>'DMSPraw (JS)'!Y40</f>
        <v>0.31438867323435321</v>
      </c>
      <c r="J42" s="31">
        <f t="shared" ref="J42:J73" si="34">SUM(G42:I42)</f>
        <v>11.237786396165356</v>
      </c>
      <c r="K42" s="31">
        <f t="shared" ref="K42:K73" si="35">H42/(G42+H42+I42)*100</f>
        <v>2.6294129732437166</v>
      </c>
      <c r="L42" s="87"/>
      <c r="M42" s="31">
        <f>'DMSPraw (JS)'!Z40</f>
        <v>-4.855920742539631E-3</v>
      </c>
      <c r="O42" s="81"/>
      <c r="AM42" s="45"/>
      <c r="AN42" s="45"/>
    </row>
    <row r="43" spans="1:46" x14ac:dyDescent="0.3">
      <c r="A43" s="1" t="s">
        <v>65</v>
      </c>
      <c r="B43" s="1">
        <v>45</v>
      </c>
      <c r="C43" s="1"/>
      <c r="D43" s="1">
        <v>0</v>
      </c>
      <c r="E43" s="1" t="s">
        <v>70</v>
      </c>
      <c r="F43" s="1" t="s">
        <v>73</v>
      </c>
      <c r="G43" s="31">
        <f>'DMSPraw (JS)'!W41</f>
        <v>10.6588451832266</v>
      </c>
      <c r="H43" s="31">
        <f>'DMSPraw (JS)'!X41</f>
        <v>0.28870429673856712</v>
      </c>
      <c r="I43" s="31">
        <f>'DMSPraw (JS)'!Y41</f>
        <v>0.49605749847619879</v>
      </c>
      <c r="J43" s="31">
        <f t="shared" si="34"/>
        <v>11.443606978441366</v>
      </c>
      <c r="K43" s="31">
        <f t="shared" si="35"/>
        <v>2.5228435167553176</v>
      </c>
      <c r="L43" s="87"/>
      <c r="M43" s="31">
        <f>'DMSPraw (JS)'!Z41</f>
        <v>1.1261901905738758E-2</v>
      </c>
      <c r="O43" s="81"/>
      <c r="AM43" s="45"/>
      <c r="AN43" s="45"/>
    </row>
    <row r="44" spans="1:46" x14ac:dyDescent="0.3">
      <c r="A44" s="1" t="s">
        <v>65</v>
      </c>
      <c r="B44" s="1">
        <v>45</v>
      </c>
      <c r="C44" s="1"/>
      <c r="D44" s="1">
        <v>0</v>
      </c>
      <c r="E44" s="1" t="s">
        <v>71</v>
      </c>
      <c r="F44" s="1" t="s">
        <v>73</v>
      </c>
      <c r="G44" s="31">
        <f>'DMSPraw (JS)'!W42</f>
        <v>10.07467411388242</v>
      </c>
      <c r="H44" s="31">
        <f>'DMSPraw (JS)'!X42</f>
        <v>0.32013350690008641</v>
      </c>
      <c r="I44" s="31">
        <f>'DMSPraw (JS)'!Y42</f>
        <v>0.41344302438497998</v>
      </c>
      <c r="J44" s="31">
        <f t="shared" si="34"/>
        <v>10.808250645167487</v>
      </c>
      <c r="K44" s="31">
        <f t="shared" si="35"/>
        <v>2.9619363707412019</v>
      </c>
      <c r="L44" s="87"/>
      <c r="M44" s="31">
        <f>'DMSPraw (JS)'!Z42</f>
        <v>5.8911835727902984E-2</v>
      </c>
      <c r="O44" s="81"/>
      <c r="AH44" s="79"/>
      <c r="AJ44" s="70"/>
      <c r="AL44" s="45"/>
      <c r="AM44" s="45"/>
      <c r="AN44" s="45"/>
    </row>
    <row r="45" spans="1:46" x14ac:dyDescent="0.3">
      <c r="A45" s="1" t="s">
        <v>65</v>
      </c>
      <c r="B45" s="1">
        <v>45</v>
      </c>
      <c r="C45" s="1"/>
      <c r="D45" s="1">
        <v>0</v>
      </c>
      <c r="E45" s="1" t="s">
        <v>67</v>
      </c>
      <c r="F45" s="1" t="s">
        <v>75</v>
      </c>
      <c r="G45" s="31">
        <f>'DMSPraw (JS)'!W70</f>
        <v>11751.441216219535</v>
      </c>
      <c r="H45" s="31">
        <f>'DMSPraw (JS)'!X70</f>
        <v>229.28953615392047</v>
      </c>
      <c r="I45" s="31">
        <f>'DMSPraw (JS)'!Y70</f>
        <v>388.62413044157427</v>
      </c>
      <c r="J45" s="31">
        <f t="shared" si="34"/>
        <v>12369.354882815031</v>
      </c>
      <c r="K45" s="113">
        <f>H45/(G45+H45+I45)*100</f>
        <v>1.8536903365306188</v>
      </c>
      <c r="L45" s="87"/>
      <c r="M45" s="31">
        <f>'DMSPraw (JS)'!Z70</f>
        <v>-3.018909155510574</v>
      </c>
      <c r="O45" s="81"/>
      <c r="T45" s="79"/>
      <c r="V45" s="80"/>
      <c r="W45" s="80"/>
      <c r="AB45" s="8">
        <v>30</v>
      </c>
      <c r="AE45" s="79"/>
      <c r="AF45" s="8">
        <f>[1]Picarro!G12</f>
        <v>0.27803772078440536</v>
      </c>
      <c r="AG45" s="8">
        <f>[1]Picarro!H12</f>
        <v>3.0772945025413336E-3</v>
      </c>
      <c r="AH45" s="79">
        <f t="shared" ref="AH45:AH46" si="36">AG45/(AF45+AG45)*100</f>
        <v>1.0946745407392064</v>
      </c>
      <c r="AJ45" s="70">
        <f t="shared" ref="AJ45:AJ46" si="37">(AF45+AG45)/AB45*1000</f>
        <v>9.3705005095648914</v>
      </c>
      <c r="AL45" s="45">
        <f t="shared" ref="AL45:AL46" si="38">(J45*5)/1000000/(AJ45/12)*100</f>
        <v>7.9201883849357291</v>
      </c>
      <c r="AM45" s="45"/>
      <c r="AN45" s="45"/>
      <c r="AP45" s="8">
        <v>0.61299999999999999</v>
      </c>
      <c r="AQ45" s="110">
        <f>'Cell Count'!I9</f>
        <v>303500</v>
      </c>
      <c r="AR45" s="110">
        <f>'Cell Count'!J9</f>
        <v>4.53</v>
      </c>
    </row>
    <row r="46" spans="1:46" x14ac:dyDescent="0.3">
      <c r="A46" s="1" t="s">
        <v>65</v>
      </c>
      <c r="B46" s="1">
        <v>45</v>
      </c>
      <c r="C46" s="1"/>
      <c r="D46" s="1">
        <v>0</v>
      </c>
      <c r="E46" s="1" t="s">
        <v>70</v>
      </c>
      <c r="F46" s="1" t="s">
        <v>75</v>
      </c>
      <c r="G46" s="31">
        <f>'DMSPraw (JS)'!W71</f>
        <v>8442.799730251274</v>
      </c>
      <c r="H46" s="31">
        <f>'DMSPraw (JS)'!X71</f>
        <v>184.10888041109345</v>
      </c>
      <c r="I46" s="31">
        <f>'DMSPraw (JS)'!Y71</f>
        <v>303.58075961313364</v>
      </c>
      <c r="J46" s="31">
        <f t="shared" si="34"/>
        <v>8930.4893702755016</v>
      </c>
      <c r="K46" s="113">
        <f t="shared" si="35"/>
        <v>2.0615766144225729</v>
      </c>
      <c r="L46" s="87"/>
      <c r="M46" s="31">
        <f>'DMSPraw (JS)'!Z71</f>
        <v>-1.915618299978858</v>
      </c>
      <c r="O46" s="81"/>
      <c r="T46" s="79"/>
      <c r="V46" s="80"/>
      <c r="W46" s="80"/>
      <c r="AB46" s="8">
        <v>30</v>
      </c>
      <c r="AE46" s="79"/>
      <c r="AF46" s="8">
        <f>[1]Picarro!G13</f>
        <v>0.34106410488598082</v>
      </c>
      <c r="AG46" s="8">
        <f>[1]Picarro!H13</f>
        <v>3.7899417732858171E-3</v>
      </c>
      <c r="AH46" s="79">
        <f t="shared" si="36"/>
        <v>1.0989987822385834</v>
      </c>
      <c r="AJ46" s="70">
        <f t="shared" si="37"/>
        <v>11.495134888642223</v>
      </c>
      <c r="AL46" s="45">
        <f t="shared" si="38"/>
        <v>4.6613577605423027</v>
      </c>
      <c r="AM46" s="45"/>
      <c r="AN46" s="45"/>
      <c r="AP46" s="8">
        <v>0.62</v>
      </c>
      <c r="AQ46" s="110">
        <f>'Cell Count'!I11</f>
        <v>248000</v>
      </c>
      <c r="AR46" s="110">
        <f>'Cell Count'!J11</f>
        <v>4.53</v>
      </c>
    </row>
    <row r="47" spans="1:46" x14ac:dyDescent="0.3">
      <c r="A47" s="1" t="s">
        <v>65</v>
      </c>
      <c r="B47" s="1">
        <v>45</v>
      </c>
      <c r="C47" s="1"/>
      <c r="D47" s="1">
        <v>0</v>
      </c>
      <c r="E47" s="1" t="s">
        <v>67</v>
      </c>
      <c r="F47" s="1" t="s">
        <v>68</v>
      </c>
      <c r="G47" s="31">
        <f>'DMSPraw (JS)'!W67</f>
        <v>63.071890397761486</v>
      </c>
      <c r="H47" s="31">
        <f>'DMSPraw (JS)'!X67</f>
        <v>1.6594268767555762</v>
      </c>
      <c r="I47" s="31">
        <f>'DMSPraw (JS)'!Y67</f>
        <v>3.0977929079826216</v>
      </c>
      <c r="J47" s="31">
        <f t="shared" si="34"/>
        <v>67.82911018249969</v>
      </c>
      <c r="K47" s="31">
        <f t="shared" si="35"/>
        <v>2.4464818605031886</v>
      </c>
      <c r="L47" s="87"/>
      <c r="M47" s="31">
        <f>'DMSPraw (JS)'!Z67</f>
        <v>0.10558125122882286</v>
      </c>
      <c r="O47" s="81"/>
      <c r="AM47" s="45"/>
      <c r="AN47" s="45">
        <f t="shared" ref="AN47:AN69" si="39">(M47/(J47+M47))*100</f>
        <v>0.15541581039168953</v>
      </c>
    </row>
    <row r="48" spans="1:46" x14ac:dyDescent="0.3">
      <c r="A48" s="1" t="s">
        <v>65</v>
      </c>
      <c r="B48" s="1">
        <v>45</v>
      </c>
      <c r="C48" s="1"/>
      <c r="D48" s="1">
        <v>0</v>
      </c>
      <c r="E48" s="1" t="s">
        <v>70</v>
      </c>
      <c r="F48" s="1" t="s">
        <v>68</v>
      </c>
      <c r="G48" s="31">
        <f>'DMSPraw (JS)'!W68</f>
        <v>89.677274136602136</v>
      </c>
      <c r="H48" s="31">
        <f>'DMSPraw (JS)'!X68</f>
        <v>2.6153587230673367</v>
      </c>
      <c r="I48" s="31">
        <f>'DMSPraw (JS)'!Y68</f>
        <v>3.7690637431285081</v>
      </c>
      <c r="J48" s="31">
        <f t="shared" si="34"/>
        <v>96.06169660279798</v>
      </c>
      <c r="K48" s="31">
        <f t="shared" si="35"/>
        <v>2.7225822732253926</v>
      </c>
      <c r="L48" s="87"/>
      <c r="M48" s="31">
        <f>'DMSPraw (JS)'!Z68</f>
        <v>1.5673537506363605E-2</v>
      </c>
      <c r="O48" s="81"/>
      <c r="AM48" s="45"/>
      <c r="AN48" s="45">
        <f t="shared" si="39"/>
        <v>1.6313453921017115E-2</v>
      </c>
    </row>
    <row r="49" spans="1:46" x14ac:dyDescent="0.3">
      <c r="A49" s="1" t="s">
        <v>65</v>
      </c>
      <c r="B49" s="1">
        <v>45</v>
      </c>
      <c r="C49" s="1"/>
      <c r="D49" s="1">
        <v>0</v>
      </c>
      <c r="E49" s="1" t="s">
        <v>71</v>
      </c>
      <c r="F49" s="1" t="s">
        <v>68</v>
      </c>
      <c r="G49" s="31">
        <f>'DMSPraw (JS)'!W69</f>
        <v>949.86406834757076</v>
      </c>
      <c r="H49" s="31">
        <f>'DMSPraw (JS)'!X69</f>
        <v>27.083293871489708</v>
      </c>
      <c r="I49" s="31">
        <f>'DMSPraw (JS)'!Y69</f>
        <v>42.440193505367219</v>
      </c>
      <c r="J49" s="31">
        <f t="shared" si="34"/>
        <v>1019.3875557244277</v>
      </c>
      <c r="K49" s="31">
        <f t="shared" si="35"/>
        <v>2.6568201386609007</v>
      </c>
      <c r="L49" s="87"/>
      <c r="M49" s="31">
        <f>'DMSPraw (JS)'!Z69</f>
        <v>0.11348307856006001</v>
      </c>
      <c r="O49" s="81"/>
      <c r="AM49" s="45"/>
      <c r="AN49" s="45">
        <f>(M49/(J49+M49))*100</f>
        <v>1.1131237168066282E-2</v>
      </c>
    </row>
    <row r="50" spans="1:46" x14ac:dyDescent="0.3">
      <c r="A50" s="1" t="s">
        <v>65</v>
      </c>
      <c r="B50" s="1">
        <v>45</v>
      </c>
      <c r="C50" s="1">
        <v>25</v>
      </c>
      <c r="D50" s="1">
        <v>24</v>
      </c>
      <c r="E50" s="1" t="s">
        <v>67</v>
      </c>
      <c r="F50" s="1" t="s">
        <v>73</v>
      </c>
      <c r="G50" s="31">
        <f>'DMSPraw (JS)'!W63</f>
        <v>214.13646131645265</v>
      </c>
      <c r="H50" s="31">
        <f>'DMSPraw (JS)'!X63</f>
        <v>6.4288284113350409</v>
      </c>
      <c r="I50" s="31">
        <f>'DMSPraw (JS)'!Y63</f>
        <v>8.4283139696053073</v>
      </c>
      <c r="J50" s="31">
        <f t="shared" si="34"/>
        <v>228.99360369739301</v>
      </c>
      <c r="K50" s="31">
        <f t="shared" si="35"/>
        <v>2.8074270667535814</v>
      </c>
      <c r="L50" s="87"/>
      <c r="M50" s="31">
        <f>'DMSPraw (JS)'!Z63</f>
        <v>12.371373753173687</v>
      </c>
      <c r="O50" s="81"/>
      <c r="Z50" s="79">
        <f>LN(($Y$53-AVERAGE($K$10:$K$12))/($Y$53-K50))/D50*$Y$3</f>
        <v>1.5059521114496417E-3</v>
      </c>
      <c r="AM50" s="45"/>
      <c r="AN50" s="45">
        <f t="shared" si="39"/>
        <v>5.1255877649885786</v>
      </c>
    </row>
    <row r="51" spans="1:46" x14ac:dyDescent="0.3">
      <c r="A51" s="1" t="s">
        <v>65</v>
      </c>
      <c r="B51" s="1">
        <v>45</v>
      </c>
      <c r="C51" s="1">
        <v>25</v>
      </c>
      <c r="D51" s="1">
        <v>24</v>
      </c>
      <c r="E51" s="1" t="s">
        <v>70</v>
      </c>
      <c r="F51" s="1" t="s">
        <v>73</v>
      </c>
      <c r="G51" s="31">
        <f>'DMSPraw (JS)'!W64</f>
        <v>238.5074614633381</v>
      </c>
      <c r="H51" s="31">
        <f>'DMSPraw (JS)'!X64</f>
        <v>6.3636945180357767</v>
      </c>
      <c r="I51" s="31">
        <f>'DMSPraw (JS)'!Y64</f>
        <v>9.6151457948793055</v>
      </c>
      <c r="J51" s="31">
        <f t="shared" si="34"/>
        <v>254.48630177625319</v>
      </c>
      <c r="K51" s="31">
        <f t="shared" si="35"/>
        <v>2.5006039514184923</v>
      </c>
      <c r="L51" s="87"/>
      <c r="M51" s="31">
        <f>'DMSPraw (JS)'!Z64</f>
        <v>13.230479716102849</v>
      </c>
      <c r="O51" s="81"/>
      <c r="Z51" s="79">
        <f>LN(($Y$54-AVERAGE($K$10:$K$12))/($Y$54-K51))/D51*$Y$3</f>
        <v>1.1284900383619974E-5</v>
      </c>
      <c r="AM51" s="45"/>
      <c r="AN51" s="45">
        <f t="shared" si="39"/>
        <v>4.9419687635384975</v>
      </c>
    </row>
    <row r="52" spans="1:46" x14ac:dyDescent="0.3">
      <c r="A52" s="1" t="s">
        <v>65</v>
      </c>
      <c r="B52" s="1">
        <v>45</v>
      </c>
      <c r="C52" s="1">
        <v>25</v>
      </c>
      <c r="D52" s="1">
        <v>24</v>
      </c>
      <c r="E52" s="1" t="s">
        <v>71</v>
      </c>
      <c r="F52" s="1" t="s">
        <v>73</v>
      </c>
      <c r="G52" s="31">
        <f>'DMSPraw (JS)'!W65</f>
        <v>197.07237249196237</v>
      </c>
      <c r="H52" s="31">
        <f>'DMSPraw (JS)'!X65</f>
        <v>6.2470025008594945</v>
      </c>
      <c r="I52" s="31">
        <f>'DMSPraw (JS)'!Y65</f>
        <v>8.2558474221428462</v>
      </c>
      <c r="J52" s="31">
        <f t="shared" si="34"/>
        <v>211.57522241496468</v>
      </c>
      <c r="K52" s="31">
        <f t="shared" si="35"/>
        <v>2.9526153533267632</v>
      </c>
      <c r="L52" s="87"/>
      <c r="M52" s="31">
        <f>'DMSPraw (JS)'!Z65</f>
        <v>14.145252972917771</v>
      </c>
      <c r="O52" s="81"/>
      <c r="Z52" s="79">
        <f>LN(($Y$55-AVERAGE($K$10:$K$12))/($Y$55-K52))/D52*$Y$3</f>
        <v>1.9998995830490876E-3</v>
      </c>
      <c r="AM52" s="45"/>
      <c r="AN52" s="45">
        <f t="shared" si="39"/>
        <v>6.2667123789325236</v>
      </c>
    </row>
    <row r="53" spans="1:46" x14ac:dyDescent="0.3">
      <c r="A53" s="1" t="s">
        <v>65</v>
      </c>
      <c r="B53" s="1">
        <v>45</v>
      </c>
      <c r="C53" s="1">
        <v>25</v>
      </c>
      <c r="D53" s="1">
        <v>24</v>
      </c>
      <c r="E53" s="1" t="s">
        <v>67</v>
      </c>
      <c r="F53" s="1" t="s">
        <v>75</v>
      </c>
      <c r="G53" s="31">
        <f>'DMSPraw (JS)'!W90</f>
        <v>2787.8030164950451</v>
      </c>
      <c r="H53" s="31">
        <f>'DMSPraw (JS)'!X90</f>
        <v>84.962138407896759</v>
      </c>
      <c r="I53" s="31">
        <f>'DMSPraw (JS)'!Y90</f>
        <v>114.30820997756027</v>
      </c>
      <c r="J53" s="31">
        <f t="shared" si="34"/>
        <v>2987.0733648805021</v>
      </c>
      <c r="K53" s="31">
        <f t="shared" si="35"/>
        <v>2.8443271399628203</v>
      </c>
      <c r="L53" s="87"/>
      <c r="M53" s="31">
        <f>'DMSPraw (JS)'!Z90</f>
        <v>87.49576694283374</v>
      </c>
      <c r="N53" s="81">
        <f>(M53-M56-M50)/$N$3*100</f>
        <v>39.57894765208512</v>
      </c>
      <c r="O53" s="81"/>
      <c r="P53" s="81">
        <f>($N$3-M50-M53-M56)/$N$3*100</f>
        <v>19.72173266190191</v>
      </c>
      <c r="R53" s="31">
        <f>dic!H13</f>
        <v>11055.041499999999</v>
      </c>
      <c r="S53" s="31">
        <f>dic!I13</f>
        <v>938.23379516499995</v>
      </c>
      <c r="T53" s="31">
        <f>S53/(R53+S53)*100</f>
        <v>7.8229989062557586</v>
      </c>
      <c r="U53" s="31">
        <f>T53-$U$3</f>
        <v>6.7229989062557589</v>
      </c>
      <c r="V53" s="31">
        <f>1-U53/100</f>
        <v>0.93277001093744238</v>
      </c>
      <c r="W53" s="31">
        <f>U53/100</f>
        <v>6.7229989062557588E-2</v>
      </c>
      <c r="X53" s="31">
        <f>2*V53*W53*100</f>
        <v>12.542023526641193</v>
      </c>
      <c r="Y53" s="31">
        <f>X53/$X$3+AVERAGE($K$10:$K$12)</f>
        <v>11.720358206184814</v>
      </c>
      <c r="Z53" s="79">
        <f>LN(($Y$53-AVERAGE($K$10:$K$12))/($Y$53-K53))/D53*$Y$3</f>
        <v>1.6891843373754538E-3</v>
      </c>
      <c r="AC53" s="31">
        <f t="shared" ref="AC53:AD55" si="40">R53</f>
        <v>11055.041499999999</v>
      </c>
      <c r="AD53" s="31">
        <f t="shared" si="40"/>
        <v>938.23379516499995</v>
      </c>
      <c r="AE53" s="31">
        <f>AD53/(AC53+AD53)*100</f>
        <v>7.8229989062557586</v>
      </c>
      <c r="AM53" s="45"/>
      <c r="AN53" s="45">
        <f t="shared" si="39"/>
        <v>2.8457895461581453</v>
      </c>
      <c r="AP53" s="8">
        <v>0.61299999999999999</v>
      </c>
      <c r="AQ53" s="110">
        <f>'Cell Count'!I32</f>
        <v>172500</v>
      </c>
      <c r="AR53" s="110">
        <f>'Cell Count'!J32</f>
        <v>5.8283333333333331</v>
      </c>
      <c r="AS53" s="8">
        <v>24.2</v>
      </c>
      <c r="AT53" s="8">
        <v>0.80000000000000071</v>
      </c>
    </row>
    <row r="54" spans="1:46" x14ac:dyDescent="0.3">
      <c r="A54" s="1" t="s">
        <v>65</v>
      </c>
      <c r="B54" s="1">
        <v>45</v>
      </c>
      <c r="C54" s="1">
        <v>25</v>
      </c>
      <c r="D54" s="1">
        <v>24</v>
      </c>
      <c r="E54" s="1" t="s">
        <v>70</v>
      </c>
      <c r="F54" s="1" t="s">
        <v>75</v>
      </c>
      <c r="G54" s="31">
        <f>'DMSPraw (JS)'!W91</f>
        <v>4034.7651368936272</v>
      </c>
      <c r="H54" s="31">
        <f>'DMSPraw (JS)'!X91</f>
        <v>120.65795401583254</v>
      </c>
      <c r="I54" s="31">
        <f>'DMSPraw (JS)'!Y91</f>
        <v>160.11980335844709</v>
      </c>
      <c r="J54" s="31">
        <f t="shared" si="34"/>
        <v>4315.5428942679064</v>
      </c>
      <c r="K54" s="31">
        <f t="shared" si="35"/>
        <v>2.7958928221080996</v>
      </c>
      <c r="L54" s="87"/>
      <c r="M54" s="31">
        <f>'DMSPraw (JS)'!Z91</f>
        <v>85.207684089081525</v>
      </c>
      <c r="N54" s="81">
        <f>(M54-M57-M51)/$N$3*100</f>
        <v>46.013724124042298</v>
      </c>
      <c r="O54" s="81"/>
      <c r="P54" s="81">
        <f>($N$3-M51-M54-M57)/$N$3*100</f>
        <v>29.290869207492271</v>
      </c>
      <c r="R54" s="31">
        <f>dic!H14</f>
        <v>11210.772000000001</v>
      </c>
      <c r="S54" s="31">
        <f>dic!I14</f>
        <v>937.63137816999995</v>
      </c>
      <c r="T54" s="31">
        <f t="shared" ref="T54:T55" si="41">S54/(R54+S54)*100</f>
        <v>7.7181449198079068</v>
      </c>
      <c r="U54" s="31">
        <f t="shared" ref="U54:U55" si="42">T54-$U$3</f>
        <v>6.6181449198079072</v>
      </c>
      <c r="V54" s="31">
        <f t="shared" ref="V54:V55" si="43">1-U54/100</f>
        <v>0.93381855080192089</v>
      </c>
      <c r="W54" s="31">
        <f t="shared" ref="W54:W55" si="44">U54/100</f>
        <v>6.618144919807907E-2</v>
      </c>
      <c r="X54" s="31">
        <f t="shared" ref="X54:X55" si="45">2*V54*W54*100</f>
        <v>12.36029299602423</v>
      </c>
      <c r="Y54" s="31">
        <f>X54/$X$3+AVERAGE($K$10:$K$12)</f>
        <v>11.586732816025282</v>
      </c>
      <c r="Z54" s="79">
        <f>LN(($Y$54-AVERAGE($K$10:$K$12))/($Y$54-K54))/D54*$Y$3</f>
        <v>1.4704932857272849E-3</v>
      </c>
      <c r="AC54" s="31">
        <f t="shared" si="40"/>
        <v>11210.772000000001</v>
      </c>
      <c r="AD54" s="31">
        <f t="shared" si="40"/>
        <v>937.63137816999995</v>
      </c>
      <c r="AE54" s="31">
        <f>AD54/(AC54+AD54)*100</f>
        <v>7.7181449198079068</v>
      </c>
      <c r="AM54" s="45"/>
      <c r="AN54" s="45">
        <f t="shared" si="39"/>
        <v>1.9362079847954861</v>
      </c>
      <c r="AP54" s="8">
        <v>0.59199999999999997</v>
      </c>
      <c r="AQ54" s="110">
        <f>'Cell Count'!I33</f>
        <v>119883.33333333333</v>
      </c>
      <c r="AR54" s="110">
        <f>'Cell Count'!J33</f>
        <v>5.2666666666666666</v>
      </c>
      <c r="AS54" s="8">
        <v>25.2</v>
      </c>
      <c r="AT54" s="8">
        <v>-0.19999999999999929</v>
      </c>
    </row>
    <row r="55" spans="1:46" x14ac:dyDescent="0.3">
      <c r="A55" s="1" t="s">
        <v>65</v>
      </c>
      <c r="B55" s="1">
        <v>45</v>
      </c>
      <c r="C55" s="1">
        <v>25</v>
      </c>
      <c r="D55" s="1">
        <v>24</v>
      </c>
      <c r="E55" s="1" t="s">
        <v>71</v>
      </c>
      <c r="F55" s="1" t="s">
        <v>75</v>
      </c>
      <c r="G55" s="31">
        <f>'DMSPraw (JS)'!W92</f>
        <v>2348.2008897892592</v>
      </c>
      <c r="H55" s="31">
        <f>'DMSPraw (JS)'!X92</f>
        <v>73.494112878962113</v>
      </c>
      <c r="I55" s="31">
        <f>'DMSPraw (JS)'!Y92</f>
        <v>98.445033332232057</v>
      </c>
      <c r="J55" s="31">
        <f t="shared" si="34"/>
        <v>2520.1400360004532</v>
      </c>
      <c r="K55" s="31">
        <f t="shared" si="35"/>
        <v>2.9162709940357021</v>
      </c>
      <c r="L55" s="87"/>
      <c r="M55" s="31">
        <f>'DMSPraw (JS)'!Z92</f>
        <v>85.241521454224355</v>
      </c>
      <c r="N55" s="81">
        <f>(M55-M58-M52)/$N$3*100</f>
        <v>47.285293683795992</v>
      </c>
      <c r="O55" s="81"/>
      <c r="P55" s="81">
        <f t="shared" ref="P55" si="46">($N$3-M52-M55-M58)/$N$3*100</f>
        <v>30.516086212255779</v>
      </c>
      <c r="R55" s="31">
        <f>dic!H15</f>
        <v>10342.08787578</v>
      </c>
      <c r="S55" s="31">
        <f>dic!I15</f>
        <v>979.09246826000003</v>
      </c>
      <c r="T55" s="31">
        <f t="shared" si="41"/>
        <v>8.6483249847304133</v>
      </c>
      <c r="U55" s="31">
        <f t="shared" si="42"/>
        <v>7.5483249847304137</v>
      </c>
      <c r="V55" s="31">
        <f t="shared" si="43"/>
        <v>0.92451675015269585</v>
      </c>
      <c r="W55" s="31">
        <f t="shared" si="44"/>
        <v>7.5483249847304132E-2</v>
      </c>
      <c r="X55" s="31">
        <f t="shared" si="45"/>
        <v>13.957105767958719</v>
      </c>
      <c r="Y55" s="31">
        <f>X55/$X$3+AVERAGE($K$10:$K$12)</f>
        <v>12.760859854212407</v>
      </c>
      <c r="Z55" s="79">
        <f>LN(($Y$55-AVERAGE($K$10:$K$12))/($Y$55-K55))/D55*$Y$3</f>
        <v>1.8365428799760081E-3</v>
      </c>
      <c r="AC55" s="31">
        <f t="shared" si="40"/>
        <v>10342.08787578</v>
      </c>
      <c r="AD55" s="31">
        <f t="shared" si="40"/>
        <v>979.09246826000003</v>
      </c>
      <c r="AE55" s="31">
        <f>AD55/(AC55+AD55)*100</f>
        <v>8.6483249847304133</v>
      </c>
      <c r="AM55" s="45"/>
      <c r="AN55" s="45">
        <f t="shared" si="39"/>
        <v>3.2717480942599781</v>
      </c>
      <c r="AP55" s="8">
        <v>0.60899999999999999</v>
      </c>
      <c r="AQ55" s="110">
        <f>'Cell Count'!I34</f>
        <v>190666.66666666666</v>
      </c>
      <c r="AR55" s="110">
        <f>'Cell Count'!J34</f>
        <v>4.7</v>
      </c>
      <c r="AS55" s="8">
        <v>24.7</v>
      </c>
      <c r="AT55" s="8">
        <v>0.30000000000000071</v>
      </c>
    </row>
    <row r="56" spans="1:46" x14ac:dyDescent="0.3">
      <c r="A56" s="1" t="s">
        <v>65</v>
      </c>
      <c r="B56" s="1">
        <v>45</v>
      </c>
      <c r="C56" s="1">
        <v>25</v>
      </c>
      <c r="D56" s="1">
        <v>24</v>
      </c>
      <c r="E56" s="1" t="s">
        <v>67</v>
      </c>
      <c r="F56" s="1" t="s">
        <v>68</v>
      </c>
      <c r="G56" s="31">
        <f>'DMSPraw (JS)'!W80</f>
        <v>537.18863665109973</v>
      </c>
      <c r="H56" s="31">
        <f>'DMSPraw (JS)'!X80</f>
        <v>18.534261334174698</v>
      </c>
      <c r="I56" s="31">
        <f>'DMSPraw (JS)'!Y80</f>
        <v>23.56412256365574</v>
      </c>
      <c r="J56" s="31">
        <f t="shared" si="34"/>
        <v>579.28702054893017</v>
      </c>
      <c r="K56" s="31">
        <f t="shared" si="35"/>
        <v>3.199495358382396</v>
      </c>
      <c r="L56" s="87"/>
      <c r="M56" s="31">
        <f>'DMSPraw (JS)'!Z80</f>
        <v>17.339129617615786</v>
      </c>
      <c r="O56" s="81"/>
      <c r="Z56" s="79">
        <f>LN(($Y$53-AVERAGE($K$10:$K$12))/($Y$53-K56))/D56*$Y$3</f>
        <v>3.4928139177555027E-3</v>
      </c>
      <c r="AM56" s="45"/>
      <c r="AN56" s="45">
        <f t="shared" si="39"/>
        <v>2.9061967218124169</v>
      </c>
    </row>
    <row r="57" spans="1:46" x14ac:dyDescent="0.3">
      <c r="A57" s="1" t="s">
        <v>65</v>
      </c>
      <c r="B57" s="1">
        <v>45</v>
      </c>
      <c r="C57" s="1">
        <v>25</v>
      </c>
      <c r="D57" s="1">
        <v>24</v>
      </c>
      <c r="E57" s="1" t="s">
        <v>70</v>
      </c>
      <c r="F57" s="1" t="s">
        <v>68</v>
      </c>
      <c r="G57" s="31">
        <f>'DMSPraw (JS)'!W81</f>
        <v>151.74377572348055</v>
      </c>
      <c r="H57" s="31">
        <f>'DMSPraw (JS)'!X81</f>
        <v>5.2479292246309655</v>
      </c>
      <c r="I57" s="31">
        <f>'DMSPraw (JS)'!Y81</f>
        <v>6.9335372326173808</v>
      </c>
      <c r="J57" s="31">
        <f t="shared" si="34"/>
        <v>163.9252421807289</v>
      </c>
      <c r="K57" s="31">
        <f t="shared" si="35"/>
        <v>3.2014161789952285</v>
      </c>
      <c r="L57" s="87"/>
      <c r="M57" s="31">
        <f>'DMSPraw (JS)'!Z81</f>
        <v>4.7971671518769137</v>
      </c>
      <c r="O57" s="81"/>
      <c r="Z57" s="79">
        <f>LN(($Y$54-AVERAGE($K$10:$K$12))/($Y$54-K57))/D57*$Y$3</f>
        <v>3.5564015966337219E-3</v>
      </c>
      <c r="AM57" s="45"/>
      <c r="AN57" s="45">
        <f t="shared" si="39"/>
        <v>2.8432305885462807</v>
      </c>
    </row>
    <row r="58" spans="1:46" x14ac:dyDescent="0.3">
      <c r="A58" s="1" t="s">
        <v>65</v>
      </c>
      <c r="B58" s="1">
        <v>45</v>
      </c>
      <c r="C58" s="1">
        <v>25</v>
      </c>
      <c r="D58" s="1">
        <v>24</v>
      </c>
      <c r="E58" s="1" t="s">
        <v>71</v>
      </c>
      <c r="F58" s="1" t="s">
        <v>68</v>
      </c>
      <c r="G58" s="31">
        <f>'DMSPraw (JS)'!W82</f>
        <v>75.925697194066984</v>
      </c>
      <c r="H58" s="31">
        <f>'DMSPraw (JS)'!X82</f>
        <v>2.8204712425618741</v>
      </c>
      <c r="I58" s="31">
        <f>'DMSPraw (JS)'!Y82</f>
        <v>3.733095380582125</v>
      </c>
      <c r="J58" s="31">
        <f t="shared" si="34"/>
        <v>82.479263817210992</v>
      </c>
      <c r="K58" s="31">
        <f t="shared" si="35"/>
        <v>3.419612532930155</v>
      </c>
      <c r="L58" s="87"/>
      <c r="M58" s="31">
        <f>'DMSPraw (JS)'!Z82</f>
        <v>2.0597397029644346</v>
      </c>
      <c r="O58" s="81"/>
      <c r="Z58" s="79">
        <f>LN(($Y$55-AVERAGE($K$10:$K$12))/($Y$55-K58))/D58*$Y$3</f>
        <v>4.1545049659335222E-3</v>
      </c>
      <c r="AM58" s="45"/>
      <c r="AN58" s="45">
        <f t="shared" si="39"/>
        <v>2.4364371676948773</v>
      </c>
    </row>
    <row r="59" spans="1:46" x14ac:dyDescent="0.3">
      <c r="A59" s="1" t="s">
        <v>65</v>
      </c>
      <c r="B59" s="1">
        <v>45</v>
      </c>
      <c r="C59" s="1">
        <v>25</v>
      </c>
      <c r="D59" s="1">
        <v>24</v>
      </c>
      <c r="E59" s="1" t="s">
        <v>67</v>
      </c>
      <c r="F59" s="1" t="s">
        <v>79</v>
      </c>
      <c r="G59" s="31">
        <f>'DMSPraw (JS)'!W97</f>
        <v>2907.0999415186948</v>
      </c>
      <c r="H59" s="31">
        <f>'DMSPraw (JS)'!X97</f>
        <v>89.268825072933822</v>
      </c>
      <c r="I59" s="31">
        <f>'DMSPraw (JS)'!Y97</f>
        <v>122.20710814478123</v>
      </c>
      <c r="J59" s="31">
        <f t="shared" si="34"/>
        <v>3118.5758747364098</v>
      </c>
      <c r="K59" s="31">
        <f t="shared" si="35"/>
        <v>2.8624868740921383</v>
      </c>
      <c r="L59" s="87"/>
      <c r="M59" s="31">
        <f>'DMSPraw (JS)'!Z97</f>
        <v>68.130465685914871</v>
      </c>
      <c r="N59" s="81">
        <f>M59/$N$3*100</f>
        <v>46.664702524599228</v>
      </c>
      <c r="O59" s="81">
        <f t="shared" si="17"/>
        <v>2.1379587074498287</v>
      </c>
      <c r="Z59" s="79">
        <f>LN(($Y$53-AVERAGE($K$10:$K$12))/($Y$53-K59))/D59*$Y$3</f>
        <v>1.7796387885589096E-3</v>
      </c>
      <c r="AB59" s="8">
        <v>30</v>
      </c>
      <c r="AF59" s="80">
        <f>Picarro!G14</f>
        <v>0.18093044147144166</v>
      </c>
      <c r="AG59" s="80">
        <f>Picarro!H14</f>
        <v>6.7047817958754453E-3</v>
      </c>
      <c r="AH59" s="79">
        <f>AG59/(AF59+AG59)*100</f>
        <v>3.5733065887759174</v>
      </c>
      <c r="AI59" s="71">
        <f>LN(($AE$53-AVERAGE($AH$44:$AH$46))/($AE$53-AH59))/D59</f>
        <v>1.9131589609483229E-2</v>
      </c>
      <c r="AJ59" s="70">
        <f>(AF59+AG59)/AB59*1000</f>
        <v>6.2545074422439031</v>
      </c>
      <c r="AL59" s="45">
        <f>(J59*5)/1000000/(AJ59/12)*100</f>
        <v>2.9916752711873706</v>
      </c>
      <c r="AM59" s="45">
        <f t="shared" ref="AM59" si="47">(M59*5)/1000000/(AJ59/12)*100</f>
        <v>6.5358111392514712E-2</v>
      </c>
      <c r="AN59" s="45">
        <f t="shared" si="39"/>
        <v>2.1379587074498287</v>
      </c>
      <c r="AO59" s="79">
        <f>Z59/AI59</f>
        <v>9.3020957739798613E-2</v>
      </c>
    </row>
    <row r="60" spans="1:46" x14ac:dyDescent="0.3">
      <c r="A60" s="1" t="s">
        <v>65</v>
      </c>
      <c r="B60" s="1">
        <v>45</v>
      </c>
      <c r="C60" s="1">
        <v>25</v>
      </c>
      <c r="D60" s="1">
        <v>24</v>
      </c>
      <c r="E60" s="1" t="s">
        <v>70</v>
      </c>
      <c r="F60" s="1" t="s">
        <v>79</v>
      </c>
      <c r="G60" s="31">
        <f>'DMSPraw (JS)'!W98</f>
        <v>3746.2615191258374</v>
      </c>
      <c r="H60" s="31">
        <f>'DMSPraw (JS)'!X98</f>
        <v>116.39055344571346</v>
      </c>
      <c r="I60" s="31">
        <f>'DMSPraw (JS)'!Y98</f>
        <v>155.01184046037113</v>
      </c>
      <c r="J60" s="31">
        <f t="shared" si="34"/>
        <v>4017.6639130319222</v>
      </c>
      <c r="K60" s="31">
        <f t="shared" si="35"/>
        <v>2.8969708757415589</v>
      </c>
      <c r="L60" s="87"/>
      <c r="M60" s="31">
        <f>'DMSPraw (JS)'!Z98</f>
        <v>69.697126549995829</v>
      </c>
      <c r="N60" s="81">
        <f t="shared" ref="N60:N61" si="48">M60/$N$3*100</f>
        <v>47.737757910956049</v>
      </c>
      <c r="O60" s="81">
        <f>(M60)/((J60)+(M60))*100</f>
        <v>1.7051864485434567</v>
      </c>
      <c r="Z60" s="79">
        <f>LN(($Y$54-AVERAGE($K$10:$K$12))/($Y$54-K60))/D60*$Y$3</f>
        <v>1.9812686553987487E-3</v>
      </c>
      <c r="AB60" s="8">
        <v>30</v>
      </c>
      <c r="AF60" s="80">
        <f>Picarro!G15</f>
        <v>0.22813620961617107</v>
      </c>
      <c r="AG60" s="80">
        <f>Picarro!H15</f>
        <v>9.341112149714708E-3</v>
      </c>
      <c r="AH60" s="79">
        <f t="shared" ref="AH60:AH61" si="49">AG60/(AF60+AG60)*100</f>
        <v>3.9334754494677742</v>
      </c>
      <c r="AI60" s="71">
        <f>LN(($AE$54-AVERAGE($AH$44:$AH$46))/($AE$54-AH60))/D60</f>
        <v>2.3305600652027875E-2</v>
      </c>
      <c r="AJ60" s="70">
        <f t="shared" ref="AJ60:AJ61" si="50">(AF60+AG60)/AB60*1000</f>
        <v>7.9159107255295256</v>
      </c>
      <c r="AL60" s="45">
        <f>(J60*5)/1000000/(AJ60/12)*100</f>
        <v>3.0452571174719747</v>
      </c>
      <c r="AM60" s="45">
        <f>(M60*5)/1000000/(AJ60/12)*100</f>
        <v>5.2828129800819745E-2</v>
      </c>
      <c r="AN60" s="45">
        <f t="shared" si="39"/>
        <v>1.7051864485434567</v>
      </c>
      <c r="AO60" s="79">
        <f>Z60/AI60</f>
        <v>8.5012554921057304E-2</v>
      </c>
    </row>
    <row r="61" spans="1:46" x14ac:dyDescent="0.3">
      <c r="A61" s="1" t="s">
        <v>65</v>
      </c>
      <c r="B61" s="1">
        <v>45</v>
      </c>
      <c r="C61" s="1">
        <v>25</v>
      </c>
      <c r="D61" s="1">
        <v>24</v>
      </c>
      <c r="E61" s="1" t="s">
        <v>71</v>
      </c>
      <c r="F61" s="1" t="s">
        <v>79</v>
      </c>
      <c r="G61" s="31">
        <f>'DMSPraw (JS)'!W99</f>
        <v>2049.2773854412485</v>
      </c>
      <c r="H61" s="31">
        <f>'DMSPraw (JS)'!X99</f>
        <v>66.490573349880052</v>
      </c>
      <c r="I61" s="31">
        <f>'DMSPraw (JS)'!Y99</f>
        <v>88.665706933914379</v>
      </c>
      <c r="J61" s="31">
        <f t="shared" si="34"/>
        <v>2204.4336657250428</v>
      </c>
      <c r="K61" s="31">
        <f t="shared" si="35"/>
        <v>3.0162201922284271</v>
      </c>
      <c r="L61" s="87"/>
      <c r="M61" s="31">
        <f>'DMSPraw (JS)'!Z99</f>
        <v>64.219390635069047</v>
      </c>
      <c r="N61" s="81">
        <f t="shared" si="48"/>
        <v>43.985883996622633</v>
      </c>
      <c r="O61" s="81">
        <f t="shared" si="17"/>
        <v>2.8307277066906114</v>
      </c>
      <c r="Z61" s="79">
        <f>LN(($Y$55-AVERAGE($K$10:$K$12))/($Y$55-K61))/D61*$Y$3</f>
        <v>2.2872457979241233E-3</v>
      </c>
      <c r="AB61" s="8">
        <v>30</v>
      </c>
      <c r="AF61" s="80">
        <f>Picarro!G16</f>
        <v>0.17527567135985667</v>
      </c>
      <c r="AG61" s="80">
        <f>Picarro!H16</f>
        <v>7.0405376720998622E-3</v>
      </c>
      <c r="AH61" s="79">
        <f t="shared" si="49"/>
        <v>3.8617178963313084</v>
      </c>
      <c r="AI61" s="71">
        <f>LN(($AE$55-AVERAGE($AH$44:$AH$46))/($AE$55-AH61))/D61</f>
        <v>1.8996785190771515E-2</v>
      </c>
      <c r="AJ61" s="70">
        <f t="shared" si="50"/>
        <v>6.0772069677318843</v>
      </c>
      <c r="AL61" s="45">
        <f t="shared" ref="AL61" si="51">(J61*5)/1000000/(AJ61/12)*100</f>
        <v>2.1764277676537067</v>
      </c>
      <c r="AM61" s="45">
        <f>(M61*5)/1000000/(AJ61/12)*100</f>
        <v>6.3403524983816836E-2</v>
      </c>
      <c r="AN61" s="45">
        <f t="shared" si="39"/>
        <v>2.8307277066906114</v>
      </c>
      <c r="AO61" s="79">
        <f>Z61/AI61</f>
        <v>0.12040172981664544</v>
      </c>
    </row>
    <row r="62" spans="1:46" x14ac:dyDescent="0.3">
      <c r="A62" s="1" t="s">
        <v>65</v>
      </c>
      <c r="B62" s="1">
        <v>45</v>
      </c>
      <c r="C62" s="1">
        <v>45</v>
      </c>
      <c r="D62" s="1">
        <v>24</v>
      </c>
      <c r="E62" s="1" t="s">
        <v>67</v>
      </c>
      <c r="F62" s="1" t="s">
        <v>73</v>
      </c>
      <c r="G62" s="31">
        <f>'DMSPraw (JS)'!W60</f>
        <v>4.5670102911195016</v>
      </c>
      <c r="H62" s="31">
        <f>'DMSPraw (JS)'!X60</f>
        <v>0.24113990079076622</v>
      </c>
      <c r="I62" s="31">
        <f>'DMSPraw (JS)'!Y60</f>
        <v>0.62034421949250029</v>
      </c>
      <c r="J62" s="31">
        <f t="shared" si="34"/>
        <v>5.4284944114027676</v>
      </c>
      <c r="K62" s="31">
        <f t="shared" si="35"/>
        <v>4.4421138259669624</v>
      </c>
      <c r="L62" s="87"/>
      <c r="M62" s="31">
        <f>'DMSPraw (JS)'!Z60</f>
        <v>0.9576075475325766</v>
      </c>
      <c r="O62" s="81"/>
      <c r="Z62" s="79">
        <f>LN(($Y$65-AVERAGE($K$10:$K$12))/($Y$65-K62))/D62*$Y$3</f>
        <v>1.2564708225259106E-2</v>
      </c>
      <c r="AM62" s="45"/>
      <c r="AN62" s="45">
        <f t="shared" si="39"/>
        <v>14.995180999149341</v>
      </c>
    </row>
    <row r="63" spans="1:46" x14ac:dyDescent="0.3">
      <c r="A63" s="1" t="s">
        <v>65</v>
      </c>
      <c r="B63" s="1">
        <v>45</v>
      </c>
      <c r="C63" s="1">
        <v>45</v>
      </c>
      <c r="D63" s="1">
        <v>24</v>
      </c>
      <c r="E63" s="1" t="s">
        <v>70</v>
      </c>
      <c r="F63" s="1" t="s">
        <v>73</v>
      </c>
      <c r="G63" s="31">
        <f>'DMSPraw (JS)'!W61</f>
        <v>11.305183199405716</v>
      </c>
      <c r="H63" s="31">
        <f>'DMSPraw (JS)'!X61</f>
        <v>0.40413783625219674</v>
      </c>
      <c r="I63" s="31">
        <f>'DMSPraw (JS)'!Y61</f>
        <v>0.3530349823772303</v>
      </c>
      <c r="J63" s="31">
        <f t="shared" si="34"/>
        <v>12.062356018035143</v>
      </c>
      <c r="K63" s="31">
        <f t="shared" si="35"/>
        <v>3.3504054734244817</v>
      </c>
      <c r="L63" s="87"/>
      <c r="M63" s="31">
        <f>'DMSPraw (JS)'!Z61</f>
        <v>1.5039618233984176</v>
      </c>
      <c r="O63" s="81"/>
      <c r="Z63" s="79">
        <f>LN(($Y$66-AVERAGE($K$10:$K$12))/($Y$66-K63))/D63*$Y$3</f>
        <v>3.8504619030072795E-3</v>
      </c>
      <c r="AM63" s="45"/>
      <c r="AN63" s="45">
        <f t="shared" si="39"/>
        <v>11.085998728447107</v>
      </c>
    </row>
    <row r="64" spans="1:46" x14ac:dyDescent="0.3">
      <c r="A64" s="1" t="s">
        <v>65</v>
      </c>
      <c r="B64" s="1">
        <v>45</v>
      </c>
      <c r="C64" s="1">
        <v>45</v>
      </c>
      <c r="D64" s="1">
        <v>24</v>
      </c>
      <c r="E64" s="1" t="s">
        <v>71</v>
      </c>
      <c r="F64" s="1" t="s">
        <v>73</v>
      </c>
      <c r="G64" s="31">
        <f>'DMSPraw (JS)'!W62</f>
        <v>8.4274211354527768</v>
      </c>
      <c r="H64" s="31">
        <f>'DMSPraw (JS)'!X62</f>
        <v>0.28367799140052241</v>
      </c>
      <c r="I64" s="31">
        <f>'DMSPraw (JS)'!Y62</f>
        <v>6.351524495300187E-2</v>
      </c>
      <c r="J64" s="31">
        <f t="shared" si="34"/>
        <v>8.774614371806301</v>
      </c>
      <c r="K64" s="31">
        <f t="shared" si="35"/>
        <v>3.2329396983189111</v>
      </c>
      <c r="L64" s="87"/>
      <c r="M64" s="31">
        <f>'DMSPraw (JS)'!Z62</f>
        <v>1.0258148994104443</v>
      </c>
      <c r="O64" s="81"/>
      <c r="Z64" s="79">
        <f>LN(($Y$67-AVERAGE($K$10:$K$12))/($Y$67-K64))/D64*$Y$3</f>
        <v>3.5281369684040625E-3</v>
      </c>
      <c r="AM64" s="45"/>
      <c r="AN64" s="45">
        <f t="shared" si="39"/>
        <v>10.467040483861243</v>
      </c>
    </row>
    <row r="65" spans="1:46" x14ac:dyDescent="0.3">
      <c r="A65" s="1" t="s">
        <v>65</v>
      </c>
      <c r="B65" s="1">
        <v>45</v>
      </c>
      <c r="C65" s="1">
        <v>45</v>
      </c>
      <c r="D65" s="1">
        <v>24</v>
      </c>
      <c r="E65" s="1" t="s">
        <v>67</v>
      </c>
      <c r="F65" s="1" t="s">
        <v>75</v>
      </c>
      <c r="G65" s="31">
        <f>'DMSPraw (JS)'!W87</f>
        <v>4313.6784268634483</v>
      </c>
      <c r="H65" s="31">
        <f>'DMSPraw (JS)'!X87</f>
        <v>218.45210316734119</v>
      </c>
      <c r="I65" s="31">
        <f>'DMSPraw (JS)'!Y87</f>
        <v>177.6018579137764</v>
      </c>
      <c r="J65" s="31">
        <f t="shared" si="34"/>
        <v>4709.7323879445657</v>
      </c>
      <c r="K65" s="31">
        <f t="shared" si="35"/>
        <v>4.6383124384415106</v>
      </c>
      <c r="L65" s="87"/>
      <c r="M65" s="31">
        <f>'DMSPraw (JS)'!Z87</f>
        <v>110.50551679558362</v>
      </c>
      <c r="N65" s="81">
        <f>(M65-M68-M62)/$N$3*100</f>
        <v>74.871976475636842</v>
      </c>
      <c r="O65" s="81"/>
      <c r="P65" s="81">
        <f>($N$3-M62-M65-M68)/$N$3*100</f>
        <v>23.494556207714083</v>
      </c>
      <c r="R65" s="31">
        <f>dic!H10</f>
        <v>15579.173799999999</v>
      </c>
      <c r="S65" s="31">
        <f>dic!I10</f>
        <v>1129.2804768866665</v>
      </c>
      <c r="T65" s="31">
        <f>S65/(R65+S65)*100</f>
        <v>6.7587369733466964</v>
      </c>
      <c r="U65" s="31">
        <f>T65-$U$3</f>
        <v>5.6587369733466968</v>
      </c>
      <c r="V65" s="31">
        <f>1-U65/100</f>
        <v>0.94341263026653299</v>
      </c>
      <c r="W65" s="31">
        <f>U65/100</f>
        <v>5.6587369733466966E-2</v>
      </c>
      <c r="X65" s="31">
        <f>2*V65*W65*100</f>
        <v>10.677047864022974</v>
      </c>
      <c r="Y65" s="31">
        <f>X65/$X$3+AVERAGE($K$10:$K$12)</f>
        <v>10.349052571906713</v>
      </c>
      <c r="Z65" s="79">
        <f>LN(($Y$65-AVERAGE($K$10:$K$12))/($Y$65-K65))/D65*$Y$3</f>
        <v>1.4056617710759143E-2</v>
      </c>
      <c r="AC65" s="31">
        <f>R65</f>
        <v>15579.173799999999</v>
      </c>
      <c r="AD65" s="31">
        <f>S65</f>
        <v>1129.2804768866665</v>
      </c>
      <c r="AE65" s="31">
        <f>AD65/(AC65+AD65)*100</f>
        <v>6.7587369733466964</v>
      </c>
      <c r="AM65" s="45"/>
      <c r="AN65" s="45">
        <f t="shared" si="39"/>
        <v>2.2925324222465071</v>
      </c>
      <c r="AP65" s="8">
        <v>0.60299999999999998</v>
      </c>
      <c r="AQ65" s="110">
        <f>'Cell Count'!I10</f>
        <v>140500</v>
      </c>
      <c r="AR65" s="110">
        <f>'Cell Count'!J10</f>
        <v>4.8733333333333331</v>
      </c>
      <c r="AS65" s="8">
        <v>41.9</v>
      </c>
      <c r="AT65" s="8">
        <v>3.1000000000000014</v>
      </c>
    </row>
    <row r="66" spans="1:46" x14ac:dyDescent="0.3">
      <c r="A66" s="1" t="s">
        <v>65</v>
      </c>
      <c r="B66" s="1">
        <v>45</v>
      </c>
      <c r="C66" s="1">
        <v>45</v>
      </c>
      <c r="D66" s="1">
        <v>24</v>
      </c>
      <c r="E66" s="1" t="s">
        <v>70</v>
      </c>
      <c r="F66" s="1" t="s">
        <v>75</v>
      </c>
      <c r="G66" s="31">
        <f>'DMSPraw (JS)'!W88</f>
        <v>3744.4223979111757</v>
      </c>
      <c r="H66" s="31">
        <f>'DMSPraw (JS)'!X88</f>
        <v>192.95749721293541</v>
      </c>
      <c r="I66" s="31">
        <f>'DMSPraw (JS)'!Y88</f>
        <v>153.17790459597722</v>
      </c>
      <c r="J66" s="31">
        <f t="shared" si="34"/>
        <v>4090.557799720088</v>
      </c>
      <c r="K66" s="31">
        <f t="shared" si="35"/>
        <v>4.717143887470292</v>
      </c>
      <c r="L66" s="87"/>
      <c r="M66" s="31">
        <f>'DMSPraw (JS)'!Z88</f>
        <v>91.411477669589047</v>
      </c>
      <c r="N66" s="81">
        <f>(M66-M69-M63)/$N$3*100</f>
        <v>60.604652469235376</v>
      </c>
      <c r="O66" s="81"/>
      <c r="P66" s="81">
        <f t="shared" ref="P66:P67" si="52">($N$3-M63-M66-M69)/$N$3*100</f>
        <v>35.383450182127092</v>
      </c>
      <c r="R66" s="31">
        <f>dic!H11</f>
        <v>14839.1567</v>
      </c>
      <c r="S66" s="31">
        <f>dic!I11</f>
        <v>1396.8576660149999</v>
      </c>
      <c r="T66" s="31">
        <f>S66/(R66+S66)*100</f>
        <v>8.6034517740935428</v>
      </c>
      <c r="U66" s="31">
        <f t="shared" ref="U66:U67" si="53">T66-$U$3</f>
        <v>7.5034517740935431</v>
      </c>
      <c r="V66" s="31">
        <f t="shared" ref="V66:V67" si="54">1-U66/100</f>
        <v>0.92496548225906461</v>
      </c>
      <c r="W66" s="31">
        <f t="shared" ref="W66:W67" si="55">U66/100</f>
        <v>7.5034517740935433E-2</v>
      </c>
      <c r="X66" s="31">
        <f t="shared" ref="X66:X67" si="56">2*V66*W66*100</f>
        <v>13.880867777664136</v>
      </c>
      <c r="Y66" s="31">
        <f>X66/$X$3+AVERAGE($K$10:$K$12)</f>
        <v>12.704802508407568</v>
      </c>
      <c r="Z66" s="79">
        <f>LN(($Y$66-AVERAGE($K$10:$K$12))/($Y$66-K66))/D66*$Y$3</f>
        <v>1.0826535039248035E-2</v>
      </c>
      <c r="AC66" s="31">
        <f t="shared" ref="AC66:AC67" si="57">R66</f>
        <v>14839.1567</v>
      </c>
      <c r="AD66" s="31">
        <f t="shared" ref="AD66:AD67" si="58">S66</f>
        <v>1396.8576660149999</v>
      </c>
      <c r="AE66" s="31">
        <f>AD66/(AC66+AD66)*100</f>
        <v>8.6034517740935428</v>
      </c>
      <c r="AM66" s="45"/>
      <c r="AN66" s="45">
        <f t="shared" si="39"/>
        <v>2.1858476618615126</v>
      </c>
      <c r="AP66" s="8">
        <v>0.622</v>
      </c>
      <c r="AQ66" s="110">
        <f>'Cell Count'!I12</f>
        <v>189333.33333333334</v>
      </c>
      <c r="AR66" s="110">
        <f>'Cell Count'!J12</f>
        <v>4.9799999999999995</v>
      </c>
      <c r="AS66" s="8">
        <v>43.8</v>
      </c>
      <c r="AT66" s="8">
        <v>1.2000000000000028</v>
      </c>
    </row>
    <row r="67" spans="1:46" x14ac:dyDescent="0.3">
      <c r="A67" s="1" t="s">
        <v>65</v>
      </c>
      <c r="B67" s="1">
        <v>45</v>
      </c>
      <c r="C67" s="1">
        <v>45</v>
      </c>
      <c r="D67" s="1">
        <v>24</v>
      </c>
      <c r="E67" s="1" t="s">
        <v>71</v>
      </c>
      <c r="F67" s="1" t="s">
        <v>75</v>
      </c>
      <c r="G67" s="47">
        <f>'DMSPraw (JS)'!W89</f>
        <v>1077.6077664233687</v>
      </c>
      <c r="H67" s="47">
        <f>'DMSPraw (JS)'!X89</f>
        <v>64.106595073096486</v>
      </c>
      <c r="I67" s="47">
        <f>'DMSPraw (JS)'!Y89</f>
        <v>48.776449472112354</v>
      </c>
      <c r="J67" s="47">
        <f t="shared" si="34"/>
        <v>1190.4908109685775</v>
      </c>
      <c r="K67" s="31">
        <f t="shared" si="35"/>
        <v>5.38488785318214</v>
      </c>
      <c r="L67" s="87"/>
      <c r="M67" s="31">
        <f>'DMSPraw (JS)'!Z89</f>
        <v>35.813405640305348</v>
      </c>
      <c r="N67" s="81">
        <f>(M67-M70-M64)/$N$3*100</f>
        <v>22.41975961749749</v>
      </c>
      <c r="O67" s="81"/>
      <c r="P67" s="81">
        <f t="shared" si="52"/>
        <v>73.360299836257283</v>
      </c>
      <c r="R67" s="31">
        <f>dic!H12</f>
        <v>14785.8613</v>
      </c>
      <c r="S67" s="31">
        <f>dic!I12</f>
        <v>1302.5833129900002</v>
      </c>
      <c r="T67" s="31">
        <f>S67/(R67+S67)*100</f>
        <v>8.0963905730096428</v>
      </c>
      <c r="U67" s="31">
        <f t="shared" si="53"/>
        <v>6.9963905730096432</v>
      </c>
      <c r="V67" s="31">
        <f t="shared" si="54"/>
        <v>0.93003609426990352</v>
      </c>
      <c r="W67" s="31">
        <f t="shared" si="55"/>
        <v>6.9963905730096435E-2</v>
      </c>
      <c r="X67" s="31">
        <f t="shared" si="56"/>
        <v>13.013791525017322</v>
      </c>
      <c r="Y67" s="31">
        <f>X67/$X$3+AVERAGE($K$10:$K$12)</f>
        <v>12.06724644028491</v>
      </c>
      <c r="Z67" s="79">
        <f>LN(($Y$67-AVERAGE($K$10:$K$12))/($Y$67-K67))/D67*$Y$3</f>
        <v>1.5858217219428365E-2</v>
      </c>
      <c r="AC67" s="31">
        <f t="shared" si="57"/>
        <v>14785.8613</v>
      </c>
      <c r="AD67" s="31">
        <f t="shared" si="58"/>
        <v>1302.5833129900002</v>
      </c>
      <c r="AE67" s="31">
        <f>AD67/(AC67+AD67)*100</f>
        <v>8.0963905730096428</v>
      </c>
      <c r="AM67" s="45"/>
      <c r="AN67" s="45">
        <f t="shared" si="39"/>
        <v>2.9204340289508819</v>
      </c>
      <c r="AP67" s="8">
        <v>0.61299999999999999</v>
      </c>
      <c r="AQ67" s="110">
        <f>'Cell Count'!I38</f>
        <v>156666.66666666666</v>
      </c>
      <c r="AR67" s="110">
        <f>'Cell Count'!J38</f>
        <v>5.3533333333333326</v>
      </c>
      <c r="AS67" s="8">
        <v>43.6</v>
      </c>
      <c r="AT67" s="8">
        <v>1.3999999999999986</v>
      </c>
    </row>
    <row r="68" spans="1:46" x14ac:dyDescent="0.3">
      <c r="A68" s="1" t="s">
        <v>65</v>
      </c>
      <c r="B68" s="1">
        <v>45</v>
      </c>
      <c r="C68" s="1">
        <v>45</v>
      </c>
      <c r="D68" s="1">
        <v>24</v>
      </c>
      <c r="E68" s="1" t="s">
        <v>67</v>
      </c>
      <c r="F68" s="1" t="s">
        <v>68</v>
      </c>
      <c r="G68" s="31">
        <f>'DMSPraw (JS)'!W77</f>
        <v>6.234556058768832</v>
      </c>
      <c r="H68" s="31">
        <f>'DMSPraw (JS)'!X77</f>
        <v>0.40173614319042833</v>
      </c>
      <c r="I68" s="31">
        <f>'DMSPraw (JS)'!Y77</f>
        <v>0.34425330006942789</v>
      </c>
      <c r="J68" s="31">
        <f t="shared" si="34"/>
        <v>6.9805455020286882</v>
      </c>
      <c r="K68" s="31">
        <f t="shared" si="35"/>
        <v>5.7550823653205274</v>
      </c>
      <c r="L68" s="87"/>
      <c r="M68" s="31">
        <f>'DMSPraw (JS)'!Z77</f>
        <v>0.23482359362124128</v>
      </c>
      <c r="O68" s="81"/>
      <c r="Z68" s="79">
        <f>LN(($Y$65-AVERAGE($K$10:$K$12))/($Y$65-K68))/D68*$Y$3</f>
        <v>2.3667461789715131E-2</v>
      </c>
      <c r="AM68" s="45"/>
      <c r="AN68" s="45">
        <f t="shared" si="39"/>
        <v>3.2544917731625671</v>
      </c>
    </row>
    <row r="69" spans="1:46" x14ac:dyDescent="0.3">
      <c r="A69" s="1" t="s">
        <v>65</v>
      </c>
      <c r="B69" s="1">
        <v>45</v>
      </c>
      <c r="C69" s="1">
        <v>45</v>
      </c>
      <c r="D69" s="1">
        <v>24</v>
      </c>
      <c r="E69" s="1" t="s">
        <v>70</v>
      </c>
      <c r="F69" s="1" t="s">
        <v>68</v>
      </c>
      <c r="G69" s="31">
        <f>'DMSPraw (JS)'!W78</f>
        <v>59.487607748109482</v>
      </c>
      <c r="H69" s="31">
        <f>'DMSPraw (JS)'!X78</f>
        <v>3.5564066185371543</v>
      </c>
      <c r="I69" s="31">
        <f>'DMSPraw (JS)'!Y78</f>
        <v>3.1856992456315356</v>
      </c>
      <c r="J69" s="31">
        <f t="shared" si="34"/>
        <v>66.229713612278175</v>
      </c>
      <c r="K69" s="31">
        <f t="shared" si="35"/>
        <v>5.3698052196889465</v>
      </c>
      <c r="L69" s="87"/>
      <c r="M69" s="31">
        <f>'DMSPraw (JS)'!Z78</f>
        <v>1.4247232411069859</v>
      </c>
      <c r="O69" s="81"/>
      <c r="Z69" s="79">
        <f>LN(($Y$66-AVERAGE($K$10:$K$12))/($Y$66-K69))/D69*$Y$3</f>
        <v>1.4591329804486132E-2</v>
      </c>
      <c r="AM69" s="45"/>
      <c r="AN69" s="45">
        <f t="shared" si="39"/>
        <v>2.1058829359477529</v>
      </c>
      <c r="AR69" s="110">
        <f>J71/AR65</f>
        <v>988.95029035687662</v>
      </c>
    </row>
    <row r="70" spans="1:46" x14ac:dyDescent="0.3">
      <c r="A70" s="1" t="s">
        <v>65</v>
      </c>
      <c r="B70" s="1">
        <v>45</v>
      </c>
      <c r="C70" s="1">
        <v>45</v>
      </c>
      <c r="D70" s="1">
        <v>24</v>
      </c>
      <c r="E70" s="1" t="s">
        <v>71</v>
      </c>
      <c r="F70" s="1" t="s">
        <v>68</v>
      </c>
      <c r="G70" s="31">
        <f>'DMSPraw (JS)'!W79</f>
        <v>100.92373865847416</v>
      </c>
      <c r="H70" s="31">
        <f>'DMSPraw (JS)'!X79</f>
        <v>6.2386531750943393</v>
      </c>
      <c r="I70" s="31">
        <f>'DMSPraw (JS)'!Y79</f>
        <v>4.7124163501779277</v>
      </c>
      <c r="J70" s="31">
        <f t="shared" si="34"/>
        <v>111.87480818374644</v>
      </c>
      <c r="K70" s="31">
        <f t="shared" si="35"/>
        <v>5.5764593266142581</v>
      </c>
      <c r="L70" s="87"/>
      <c r="M70" s="31">
        <f>'DMSPraw (JS)'!Z79</f>
        <v>2.0547416993485674</v>
      </c>
      <c r="O70" s="81"/>
      <c r="Z70" s="79">
        <f>LN(($Y$67-AVERAGE($K$10:$K$12))/($Y$67-K70))/D70*$Y$3</f>
        <v>1.7142902008540441E-2</v>
      </c>
      <c r="AM70" s="45"/>
      <c r="AR70" s="110">
        <f t="shared" ref="AR70:AR71" si="59">J72/AR66</f>
        <v>942.42869893616296</v>
      </c>
    </row>
    <row r="71" spans="1:46" x14ac:dyDescent="0.3">
      <c r="A71" s="1" t="s">
        <v>65</v>
      </c>
      <c r="B71" s="1">
        <v>45</v>
      </c>
      <c r="C71" s="1">
        <v>45</v>
      </c>
      <c r="D71" s="1">
        <v>24</v>
      </c>
      <c r="E71" s="1" t="s">
        <v>67</v>
      </c>
      <c r="F71" s="1" t="s">
        <v>79</v>
      </c>
      <c r="G71" s="31">
        <f>'DMSPraw (JS)'!W94</f>
        <v>4408.0998811654899</v>
      </c>
      <c r="H71" s="31">
        <f>'DMSPraw (JS)'!X94</f>
        <v>224.5816632717767</v>
      </c>
      <c r="I71" s="31">
        <f>'DMSPraw (JS)'!Y94</f>
        <v>186.80287056857861</v>
      </c>
      <c r="J71" s="31">
        <f t="shared" si="34"/>
        <v>4819.4844150058452</v>
      </c>
      <c r="K71" s="31">
        <f t="shared" si="35"/>
        <v>4.6598690634318469</v>
      </c>
      <c r="L71" s="87"/>
      <c r="M71" s="31">
        <f>'DMSPraw (JS)'!Z94</f>
        <v>108.37855837454345</v>
      </c>
      <c r="N71" s="81">
        <f>M71/$N$3*100</f>
        <v>74.231889297632492</v>
      </c>
      <c r="O71" s="81">
        <f>(M71)/((J71)+(M71))*100</f>
        <v>2.1993013799285599</v>
      </c>
      <c r="Z71" s="79">
        <f>LN(($Y$65-AVERAGE($K$10:$K$12))/($Y$65-K71))/D71*$Y$3</f>
        <v>1.4223651356789288E-2</v>
      </c>
      <c r="AB71" s="8">
        <v>30</v>
      </c>
      <c r="AF71" s="80">
        <f>Picarro!G17</f>
        <v>0.23998114642363344</v>
      </c>
      <c r="AG71" s="80">
        <f>Picarro!H17</f>
        <v>7.3134534867870154E-3</v>
      </c>
      <c r="AH71" s="79">
        <f>AG71/(AF71+AG71)*100</f>
        <v>2.9573850336546883</v>
      </c>
      <c r="AI71" s="71">
        <f>LN(($AE$65-AVERAGE($AH$44:$AH$46))/($AE$65-AH71))/D71</f>
        <v>1.6600116789460332E-2</v>
      </c>
      <c r="AJ71" s="70">
        <f>(AF71+AG71)/AB71*1000</f>
        <v>8.2431533303473472</v>
      </c>
      <c r="AL71" s="45">
        <f>(J71*5)/1000000/(AJ71/12)*100</f>
        <v>3.5079908538855937</v>
      </c>
      <c r="AM71" s="45">
        <f>(M71*5)/1000000/(AJ71/12)*100</f>
        <v>7.8886237364198072E-2</v>
      </c>
      <c r="AO71" s="79">
        <f>Z71/AI71</f>
        <v>0.85684043896727891</v>
      </c>
      <c r="AR71" s="110">
        <f t="shared" si="59"/>
        <v>753.18701028825694</v>
      </c>
    </row>
    <row r="72" spans="1:46" x14ac:dyDescent="0.3">
      <c r="A72" s="1" t="s">
        <v>65</v>
      </c>
      <c r="B72" s="1">
        <v>45</v>
      </c>
      <c r="C72" s="1">
        <v>45</v>
      </c>
      <c r="D72" s="1">
        <v>24</v>
      </c>
      <c r="E72" s="1" t="s">
        <v>70</v>
      </c>
      <c r="F72" s="1" t="s">
        <v>79</v>
      </c>
      <c r="G72" s="31">
        <f>'DMSPraw (JS)'!W95</f>
        <v>4291.605272842532</v>
      </c>
      <c r="H72" s="31">
        <f>'DMSPraw (JS)'!X95</f>
        <v>221.7141635509102</v>
      </c>
      <c r="I72" s="31">
        <f>'DMSPraw (JS)'!Y95</f>
        <v>179.97548430864887</v>
      </c>
      <c r="J72" s="31">
        <f t="shared" si="34"/>
        <v>4693.2949207020911</v>
      </c>
      <c r="K72" s="31">
        <f t="shared" si="35"/>
        <v>4.7240620352437386</v>
      </c>
      <c r="L72" s="87"/>
      <c r="M72" s="31">
        <f>'DMSPraw (JS)'!Z95</f>
        <v>105.44193182321166</v>
      </c>
      <c r="N72" s="81">
        <f t="shared" ref="N72:N73" si="60">M72/$N$3*100</f>
        <v>72.220501248775122</v>
      </c>
      <c r="O72" s="81">
        <f>(M72)/((J72)+(M72))*100</f>
        <v>2.1972851411454988</v>
      </c>
      <c r="Z72" s="79">
        <f>LN(($Y$66-AVERAGE($K$10:$K$12))/($Y$66-K72))/D72*$Y$3</f>
        <v>1.0864804566954217E-2</v>
      </c>
      <c r="AB72" s="8">
        <v>30</v>
      </c>
      <c r="AF72" s="80">
        <f>Picarro!G18</f>
        <v>0.23280848863702749</v>
      </c>
      <c r="AG72" s="80">
        <f>Picarro!H18</f>
        <v>7.4848308698954253E-3</v>
      </c>
      <c r="AH72" s="79">
        <f t="shared" ref="AH72" si="61">AG72/(AF72+AG72)*100</f>
        <v>3.1148726420085868</v>
      </c>
      <c r="AI72" s="71">
        <f>LN(($AE$66-AVERAGE($AH$44:$AH$46))/($AE$66-AH72))/D72</f>
        <v>1.3046468123755478E-2</v>
      </c>
      <c r="AJ72" s="70">
        <f t="shared" ref="AJ72" si="62">(AF72+AG72)/AB72*1000</f>
        <v>8.0097773168974307</v>
      </c>
      <c r="AL72" s="45">
        <f t="shared" ref="AL72" si="63">(J72*5)/1000000/(AJ72/12)*100</f>
        <v>3.5156744576165284</v>
      </c>
      <c r="AM72" s="45">
        <f>(M72*5)/1000000/(AJ72/12)*100</f>
        <v>7.8984916297813665E-2</v>
      </c>
      <c r="AO72" s="79">
        <f>Z72/AI72</f>
        <v>0.83277745853463514</v>
      </c>
    </row>
    <row r="73" spans="1:46" x14ac:dyDescent="0.3">
      <c r="A73" s="1" t="s">
        <v>65</v>
      </c>
      <c r="B73" s="1">
        <v>45</v>
      </c>
      <c r="C73" s="1">
        <v>45</v>
      </c>
      <c r="D73" s="1">
        <v>24</v>
      </c>
      <c r="E73" s="1" t="s">
        <v>71</v>
      </c>
      <c r="F73" s="1" t="s">
        <v>79</v>
      </c>
      <c r="G73" s="31">
        <f>'DMSPraw (JS)'!W96</f>
        <v>3676.0661642810196</v>
      </c>
      <c r="H73" s="31">
        <f>'DMSPraw (JS)'!X96</f>
        <v>197.66141664831076</v>
      </c>
      <c r="I73" s="31">
        <f>'DMSPraw (JS)'!Y96</f>
        <v>158.33354748047105</v>
      </c>
      <c r="J73" s="31">
        <f t="shared" si="34"/>
        <v>4032.0611284098018</v>
      </c>
      <c r="K73" s="31">
        <f t="shared" si="35"/>
        <v>4.9022425591614516</v>
      </c>
      <c r="L73" s="87"/>
      <c r="M73" s="31">
        <f>'DMSPraw (JS)'!Z96</f>
        <v>107.67624830895022</v>
      </c>
      <c r="N73" s="81">
        <f t="shared" si="60"/>
        <v>73.750855006130294</v>
      </c>
      <c r="O73" s="81">
        <f t="shared" si="17"/>
        <v>2.6010405615222099</v>
      </c>
      <c r="Z73" s="79">
        <f>LN(($Y$67-AVERAGE($K$10:$K$12))/($Y$67-K73))/D73*$Y$3</f>
        <v>1.2778140070417995E-2</v>
      </c>
      <c r="AF73" s="102"/>
      <c r="AG73" s="102"/>
      <c r="AH73" s="79"/>
      <c r="AI73" s="71"/>
      <c r="AJ73" s="70"/>
      <c r="AL73" s="45"/>
      <c r="AM73" s="45"/>
      <c r="AO73" s="89"/>
    </row>
  </sheetData>
  <sortState xmlns:xlrd2="http://schemas.microsoft.com/office/spreadsheetml/2017/richdata2" ref="C42:M73">
    <sortCondition ref="D42:D73"/>
    <sortCondition ref="C42:C73"/>
    <sortCondition ref="F42:F73"/>
  </sortState>
  <conditionalFormatting sqref="Z1:Z9 Z47:Z1048576 Z16:Z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:Z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5:Z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:A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">
    <cfRule type="colorScale" priority="2">
      <colorScale>
        <cfvo type="min"/>
        <cfvo type="num" val="0"/>
        <cfvo type="max"/>
        <color theme="8"/>
        <color theme="2"/>
        <color theme="7"/>
      </colorScale>
    </cfRule>
    <cfRule type="colorScale" priority="3">
      <colorScale>
        <cfvo type="min"/>
        <cfvo type="num" val="0"/>
        <cfvo type="max"/>
        <color rgb="FFF8696B"/>
        <color rgb="FF92D050"/>
        <color rgb="FFFF3399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5579-305B-F248-BC23-BD86DD169635}">
  <dimension ref="A3:AA1001"/>
  <sheetViews>
    <sheetView zoomScale="70" zoomScaleNormal="70" workbookViewId="0">
      <pane xSplit="6468" activePane="topRight"/>
      <selection activeCell="H176" sqref="H176"/>
      <selection pane="topRight" activeCell="I34" sqref="I34"/>
    </sheetView>
  </sheetViews>
  <sheetFormatPr defaultColWidth="12.6640625" defaultRowHeight="15" customHeight="1" x14ac:dyDescent="0.25"/>
  <cols>
    <col min="1" max="1" width="16.44140625" customWidth="1"/>
    <col min="2" max="2" width="7.77734375" bestFit="1" customWidth="1"/>
    <col min="3" max="3" width="9.33203125" bestFit="1" customWidth="1"/>
    <col min="4" max="4" width="8.33203125" bestFit="1" customWidth="1"/>
    <col min="5" max="6" width="8.33203125" customWidth="1"/>
    <col min="7" max="7" width="8.6640625" bestFit="1" customWidth="1"/>
    <col min="8" max="8" width="7.109375" bestFit="1" customWidth="1"/>
    <col min="9" max="9" width="11.109375" style="37" bestFit="1" customWidth="1"/>
    <col min="10" max="12" width="12.109375" style="26" customWidth="1"/>
    <col min="13" max="13" width="9.6640625" style="26" bestFit="1" customWidth="1"/>
    <col min="14" max="14" width="12.33203125" customWidth="1"/>
    <col min="15" max="15" width="8.6640625" bestFit="1" customWidth="1"/>
    <col min="16" max="16" width="8" customWidth="1"/>
    <col min="17" max="17" width="11.6640625" style="26" bestFit="1" customWidth="1"/>
    <col min="18" max="20" width="9.6640625" style="26" bestFit="1" customWidth="1"/>
    <col min="21" max="21" width="8" customWidth="1"/>
    <col min="27" max="27" width="9.6640625" style="26" bestFit="1" customWidth="1"/>
  </cols>
  <sheetData>
    <row r="3" spans="1:27" ht="15" customHeight="1" x14ac:dyDescent="0.3">
      <c r="M3" s="30" t="s">
        <v>100</v>
      </c>
      <c r="N3" s="24">
        <v>1260</v>
      </c>
      <c r="T3" s="48"/>
      <c r="U3" s="49" t="s">
        <v>182</v>
      </c>
      <c r="V3" s="50"/>
    </row>
    <row r="4" spans="1:27" ht="15" customHeight="1" x14ac:dyDescent="0.25">
      <c r="A4" s="1" t="s">
        <v>7</v>
      </c>
      <c r="B4" s="1"/>
      <c r="C4" s="1"/>
      <c r="D4" s="1"/>
      <c r="E4" s="1"/>
      <c r="F4" s="1"/>
      <c r="G4" s="1"/>
      <c r="H4" s="1"/>
      <c r="M4" s="36" t="s">
        <v>170</v>
      </c>
      <c r="N4" s="26">
        <f>AVERAGE(M7)/$N$3</f>
        <v>229.8920634920635</v>
      </c>
      <c r="O4" s="41"/>
      <c r="P4" s="42" t="s">
        <v>177</v>
      </c>
      <c r="Q4" s="43"/>
      <c r="R4" s="43"/>
      <c r="T4" s="51">
        <f>AVERAGE(T7:T174)</f>
        <v>5.7865809770922972E-3</v>
      </c>
      <c r="U4" s="51">
        <f>AVERAGE(U7:U174)</f>
        <v>4.2462914596891463E-3</v>
      </c>
      <c r="V4" s="51">
        <f>AVERAGE(V7:V174)</f>
        <v>6.049615174225121E-2</v>
      </c>
      <c r="W4" s="42" t="s">
        <v>181</v>
      </c>
      <c r="X4" s="41"/>
      <c r="Y4" s="42" t="s">
        <v>177</v>
      </c>
      <c r="Z4" s="43"/>
    </row>
    <row r="5" spans="1:27" s="34" customFormat="1" ht="12.75" customHeight="1" x14ac:dyDescent="0.25">
      <c r="A5" s="32" t="s">
        <v>0</v>
      </c>
      <c r="B5" s="32" t="s">
        <v>56</v>
      </c>
      <c r="C5" s="32" t="s">
        <v>173</v>
      </c>
      <c r="D5" s="32" t="s">
        <v>172</v>
      </c>
      <c r="E5" s="32" t="s">
        <v>175</v>
      </c>
      <c r="F5" s="32" t="s">
        <v>174</v>
      </c>
      <c r="G5" s="32" t="s">
        <v>117</v>
      </c>
      <c r="H5" s="32" t="s">
        <v>171</v>
      </c>
      <c r="I5" s="38" t="s">
        <v>1</v>
      </c>
      <c r="J5" s="32" t="s">
        <v>168</v>
      </c>
      <c r="K5" s="33" t="s">
        <v>10</v>
      </c>
      <c r="L5" s="33" t="s">
        <v>12</v>
      </c>
      <c r="M5" s="33" t="s">
        <v>17</v>
      </c>
      <c r="O5" s="44" t="s">
        <v>39</v>
      </c>
      <c r="P5" s="44" t="s">
        <v>10</v>
      </c>
      <c r="Q5" s="44" t="s">
        <v>12</v>
      </c>
      <c r="R5" s="44" t="s">
        <v>17</v>
      </c>
      <c r="S5" s="36" t="s">
        <v>96</v>
      </c>
      <c r="T5" s="52" t="s">
        <v>178</v>
      </c>
      <c r="U5" s="49" t="s">
        <v>179</v>
      </c>
      <c r="V5" s="49" t="s">
        <v>180</v>
      </c>
      <c r="W5" s="44" t="s">
        <v>39</v>
      </c>
      <c r="X5" s="44" t="s">
        <v>10</v>
      </c>
      <c r="Y5" s="44" t="s">
        <v>12</v>
      </c>
      <c r="Z5" s="44" t="s">
        <v>17</v>
      </c>
      <c r="AA5" s="36" t="s">
        <v>96</v>
      </c>
    </row>
    <row r="6" spans="1:27" ht="12.75" customHeight="1" x14ac:dyDescent="0.25">
      <c r="A6" s="1" t="s">
        <v>8</v>
      </c>
      <c r="B6" s="1" t="s">
        <v>65</v>
      </c>
      <c r="C6" s="1">
        <v>25</v>
      </c>
      <c r="D6" s="1"/>
      <c r="E6">
        <v>0</v>
      </c>
      <c r="F6" s="1" t="s">
        <v>67</v>
      </c>
      <c r="G6" s="1" t="s">
        <v>73</v>
      </c>
      <c r="H6" s="1">
        <v>10</v>
      </c>
      <c r="I6" s="39">
        <v>278.40798949999999</v>
      </c>
      <c r="J6" s="25">
        <v>54533.933599999997</v>
      </c>
      <c r="K6" s="24">
        <v>1619.0815429700001</v>
      </c>
      <c r="L6" s="24">
        <v>2811.8496093799999</v>
      </c>
      <c r="O6" s="26">
        <f>J6/$N$4/$H6</f>
        <v>23.72153817388422</v>
      </c>
      <c r="P6" s="26">
        <f t="shared" ref="P6:R6" si="0">K6/$N$4/$H6</f>
        <v>0.70427900745077054</v>
      </c>
      <c r="Q6" s="26">
        <f t="shared" si="0"/>
        <v>1.2231173041243646</v>
      </c>
      <c r="R6" s="26">
        <f t="shared" si="0"/>
        <v>0</v>
      </c>
      <c r="S6" s="26">
        <f>P6/(O6+P6+Q6)*100</f>
        <v>2.745841188256898</v>
      </c>
      <c r="W6" s="26">
        <f>O6-(T$4*$R6)</f>
        <v>23.72153817388422</v>
      </c>
      <c r="X6" s="26">
        <f t="shared" ref="X6:Y6" si="1">P6-(U$4*$R6)</f>
        <v>0.70427900745077054</v>
      </c>
      <c r="Y6" s="26">
        <f t="shared" si="1"/>
        <v>1.2231173041243646</v>
      </c>
      <c r="Z6" s="26">
        <f>R6-(0.001*W6)</f>
        <v>-2.372153817388422E-2</v>
      </c>
      <c r="AA6" s="26">
        <f>X6/(W6+X6+Y6)*100</f>
        <v>2.745841188256898</v>
      </c>
    </row>
    <row r="7" spans="1:27" ht="12.75" customHeight="1" x14ac:dyDescent="0.25">
      <c r="A7" s="1" t="s">
        <v>8</v>
      </c>
      <c r="B7" s="1"/>
      <c r="C7" s="1"/>
      <c r="D7" s="1"/>
      <c r="F7" s="1"/>
      <c r="G7" s="1" t="s">
        <v>116</v>
      </c>
      <c r="H7" s="1"/>
      <c r="I7" s="39">
        <v>708.01898193</v>
      </c>
      <c r="J7" s="24">
        <v>483.51864624000001</v>
      </c>
      <c r="K7" s="24">
        <v>1261.9854736299999</v>
      </c>
      <c r="L7" s="25">
        <v>17661.785199999998</v>
      </c>
      <c r="M7" s="25">
        <v>289664</v>
      </c>
      <c r="O7" s="26"/>
      <c r="P7" s="26"/>
      <c r="T7" s="46">
        <f>J7/$M7</f>
        <v>1.6692396923331861E-3</v>
      </c>
      <c r="U7" s="46">
        <f t="shared" ref="U7:V7" si="2">K7/$M7</f>
        <v>4.3567218350571693E-3</v>
      </c>
      <c r="V7" s="46">
        <f t="shared" si="2"/>
        <v>6.0973352574016787E-2</v>
      </c>
    </row>
    <row r="8" spans="1:27" ht="12.75" customHeight="1" x14ac:dyDescent="0.25">
      <c r="A8" s="1" t="s">
        <v>8</v>
      </c>
      <c r="B8" s="1" t="s">
        <v>65</v>
      </c>
      <c r="C8" s="1">
        <v>25</v>
      </c>
      <c r="D8" s="1"/>
      <c r="E8">
        <v>0</v>
      </c>
      <c r="F8" s="1" t="s">
        <v>70</v>
      </c>
      <c r="G8" s="1" t="s">
        <v>73</v>
      </c>
      <c r="H8" s="1">
        <v>10</v>
      </c>
      <c r="I8" s="39">
        <v>1465.2399902300001</v>
      </c>
      <c r="J8" s="25">
        <v>97336.070300000007</v>
      </c>
      <c r="K8" s="24">
        <v>2932.3041992200001</v>
      </c>
      <c r="L8" s="24">
        <v>4729.4262695300004</v>
      </c>
      <c r="M8" s="24">
        <v>218.97242736999999</v>
      </c>
      <c r="O8" s="26">
        <f t="shared" ref="O8:R10" si="3">J8/$N$4/$H8</f>
        <v>42.339900221636107</v>
      </c>
      <c r="P8" s="26">
        <f t="shared" si="3"/>
        <v>1.2755134538697248</v>
      </c>
      <c r="Q8" s="26">
        <f t="shared" si="3"/>
        <v>2.0572377304766212</v>
      </c>
      <c r="R8" s="26">
        <f t="shared" si="3"/>
        <v>9.5250103045666695E-2</v>
      </c>
      <c r="S8" s="26">
        <f>P8/(O8+P8+Q8)*100</f>
        <v>2.7927291598022945</v>
      </c>
      <c r="W8" s="26">
        <f>O8-(T$4*$R8)</f>
        <v>42.339349049201758</v>
      </c>
      <c r="X8" s="26">
        <f t="shared" ref="X8" si="4">P8-(U$4*$R8)</f>
        <v>1.2751089941706275</v>
      </c>
      <c r="Y8" s="26">
        <f t="shared" ref="Y8" si="5">Q8-(V$4*$R8)</f>
        <v>2.0514754657893053</v>
      </c>
      <c r="Z8" s="26">
        <f>R8-(0.001*W8)</f>
        <v>5.2910753996464936E-2</v>
      </c>
      <c r="AA8" s="26">
        <f>X8/(W8+X8+Y8)*100</f>
        <v>2.7922543046553727</v>
      </c>
    </row>
    <row r="9" spans="1:27" ht="12.75" customHeight="1" x14ac:dyDescent="0.25">
      <c r="A9" s="1" t="s">
        <v>8</v>
      </c>
      <c r="B9" s="1" t="s">
        <v>65</v>
      </c>
      <c r="C9" s="1">
        <v>25</v>
      </c>
      <c r="D9" s="1"/>
      <c r="E9">
        <v>0</v>
      </c>
      <c r="F9" s="1" t="s">
        <v>71</v>
      </c>
      <c r="G9" s="1" t="s">
        <v>73</v>
      </c>
      <c r="H9" s="1">
        <v>6</v>
      </c>
      <c r="I9" s="39">
        <v>2506.8701171900002</v>
      </c>
      <c r="J9" s="25">
        <v>11832.815399999999</v>
      </c>
      <c r="K9" s="24">
        <v>75.398963929999994</v>
      </c>
      <c r="L9" s="24">
        <v>277.83486937999999</v>
      </c>
      <c r="M9" s="24">
        <v>336.78948974999997</v>
      </c>
      <c r="O9" s="26">
        <f t="shared" si="3"/>
        <v>8.578529724094123</v>
      </c>
      <c r="P9" s="26">
        <f t="shared" si="3"/>
        <v>5.466258294196033E-2</v>
      </c>
      <c r="Q9" s="26">
        <f t="shared" si="3"/>
        <v>0.20142414165999226</v>
      </c>
      <c r="R9" s="26">
        <f t="shared" si="3"/>
        <v>0.2441649388515659</v>
      </c>
      <c r="S9" s="26">
        <f>P9/(O9+P9+Q9)*100</f>
        <v>0.61873181772399555</v>
      </c>
      <c r="T9"/>
      <c r="W9" s="26">
        <f>O9-(T$4*$R9)</f>
        <v>8.577116843903692</v>
      </c>
      <c r="X9" s="26">
        <f t="shared" ref="X9" si="6">P9-(U$4*$R9)</f>
        <v>5.3625787447359401E-2</v>
      </c>
      <c r="Y9" s="26">
        <f t="shared" ref="Y9" si="7">Q9-(V$4*$R9)</f>
        <v>0.18665310246909045</v>
      </c>
      <c r="Z9" s="26">
        <f>R9-(0.001*W9)</f>
        <v>0.23558782200766221</v>
      </c>
      <c r="AA9" s="26">
        <f>X9/(W9+X9+Y9)*100</f>
        <v>0.60818170201515942</v>
      </c>
    </row>
    <row r="10" spans="1:27" ht="12.75" customHeight="1" x14ac:dyDescent="0.25">
      <c r="A10" s="1" t="s">
        <v>8</v>
      </c>
      <c r="B10" s="1" t="s">
        <v>65</v>
      </c>
      <c r="C10" s="1">
        <v>25</v>
      </c>
      <c r="D10" s="1"/>
      <c r="E10">
        <v>0</v>
      </c>
      <c r="F10" s="1" t="s">
        <v>71</v>
      </c>
      <c r="G10" s="1" t="s">
        <v>73</v>
      </c>
      <c r="H10" s="1">
        <v>6</v>
      </c>
      <c r="I10" s="39">
        <v>3664.8999023400002</v>
      </c>
      <c r="J10" s="24">
        <v>8911.9189453100007</v>
      </c>
      <c r="K10" s="24">
        <v>293.10775756999999</v>
      </c>
      <c r="L10" s="24">
        <v>365.89547728999997</v>
      </c>
      <c r="M10" s="24">
        <v>172.06965636999999</v>
      </c>
      <c r="N10" s="35" t="s">
        <v>183</v>
      </c>
      <c r="O10" s="26">
        <f t="shared" si="3"/>
        <v>6.4609443303796814</v>
      </c>
      <c r="P10" s="26">
        <f t="shared" si="3"/>
        <v>0.21249664814992542</v>
      </c>
      <c r="Q10" s="26">
        <f t="shared" si="3"/>
        <v>0.26526613673394001</v>
      </c>
      <c r="R10" s="26">
        <f t="shared" si="3"/>
        <v>0.12474669906408803</v>
      </c>
      <c r="S10" s="26">
        <f>P10/(O10+P10+Q10)*100</f>
        <v>3.0624818805578644</v>
      </c>
      <c r="T10"/>
      <c r="W10" s="26">
        <f>O10-(T$4*$R10)</f>
        <v>6.4602224735039222</v>
      </c>
      <c r="X10" s="26">
        <f t="shared" ref="X10" si="8">P10-(U$4*$R10)</f>
        <v>0.21196693730706517</v>
      </c>
      <c r="Y10" s="26">
        <f t="shared" ref="Y10" si="9">Q10-(V$4*$R10)</f>
        <v>0.25771944149801401</v>
      </c>
      <c r="Z10" s="26">
        <f>R10-(0.001*W10)</f>
        <v>0.11828647659058411</v>
      </c>
      <c r="AA10" s="26">
        <f>X10/(W10+X10+Y10)*100</f>
        <v>3.0587261943054149</v>
      </c>
    </row>
    <row r="11" spans="1:27" ht="12.75" customHeight="1" x14ac:dyDescent="0.25">
      <c r="Q11"/>
      <c r="R11"/>
      <c r="S11"/>
      <c r="T11"/>
      <c r="AA11"/>
    </row>
    <row r="12" spans="1:27" ht="12.75" customHeight="1" x14ac:dyDescent="0.25">
      <c r="Q12"/>
      <c r="R12"/>
      <c r="S12"/>
      <c r="T12"/>
      <c r="AA12"/>
    </row>
    <row r="13" spans="1:27" ht="12.75" customHeight="1" x14ac:dyDescent="0.25">
      <c r="A13" s="1" t="s">
        <v>20</v>
      </c>
      <c r="B13" s="1"/>
      <c r="C13" s="1"/>
      <c r="D13" s="1"/>
      <c r="E13" s="1"/>
      <c r="F13" s="1"/>
      <c r="G13" s="1"/>
      <c r="H13" s="1"/>
      <c r="M13" s="36" t="s">
        <v>170</v>
      </c>
      <c r="N13" s="26">
        <f>AVERAGE(M15,M21,M28)/$N$3</f>
        <v>223.04864417989418</v>
      </c>
      <c r="Q13"/>
      <c r="R13"/>
      <c r="S13"/>
      <c r="T13"/>
      <c r="AA13"/>
    </row>
    <row r="14" spans="1:27" ht="12.75" customHeight="1" x14ac:dyDescent="0.25">
      <c r="A14" s="1" t="s">
        <v>25</v>
      </c>
      <c r="B14" s="1" t="s">
        <v>65</v>
      </c>
      <c r="C14" s="1">
        <v>25</v>
      </c>
      <c r="D14" s="1">
        <v>25</v>
      </c>
      <c r="E14">
        <v>24</v>
      </c>
      <c r="F14" s="1" t="s">
        <v>67</v>
      </c>
      <c r="G14" s="1" t="s">
        <v>73</v>
      </c>
      <c r="H14" s="1">
        <v>10</v>
      </c>
      <c r="I14" s="39">
        <v>1126.82995605</v>
      </c>
      <c r="J14" s="25">
        <v>43234.023399999998</v>
      </c>
      <c r="K14" s="24">
        <v>1343.6296386700001</v>
      </c>
      <c r="L14" s="24">
        <v>2248.4362793</v>
      </c>
      <c r="M14" s="25">
        <v>16956.8262</v>
      </c>
      <c r="O14" s="26">
        <f>J14/$N$13/$H14</f>
        <v>19.383226272889022</v>
      </c>
      <c r="P14" s="26">
        <f t="shared" ref="P14:R14" si="10">K14/$N$13/$H14</f>
        <v>0.6023930984249023</v>
      </c>
      <c r="Q14" s="26">
        <f t="shared" si="10"/>
        <v>1.0080474990408734</v>
      </c>
      <c r="R14" s="26">
        <f t="shared" si="10"/>
        <v>7.6022996070417292</v>
      </c>
      <c r="S14" s="26">
        <f>P14/(O14+P14+Q14)*100</f>
        <v>2.8694039118794579</v>
      </c>
      <c r="T14"/>
      <c r="W14" s="26">
        <f>O14-(T$4*$R14)</f>
        <v>19.339234950600758</v>
      </c>
      <c r="X14" s="26">
        <f t="shared" ref="X14" si="11">P14-(U$4*$R14)</f>
        <v>0.5701115185295228</v>
      </c>
      <c r="Y14" s="26">
        <f t="shared" ref="Y14" si="12">Q14-(V$4*$R14)</f>
        <v>0.54813762842322022</v>
      </c>
      <c r="Z14" s="26">
        <f>R14-(0.001*W14)</f>
        <v>7.5829603720911285</v>
      </c>
      <c r="AA14" s="26">
        <f>X14/(W14+X14+Y14)*100</f>
        <v>2.7868114955431009</v>
      </c>
    </row>
    <row r="15" spans="1:27" ht="12.75" customHeight="1" x14ac:dyDescent="0.25">
      <c r="A15" s="1" t="s">
        <v>25</v>
      </c>
      <c r="B15" s="1" t="s">
        <v>65</v>
      </c>
      <c r="C15" s="1"/>
      <c r="G15" s="1" t="s">
        <v>116</v>
      </c>
      <c r="H15" s="1"/>
      <c r="I15" s="39">
        <v>1855.25</v>
      </c>
      <c r="J15" s="24">
        <v>1263.6398925799999</v>
      </c>
      <c r="K15" s="24">
        <v>1155.8654785199999</v>
      </c>
      <c r="L15" s="25">
        <v>16325.739299999999</v>
      </c>
      <c r="M15" s="25">
        <v>285568.18800000002</v>
      </c>
      <c r="O15" s="26"/>
      <c r="P15" s="26"/>
      <c r="S15"/>
      <c r="T15" s="46">
        <f>J15/$M15</f>
        <v>4.425002313563021E-3</v>
      </c>
      <c r="U15" s="46">
        <f t="shared" ref="U15" si="13">K15/$M15</f>
        <v>4.047598882127584E-3</v>
      </c>
      <c r="V15" s="46">
        <f t="shared" ref="V15" si="14">L15/$M15</f>
        <v>5.7169320624746889E-2</v>
      </c>
      <c r="AA15"/>
    </row>
    <row r="16" spans="1:27" ht="12.75" customHeight="1" x14ac:dyDescent="0.25">
      <c r="A16" s="1" t="s">
        <v>25</v>
      </c>
      <c r="B16" s="1" t="s">
        <v>65</v>
      </c>
      <c r="C16" s="1">
        <v>25</v>
      </c>
      <c r="D16" s="1">
        <v>25</v>
      </c>
      <c r="E16">
        <v>24</v>
      </c>
      <c r="F16" s="1" t="s">
        <v>70</v>
      </c>
      <c r="G16" s="1" t="s">
        <v>73</v>
      </c>
      <c r="H16" s="1">
        <v>10</v>
      </c>
      <c r="I16" s="39">
        <v>2599.2700195299999</v>
      </c>
      <c r="J16" s="25">
        <v>93853.679699999993</v>
      </c>
      <c r="K16" s="24">
        <v>2784.6325683599998</v>
      </c>
      <c r="L16" s="24">
        <v>5468.6196289099998</v>
      </c>
      <c r="M16" s="25">
        <v>50389.886700000003</v>
      </c>
      <c r="O16" s="26">
        <f t="shared" ref="O16:R20" si="15">J16/$N$13/$H16</f>
        <v>42.077673256020645</v>
      </c>
      <c r="P16" s="26">
        <f t="shared" si="15"/>
        <v>1.2484418269380402</v>
      </c>
      <c r="Q16" s="26">
        <f t="shared" si="15"/>
        <v>2.4517609820122575</v>
      </c>
      <c r="R16" s="26">
        <f t="shared" si="15"/>
        <v>22.591433758888634</v>
      </c>
      <c r="S16" s="26">
        <f>P16/(O16+P16+Q16)*100</f>
        <v>2.7271728927881456</v>
      </c>
      <c r="T16"/>
      <c r="W16" s="26">
        <f t="shared" ref="W16:W20" si="16">O16-(T$4*$R16)</f>
        <v>41.94694609518622</v>
      </c>
      <c r="X16" s="26">
        <f t="shared" ref="X16:X20" si="17">P16-(U$4*$R16)</f>
        <v>1.1525120147055383</v>
      </c>
      <c r="Y16" s="26">
        <f t="shared" ref="Y16:Y20" si="18">Q16-(V$4*$R16)</f>
        <v>1.085066177259514</v>
      </c>
      <c r="Z16" s="26">
        <f t="shared" ref="Z16:Z19" si="19">R16-(0.001*W16)</f>
        <v>22.549486812793447</v>
      </c>
      <c r="AA16" s="26">
        <f>X16/(W16+X16+Y16)*100</f>
        <v>2.6084065253604765</v>
      </c>
    </row>
    <row r="17" spans="1:27" ht="12.75" customHeight="1" x14ac:dyDescent="0.25">
      <c r="A17" s="1" t="s">
        <v>25</v>
      </c>
      <c r="B17" s="1" t="s">
        <v>65</v>
      </c>
      <c r="C17" s="1">
        <v>25</v>
      </c>
      <c r="D17" s="1">
        <v>25</v>
      </c>
      <c r="E17">
        <v>24</v>
      </c>
      <c r="F17" s="1" t="s">
        <v>71</v>
      </c>
      <c r="G17" s="1" t="s">
        <v>73</v>
      </c>
      <c r="H17" s="1">
        <v>10</v>
      </c>
      <c r="I17" s="39">
        <v>3332.4899902299999</v>
      </c>
      <c r="J17" s="25">
        <v>35138.656199999998</v>
      </c>
      <c r="K17" s="24">
        <v>1578.61291504</v>
      </c>
      <c r="L17" s="24">
        <v>1981.4822998</v>
      </c>
      <c r="M17" s="25">
        <v>19252.123</v>
      </c>
      <c r="O17" s="26">
        <f t="shared" si="15"/>
        <v>15.753808470433835</v>
      </c>
      <c r="P17" s="26">
        <f t="shared" si="15"/>
        <v>0.70774378425129991</v>
      </c>
      <c r="Q17" s="26">
        <f t="shared" si="15"/>
        <v>0.88836330168493927</v>
      </c>
      <c r="R17" s="26">
        <f t="shared" si="15"/>
        <v>8.6313562096672918</v>
      </c>
      <c r="S17" s="26">
        <f>P17/(O17+P17+Q17)*100</f>
        <v>4.0792347487331115</v>
      </c>
      <c r="T17"/>
      <c r="W17" s="26">
        <f t="shared" si="16"/>
        <v>15.703862428784467</v>
      </c>
      <c r="X17" s="26">
        <f t="shared" si="17"/>
        <v>0.67109253009265479</v>
      </c>
      <c r="Y17" s="26">
        <f t="shared" si="18"/>
        <v>0.36619946668348458</v>
      </c>
      <c r="Z17" s="26">
        <f t="shared" si="19"/>
        <v>8.6156523472385071</v>
      </c>
      <c r="AA17" s="26">
        <f>X17/(W17+X17+Y17)*100</f>
        <v>4.0086395061742115</v>
      </c>
    </row>
    <row r="18" spans="1:27" ht="12.75" customHeight="1" x14ac:dyDescent="0.25">
      <c r="A18" s="1" t="s">
        <v>25</v>
      </c>
      <c r="B18" s="1" t="s">
        <v>65</v>
      </c>
      <c r="C18" s="1">
        <v>25</v>
      </c>
      <c r="D18" s="1">
        <v>45</v>
      </c>
      <c r="E18">
        <v>24</v>
      </c>
      <c r="F18" s="1" t="s">
        <v>67</v>
      </c>
      <c r="G18" s="1" t="s">
        <v>73</v>
      </c>
      <c r="H18" s="1">
        <v>10</v>
      </c>
      <c r="I18" s="39">
        <v>4082.5100097700001</v>
      </c>
      <c r="J18" s="25">
        <v>31075.333999999999</v>
      </c>
      <c r="K18" s="24">
        <v>991.74560546999999</v>
      </c>
      <c r="L18" s="24">
        <v>1404.10876465</v>
      </c>
      <c r="M18" s="24">
        <v>7028.6738281199996</v>
      </c>
      <c r="O18" s="26">
        <f t="shared" si="15"/>
        <v>13.93208827350548</v>
      </c>
      <c r="P18" s="26">
        <f t="shared" si="15"/>
        <v>0.44463198111625052</v>
      </c>
      <c r="Q18" s="26">
        <f t="shared" si="15"/>
        <v>0.62950786803149184</v>
      </c>
      <c r="R18" s="26">
        <f t="shared" si="15"/>
        <v>3.1511842871598907</v>
      </c>
      <c r="S18" s="26">
        <f>P18/(O18+P18+Q18)*100</f>
        <v>2.9629829526917519</v>
      </c>
      <c r="T18"/>
      <c r="W18" s="26">
        <f t="shared" si="16"/>
        <v>13.913853690454088</v>
      </c>
      <c r="X18" s="26">
        <f t="shared" si="17"/>
        <v>0.43125113418977684</v>
      </c>
      <c r="Y18" s="26">
        <f t="shared" si="18"/>
        <v>0.43887334522766941</v>
      </c>
      <c r="Z18" s="26">
        <f t="shared" si="19"/>
        <v>3.1372704334694368</v>
      </c>
      <c r="AA18" s="26">
        <f>X18/(W18+X18+Y18)*100</f>
        <v>2.9170168491497726</v>
      </c>
    </row>
    <row r="19" spans="1:27" ht="12.75" customHeight="1" x14ac:dyDescent="0.25">
      <c r="A19" s="1" t="s">
        <v>25</v>
      </c>
      <c r="B19" s="1" t="s">
        <v>65</v>
      </c>
      <c r="C19" s="1">
        <v>25</v>
      </c>
      <c r="D19" s="1">
        <v>45</v>
      </c>
      <c r="E19">
        <v>24</v>
      </c>
      <c r="F19" s="1" t="s">
        <v>70</v>
      </c>
      <c r="G19" s="1" t="s">
        <v>73</v>
      </c>
      <c r="H19" s="1">
        <v>10</v>
      </c>
      <c r="I19" s="39">
        <v>5552.5498046900002</v>
      </c>
      <c r="J19" s="25">
        <v>63243.164100000002</v>
      </c>
      <c r="K19" s="24">
        <v>1571.1608886700001</v>
      </c>
      <c r="L19" s="24">
        <v>3467.7548828099998</v>
      </c>
      <c r="M19" s="25">
        <v>18143.164100000002</v>
      </c>
      <c r="O19" s="26">
        <f t="shared" si="15"/>
        <v>28.353978268970263</v>
      </c>
      <c r="P19" s="26">
        <f t="shared" si="15"/>
        <v>0.70440279717765075</v>
      </c>
      <c r="Q19" s="26">
        <f t="shared" si="15"/>
        <v>1.5547078959212013</v>
      </c>
      <c r="R19" s="26">
        <f t="shared" si="15"/>
        <v>8.1341736761991239</v>
      </c>
      <c r="S19" s="26">
        <f>P19/(O19+P19+Q19)*100</f>
        <v>2.3009856929185912</v>
      </c>
      <c r="T19"/>
      <c r="W19" s="26">
        <f t="shared" si="16"/>
        <v>28.306909214311204</v>
      </c>
      <c r="X19" s="26">
        <f t="shared" si="17"/>
        <v>0.66986272496477817</v>
      </c>
      <c r="Y19" s="26">
        <f t="shared" si="18"/>
        <v>1.0626216909080337</v>
      </c>
      <c r="Z19" s="26">
        <f t="shared" si="19"/>
        <v>8.1058667669848123</v>
      </c>
      <c r="AA19" s="26">
        <f>X19/(W19+X19+Y19)*100</f>
        <v>2.2299475589004247</v>
      </c>
    </row>
    <row r="20" spans="1:27" ht="12.75" customHeight="1" x14ac:dyDescent="0.25">
      <c r="A20" s="1" t="s">
        <v>25</v>
      </c>
      <c r="B20" s="1" t="s">
        <v>65</v>
      </c>
      <c r="C20" s="1">
        <v>25</v>
      </c>
      <c r="D20" s="1">
        <v>45</v>
      </c>
      <c r="E20">
        <v>24</v>
      </c>
      <c r="F20" s="1" t="s">
        <v>71</v>
      </c>
      <c r="G20" s="1" t="s">
        <v>73</v>
      </c>
      <c r="H20" s="1">
        <v>10</v>
      </c>
      <c r="I20" s="39">
        <v>6954.1899414099998</v>
      </c>
      <c r="J20" s="25">
        <v>19601.050800000001</v>
      </c>
      <c r="K20" s="24">
        <v>556.47509765999996</v>
      </c>
      <c r="L20" s="24">
        <v>1133.3769531200001</v>
      </c>
      <c r="M20" s="24">
        <v>6014.5463867199996</v>
      </c>
      <c r="O20" s="26">
        <f t="shared" si="15"/>
        <v>8.7877919509751763</v>
      </c>
      <c r="P20" s="26">
        <f t="shared" si="15"/>
        <v>0.24948598082989876</v>
      </c>
      <c r="Q20" s="26">
        <f t="shared" si="15"/>
        <v>0.50812994505624698</v>
      </c>
      <c r="R20" s="26">
        <f t="shared" si="15"/>
        <v>2.6965177971981396</v>
      </c>
      <c r="S20" s="26">
        <f>P20/(O20+P20+Q20)*100</f>
        <v>2.6136754348095348</v>
      </c>
      <c r="T20"/>
      <c r="W20" s="26">
        <f t="shared" si="16"/>
        <v>8.7721883323855181</v>
      </c>
      <c r="X20" s="26">
        <f t="shared" si="17"/>
        <v>0.23803578033675651</v>
      </c>
      <c r="Y20" s="26">
        <f t="shared" si="18"/>
        <v>0.34500099522126737</v>
      </c>
      <c r="Z20" s="26">
        <f>R20-(0.001*W20)</f>
        <v>2.6877456088657539</v>
      </c>
      <c r="AA20" s="26">
        <f>X20/(W20+X20+Y20)*100</f>
        <v>2.5444153143320922</v>
      </c>
    </row>
    <row r="21" spans="1:27" ht="12.75" customHeight="1" x14ac:dyDescent="0.25">
      <c r="A21" s="1" t="s">
        <v>25</v>
      </c>
      <c r="B21" s="1" t="s">
        <v>65</v>
      </c>
      <c r="C21" s="1">
        <v>25</v>
      </c>
      <c r="D21" s="1"/>
      <c r="F21" s="1"/>
      <c r="G21" s="1" t="s">
        <v>116</v>
      </c>
      <c r="H21" s="1"/>
      <c r="I21" s="39">
        <v>7699.41015625</v>
      </c>
      <c r="J21" s="24">
        <v>701.54754638999998</v>
      </c>
      <c r="K21" s="24">
        <v>1320.6052246100001</v>
      </c>
      <c r="L21" s="25">
        <v>16628.992200000001</v>
      </c>
      <c r="M21" s="25">
        <v>292006.31199999998</v>
      </c>
      <c r="O21" s="26"/>
      <c r="P21" s="26"/>
      <c r="S21"/>
      <c r="T21" s="46">
        <f>J21/$M21</f>
        <v>2.4025081567072429E-3</v>
      </c>
      <c r="U21" s="46">
        <f t="shared" ref="U21" si="20">K21/$M21</f>
        <v>4.5225228713891641E-3</v>
      </c>
      <c r="V21" s="46">
        <f t="shared" ref="V21" si="21">L21/$M21</f>
        <v>5.6947372425291964E-2</v>
      </c>
      <c r="AA21"/>
    </row>
    <row r="22" spans="1:27" ht="12.75" customHeight="1" x14ac:dyDescent="0.25">
      <c r="A22" s="1" t="s">
        <v>25</v>
      </c>
      <c r="B22" s="1" t="s">
        <v>65</v>
      </c>
      <c r="C22" s="1">
        <v>25</v>
      </c>
      <c r="D22" s="1"/>
      <c r="E22">
        <v>0</v>
      </c>
      <c r="F22" s="1" t="s">
        <v>67</v>
      </c>
      <c r="G22" s="1" t="s">
        <v>68</v>
      </c>
      <c r="H22" s="1">
        <v>10</v>
      </c>
      <c r="I22" s="39">
        <v>8407.4296875</v>
      </c>
      <c r="J22" s="25">
        <v>289702.68800000002</v>
      </c>
      <c r="K22" s="24">
        <v>8866.9033203100007</v>
      </c>
      <c r="L22" s="25">
        <v>12961.300800000001</v>
      </c>
      <c r="M22" s="24">
        <v>291.40402222</v>
      </c>
      <c r="O22" s="26">
        <f t="shared" ref="O22:R27" si="22">J22/$N$13/$H22</f>
        <v>129.88318716985685</v>
      </c>
      <c r="P22" s="26">
        <f t="shared" si="22"/>
        <v>3.9753226713893972</v>
      </c>
      <c r="Q22" s="26">
        <f t="shared" si="22"/>
        <v>5.8109749322423117</v>
      </c>
      <c r="R22" s="26">
        <f t="shared" si="22"/>
        <v>0.13064595092762615</v>
      </c>
      <c r="S22" s="26">
        <f t="shared" ref="S22:S27" si="23">P22/(O22+P22+Q22)*100</f>
        <v>2.8462356525739652</v>
      </c>
      <c r="T22"/>
      <c r="W22" s="26">
        <f t="shared" ref="W22:W27" si="24">O22-(T$4*$R22)</f>
        <v>129.88243117648247</v>
      </c>
      <c r="X22" s="26">
        <f t="shared" ref="X22:X27" si="25">P22-(U$4*$R22)</f>
        <v>3.9747679106037301</v>
      </c>
      <c r="Y22" s="26">
        <f t="shared" ref="Y22:Y27" si="26">Q22-(V$4*$R22)</f>
        <v>5.8030713549704833</v>
      </c>
      <c r="Z22" s="26">
        <f t="shared" ref="Z22:Z27" si="27">R22-(0.001*W22)</f>
        <v>7.6351975114369308E-4</v>
      </c>
      <c r="AA22" s="26">
        <f t="shared" ref="AA22:AA27" si="28">X22/(W22+X22+Y22)*100</f>
        <v>2.8460262163482004</v>
      </c>
    </row>
    <row r="23" spans="1:27" ht="12.75" customHeight="1" x14ac:dyDescent="0.25">
      <c r="A23" s="1" t="s">
        <v>25</v>
      </c>
      <c r="B23" s="1" t="s">
        <v>65</v>
      </c>
      <c r="C23" s="1">
        <v>25</v>
      </c>
      <c r="D23" s="1"/>
      <c r="E23">
        <v>0</v>
      </c>
      <c r="F23" s="1" t="s">
        <v>70</v>
      </c>
      <c r="G23" s="1" t="s">
        <v>68</v>
      </c>
      <c r="H23" s="1">
        <v>10</v>
      </c>
      <c r="I23" s="39">
        <v>9162.25</v>
      </c>
      <c r="J23" s="25">
        <v>604020.56200000003</v>
      </c>
      <c r="K23" s="25">
        <v>18343.511699999999</v>
      </c>
      <c r="L23" s="25">
        <v>26772.392599999999</v>
      </c>
      <c r="M23" s="24">
        <v>553.66363524999997</v>
      </c>
      <c r="O23" s="26">
        <f t="shared" si="22"/>
        <v>270.80216704336601</v>
      </c>
      <c r="P23" s="26">
        <f t="shared" si="22"/>
        <v>8.2239960558583398</v>
      </c>
      <c r="Q23" s="26">
        <f t="shared" si="22"/>
        <v>12.00293895461091</v>
      </c>
      <c r="R23" s="26">
        <f t="shared" si="22"/>
        <v>0.24822551030772316</v>
      </c>
      <c r="S23" s="26">
        <f t="shared" si="23"/>
        <v>2.8258328798805303</v>
      </c>
      <c r="T23"/>
      <c r="W23" s="26">
        <f t="shared" si="24"/>
        <v>270.80073066635003</v>
      </c>
      <c r="X23" s="26">
        <f t="shared" si="25"/>
        <v>8.2229420179938426</v>
      </c>
      <c r="Y23" s="26">
        <f t="shared" si="26"/>
        <v>11.987922266473037</v>
      </c>
      <c r="Z23" s="26">
        <f t="shared" si="27"/>
        <v>-2.2575220358626857E-2</v>
      </c>
      <c r="AA23" s="26">
        <f t="shared" si="28"/>
        <v>2.8256406825932761</v>
      </c>
    </row>
    <row r="24" spans="1:27" ht="12.75" customHeight="1" x14ac:dyDescent="0.25">
      <c r="A24" s="1" t="s">
        <v>25</v>
      </c>
      <c r="B24" s="1" t="s">
        <v>65</v>
      </c>
      <c r="C24" s="1">
        <v>25</v>
      </c>
      <c r="D24" s="1"/>
      <c r="E24">
        <v>0</v>
      </c>
      <c r="F24" s="1" t="s">
        <v>71</v>
      </c>
      <c r="G24" s="1" t="s">
        <v>68</v>
      </c>
      <c r="H24" s="1">
        <v>6</v>
      </c>
      <c r="I24" s="39">
        <v>9900.26953125</v>
      </c>
      <c r="J24" s="25">
        <v>278863.65600000002</v>
      </c>
      <c r="K24" s="24">
        <v>8189.9047851599998</v>
      </c>
      <c r="L24" s="25">
        <v>12791.6348</v>
      </c>
      <c r="M24" s="24">
        <v>294.50637817</v>
      </c>
      <c r="O24" s="26">
        <f t="shared" si="22"/>
        <v>208.37282455084076</v>
      </c>
      <c r="P24" s="26">
        <f t="shared" si="22"/>
        <v>6.1196701548165739</v>
      </c>
      <c r="Q24" s="26">
        <f t="shared" si="22"/>
        <v>9.558180195051408</v>
      </c>
      <c r="R24" s="26">
        <f t="shared" si="22"/>
        <v>0.22006139755809906</v>
      </c>
      <c r="S24" s="26">
        <f t="shared" si="23"/>
        <v>2.7313776928048057</v>
      </c>
      <c r="T24"/>
      <c r="W24" s="26">
        <f t="shared" si="24"/>
        <v>208.37155114774387</v>
      </c>
      <c r="X24" s="26">
        <f t="shared" si="25"/>
        <v>6.1187357099835156</v>
      </c>
      <c r="Y24" s="26">
        <f t="shared" si="26"/>
        <v>9.5448673273521223</v>
      </c>
      <c r="Z24" s="26">
        <f t="shared" si="27"/>
        <v>1.168984641035517E-2</v>
      </c>
      <c r="AA24" s="26">
        <f t="shared" si="28"/>
        <v>2.7311498198754629</v>
      </c>
    </row>
    <row r="25" spans="1:27" ht="12.75" customHeight="1" x14ac:dyDescent="0.25">
      <c r="A25" s="1" t="s">
        <v>25</v>
      </c>
      <c r="B25" s="1" t="s">
        <v>65</v>
      </c>
      <c r="C25" s="1">
        <v>25</v>
      </c>
      <c r="D25" s="1"/>
      <c r="E25">
        <v>0</v>
      </c>
      <c r="F25" s="1" t="s">
        <v>67</v>
      </c>
      <c r="G25" s="1" t="s">
        <v>75</v>
      </c>
      <c r="H25" s="1">
        <v>10</v>
      </c>
      <c r="I25" s="40">
        <v>10638.299800000001</v>
      </c>
      <c r="J25" s="25">
        <v>5380736.5</v>
      </c>
      <c r="K25" s="25">
        <v>141278.40599999999</v>
      </c>
      <c r="L25" s="25">
        <v>225640.141</v>
      </c>
      <c r="M25" s="24">
        <v>5088.8515625</v>
      </c>
      <c r="O25" s="26">
        <f t="shared" si="22"/>
        <v>2412.3601018889426</v>
      </c>
      <c r="P25" s="26">
        <f t="shared" si="22"/>
        <v>63.339728658496348</v>
      </c>
      <c r="Q25" s="26">
        <f t="shared" si="22"/>
        <v>101.16185275621568</v>
      </c>
      <c r="R25" s="26">
        <f t="shared" si="22"/>
        <v>2.2814985409172523</v>
      </c>
      <c r="S25" s="26">
        <f t="shared" si="23"/>
        <v>2.4580181803662788</v>
      </c>
      <c r="T25"/>
      <c r="W25" s="26">
        <f t="shared" si="24"/>
        <v>2412.3468998128865</v>
      </c>
      <c r="X25" s="26">
        <f t="shared" si="25"/>
        <v>63.330040750726759</v>
      </c>
      <c r="Y25" s="26">
        <f t="shared" si="26"/>
        <v>101.02383087428463</v>
      </c>
      <c r="Z25" s="26">
        <f t="shared" si="27"/>
        <v>-0.1308483588956344</v>
      </c>
      <c r="AA25" s="26">
        <f t="shared" si="28"/>
        <v>2.4577956995521126</v>
      </c>
    </row>
    <row r="26" spans="1:27" ht="12.75" customHeight="1" x14ac:dyDescent="0.25">
      <c r="A26" s="1" t="s">
        <v>25</v>
      </c>
      <c r="B26" s="1" t="s">
        <v>65</v>
      </c>
      <c r="C26" s="1">
        <v>25</v>
      </c>
      <c r="D26" s="1"/>
      <c r="E26">
        <v>0</v>
      </c>
      <c r="F26" s="1" t="s">
        <v>70</v>
      </c>
      <c r="G26" s="1" t="s">
        <v>75</v>
      </c>
      <c r="H26" s="1">
        <v>10</v>
      </c>
      <c r="I26" s="40">
        <v>11339.0996</v>
      </c>
      <c r="J26" s="25">
        <v>5039859</v>
      </c>
      <c r="K26" s="25">
        <v>139104.891</v>
      </c>
      <c r="L26" s="25">
        <v>216288.09400000001</v>
      </c>
      <c r="M26" s="24">
        <v>3787.2155761700001</v>
      </c>
      <c r="O26" s="26">
        <f t="shared" si="22"/>
        <v>2259.5335732842341</v>
      </c>
      <c r="P26" s="26">
        <f t="shared" si="22"/>
        <v>62.365270818597097</v>
      </c>
      <c r="Q26" s="26">
        <f t="shared" si="22"/>
        <v>96.969024310929399</v>
      </c>
      <c r="R26" s="26">
        <f t="shared" si="22"/>
        <v>1.6979325698637819</v>
      </c>
      <c r="S26" s="26">
        <f t="shared" si="23"/>
        <v>2.5782834867906548</v>
      </c>
      <c r="T26"/>
      <c r="W26" s="26">
        <f t="shared" si="24"/>
        <v>2259.5237480599249</v>
      </c>
      <c r="X26" s="26">
        <f t="shared" si="25"/>
        <v>62.358060902026558</v>
      </c>
      <c r="Y26" s="26">
        <f t="shared" si="26"/>
        <v>96.866305924534814</v>
      </c>
      <c r="Z26" s="26">
        <f t="shared" si="27"/>
        <v>-0.5615911781961429</v>
      </c>
      <c r="AA26" s="26">
        <f t="shared" si="28"/>
        <v>2.5781130543621353</v>
      </c>
    </row>
    <row r="27" spans="1:27" ht="12.75" customHeight="1" x14ac:dyDescent="0.25">
      <c r="A27" s="1" t="s">
        <v>25</v>
      </c>
      <c r="B27" s="1" t="s">
        <v>65</v>
      </c>
      <c r="C27" s="1">
        <v>25</v>
      </c>
      <c r="D27" s="1"/>
      <c r="E27">
        <v>0</v>
      </c>
      <c r="F27" s="1" t="s">
        <v>71</v>
      </c>
      <c r="G27" s="1" t="s">
        <v>75</v>
      </c>
      <c r="H27" s="1">
        <v>10</v>
      </c>
      <c r="I27" s="40">
        <v>12102.299800000001</v>
      </c>
      <c r="J27" s="25">
        <v>7134724</v>
      </c>
      <c r="K27" s="25">
        <v>187328.17199999999</v>
      </c>
      <c r="L27" s="25">
        <v>295545.375</v>
      </c>
      <c r="M27" s="24">
        <v>6452.7744140599998</v>
      </c>
      <c r="O27" s="26">
        <f t="shared" si="22"/>
        <v>3198.7300466375714</v>
      </c>
      <c r="P27" s="26">
        <f t="shared" si="22"/>
        <v>83.98534440268341</v>
      </c>
      <c r="Q27" s="26">
        <f t="shared" si="22"/>
        <v>132.50265478486182</v>
      </c>
      <c r="R27" s="26">
        <f t="shared" si="22"/>
        <v>2.8929897501890571</v>
      </c>
      <c r="S27" s="26">
        <f t="shared" si="23"/>
        <v>2.4591502877934857</v>
      </c>
      <c r="T27"/>
      <c r="W27" s="26">
        <f t="shared" si="24"/>
        <v>3198.7133061181162</v>
      </c>
      <c r="X27" s="26">
        <f t="shared" si="25"/>
        <v>83.973059925014212</v>
      </c>
      <c r="Y27" s="26">
        <f t="shared" si="26"/>
        <v>132.3276400379456</v>
      </c>
      <c r="Z27" s="26">
        <f t="shared" si="27"/>
        <v>-0.3057235559290592</v>
      </c>
      <c r="AA27" s="26">
        <f t="shared" si="28"/>
        <v>2.4589374970493343</v>
      </c>
    </row>
    <row r="28" spans="1:27" ht="12.75" customHeight="1" x14ac:dyDescent="0.25">
      <c r="A28" s="1" t="s">
        <v>25</v>
      </c>
      <c r="B28" s="1" t="s">
        <v>65</v>
      </c>
      <c r="C28" s="1">
        <v>25</v>
      </c>
      <c r="D28" s="1"/>
      <c r="F28" s="1"/>
      <c r="G28" s="1" t="s">
        <v>116</v>
      </c>
      <c r="H28" s="1"/>
      <c r="I28" s="40">
        <v>12870.4004</v>
      </c>
      <c r="J28" s="47">
        <v>0</v>
      </c>
      <c r="K28" s="24">
        <v>159.12886047000001</v>
      </c>
      <c r="L28" s="25">
        <v>14347.982400000001</v>
      </c>
      <c r="M28" s="25">
        <v>265549.375</v>
      </c>
      <c r="O28" s="26"/>
      <c r="P28" s="26"/>
      <c r="S28"/>
      <c r="T28" s="46"/>
      <c r="U28" s="46">
        <f t="shared" ref="U28" si="29">K28/$M28</f>
        <v>5.9924396534542779E-4</v>
      </c>
      <c r="V28" s="46">
        <f t="shared" ref="V28" si="30">L28/$M28</f>
        <v>5.4031316774893562E-2</v>
      </c>
      <c r="AA28"/>
    </row>
    <row r="29" spans="1:27" ht="12.75" customHeight="1" x14ac:dyDescent="0.25">
      <c r="Q29"/>
      <c r="R29"/>
      <c r="S29"/>
      <c r="T29"/>
      <c r="AA29"/>
    </row>
    <row r="30" spans="1:27" ht="12.75" customHeight="1" x14ac:dyDescent="0.25">
      <c r="Q30"/>
      <c r="R30"/>
      <c r="S30"/>
      <c r="T30"/>
      <c r="AA30"/>
    </row>
    <row r="31" spans="1:27" ht="12.75" customHeight="1" x14ac:dyDescent="0.25">
      <c r="A31" s="6">
        <v>45680</v>
      </c>
      <c r="B31" s="39" t="s">
        <v>29</v>
      </c>
      <c r="D31" s="6"/>
      <c r="E31" s="6"/>
      <c r="F31" s="6"/>
      <c r="G31" s="6"/>
      <c r="H31" s="6"/>
      <c r="M31" s="36" t="s">
        <v>170</v>
      </c>
      <c r="N31" s="26">
        <f>AVERAGE(M32,M39,M49)/$N$3</f>
        <v>211.05704788359787</v>
      </c>
      <c r="Q31"/>
      <c r="R31"/>
      <c r="S31"/>
      <c r="T31"/>
      <c r="AA31"/>
    </row>
    <row r="32" spans="1:27" ht="12.75" customHeight="1" x14ac:dyDescent="0.25">
      <c r="A32" s="1" t="s">
        <v>30</v>
      </c>
      <c r="B32" s="1"/>
      <c r="D32" s="1"/>
      <c r="E32" s="1"/>
      <c r="F32" s="1"/>
      <c r="G32" s="1" t="s">
        <v>116</v>
      </c>
      <c r="H32" s="1"/>
      <c r="I32" s="39">
        <v>906.02502441000001</v>
      </c>
      <c r="J32" s="24">
        <v>2335.5646972700001</v>
      </c>
      <c r="K32" s="24">
        <v>617.15289307</v>
      </c>
      <c r="L32" s="25">
        <v>16039.987300000001</v>
      </c>
      <c r="M32" s="25">
        <v>270616.68800000002</v>
      </c>
      <c r="O32" s="26"/>
      <c r="Q32"/>
      <c r="R32"/>
      <c r="S32"/>
      <c r="T32" s="46">
        <f>J32/$M32</f>
        <v>8.6305272395839835E-3</v>
      </c>
      <c r="U32" s="46">
        <f t="shared" ref="U32" si="31">K32/$M32</f>
        <v>2.2805426288788218E-3</v>
      </c>
      <c r="V32" s="46">
        <f t="shared" ref="V32" si="32">L32/$M32</f>
        <v>5.9271981408626211E-2</v>
      </c>
      <c r="AA32"/>
    </row>
    <row r="33" spans="1:27" ht="12.75" customHeight="1" x14ac:dyDescent="0.25">
      <c r="A33" s="1" t="s">
        <v>30</v>
      </c>
      <c r="B33" s="1" t="s">
        <v>65</v>
      </c>
      <c r="C33" s="1">
        <v>25</v>
      </c>
      <c r="D33" s="1">
        <v>25</v>
      </c>
      <c r="E33" s="1">
        <v>24</v>
      </c>
      <c r="F33" s="1" t="s">
        <v>67</v>
      </c>
      <c r="G33" s="1" t="s">
        <v>68</v>
      </c>
      <c r="H33" s="1">
        <v>10</v>
      </c>
      <c r="I33" s="39">
        <v>1647.65002441</v>
      </c>
      <c r="J33" s="25">
        <v>18570.894499999999</v>
      </c>
      <c r="K33" s="24">
        <v>931.05340576000003</v>
      </c>
      <c r="L33" s="24">
        <v>566.59130859000004</v>
      </c>
      <c r="M33" s="24">
        <v>1692.9757080100001</v>
      </c>
      <c r="O33" s="26">
        <f t="shared" ref="O33:O38" si="33">J33/$N$31/$H33</f>
        <v>8.7989928250309895</v>
      </c>
      <c r="P33" s="26">
        <f t="shared" ref="P33:R33" si="34">K33/$N$31/$H33</f>
        <v>0.44113826811104379</v>
      </c>
      <c r="Q33" s="26">
        <f t="shared" si="34"/>
        <v>0.26845410483637877</v>
      </c>
      <c r="R33" s="26">
        <f t="shared" si="34"/>
        <v>0.80214128122540096</v>
      </c>
      <c r="S33" s="26">
        <f t="shared" ref="S33:S38" si="35">P33/(O33+P33+Q33)*100</f>
        <v>4.6393680965790027</v>
      </c>
      <c r="T33"/>
      <c r="W33" s="26">
        <f t="shared" ref="W33:W38" si="36">O33-(T$4*$R33)</f>
        <v>8.7943511695521099</v>
      </c>
      <c r="X33" s="26">
        <f t="shared" ref="X33:X38" si="37">P33-(U$4*$R33)</f>
        <v>0.43773214243911224</v>
      </c>
      <c r="Y33" s="26">
        <f t="shared" ref="Y33:Y38" si="38">Q33-(V$4*$R33)</f>
        <v>0.2199276441686431</v>
      </c>
      <c r="Z33" s="26">
        <f t="shared" ref="Z33:Z38" si="39">R33-(0.001*W33)</f>
        <v>0.79334693005584889</v>
      </c>
      <c r="AA33" s="26">
        <f t="shared" ref="AA33:AA38" si="40">X33/(W33+X33+Y33)*100</f>
        <v>4.6311006670368133</v>
      </c>
    </row>
    <row r="34" spans="1:27" ht="12.75" customHeight="1" x14ac:dyDescent="0.25">
      <c r="A34" s="1" t="s">
        <v>30</v>
      </c>
      <c r="B34" s="1" t="s">
        <v>65</v>
      </c>
      <c r="C34" s="1">
        <v>25</v>
      </c>
      <c r="D34" s="1">
        <v>25</v>
      </c>
      <c r="E34" s="1">
        <v>24</v>
      </c>
      <c r="F34" s="1" t="s">
        <v>70</v>
      </c>
      <c r="G34" s="1" t="s">
        <v>68</v>
      </c>
      <c r="H34" s="1">
        <v>10</v>
      </c>
      <c r="I34" s="39">
        <v>2368.8601074200001</v>
      </c>
      <c r="J34" s="25">
        <v>84911.0625</v>
      </c>
      <c r="K34" s="24">
        <v>4900.2094726599998</v>
      </c>
      <c r="L34" s="24">
        <v>4281.45703125</v>
      </c>
      <c r="M34" s="24">
        <v>5982.0175781199996</v>
      </c>
      <c r="O34" s="26">
        <f t="shared" si="33"/>
        <v>40.231332405838501</v>
      </c>
      <c r="P34" s="26">
        <f t="shared" ref="P34:R38" si="41">K34/$N$31/$H34</f>
        <v>2.3217464291278072</v>
      </c>
      <c r="Q34" s="26">
        <f t="shared" si="41"/>
        <v>2.0285780902286232</v>
      </c>
      <c r="R34" s="26">
        <f t="shared" si="41"/>
        <v>2.8343131101782495</v>
      </c>
      <c r="S34" s="26">
        <f t="shared" si="35"/>
        <v>5.2078513659183736</v>
      </c>
      <c r="T34"/>
      <c r="W34" s="26">
        <f t="shared" si="36"/>
        <v>40.21493142351202</v>
      </c>
      <c r="X34" s="26">
        <f t="shared" si="37"/>
        <v>2.3097111095739722</v>
      </c>
      <c r="Y34" s="26">
        <f t="shared" si="38"/>
        <v>1.8571130542302279</v>
      </c>
      <c r="Z34" s="26">
        <f t="shared" si="39"/>
        <v>2.7940981787547376</v>
      </c>
      <c r="AA34" s="26">
        <f t="shared" si="40"/>
        <v>5.2041905035276708</v>
      </c>
    </row>
    <row r="35" spans="1:27" ht="12.75" customHeight="1" x14ac:dyDescent="0.25">
      <c r="A35" s="1" t="s">
        <v>30</v>
      </c>
      <c r="B35" s="1" t="s">
        <v>65</v>
      </c>
      <c r="C35" s="1">
        <v>25</v>
      </c>
      <c r="D35" s="1">
        <v>25</v>
      </c>
      <c r="E35" s="1">
        <v>24</v>
      </c>
      <c r="F35" s="1" t="s">
        <v>71</v>
      </c>
      <c r="G35" s="1" t="s">
        <v>68</v>
      </c>
      <c r="H35" s="1">
        <v>10</v>
      </c>
      <c r="I35" s="39">
        <v>3120.0900878900002</v>
      </c>
      <c r="J35" s="25">
        <v>114974.164</v>
      </c>
      <c r="K35" s="24">
        <v>6892.0419921900002</v>
      </c>
      <c r="L35" s="24">
        <v>5629.4921875</v>
      </c>
      <c r="M35" s="24">
        <v>6680.8208007800004</v>
      </c>
      <c r="O35" s="26">
        <f t="shared" si="33"/>
        <v>54.475396653614965</v>
      </c>
      <c r="P35" s="26">
        <f t="shared" si="41"/>
        <v>3.2654877253808161</v>
      </c>
      <c r="Q35" s="26">
        <f t="shared" si="41"/>
        <v>2.6672846246787154</v>
      </c>
      <c r="R35" s="26">
        <f t="shared" si="41"/>
        <v>3.1654099532675191</v>
      </c>
      <c r="S35" s="26">
        <f t="shared" si="35"/>
        <v>5.4057055183748144</v>
      </c>
      <c r="T35"/>
      <c r="W35" s="26">
        <f t="shared" si="36"/>
        <v>54.457079752594687</v>
      </c>
      <c r="X35" s="26">
        <f t="shared" si="37"/>
        <v>3.2520464721298414</v>
      </c>
      <c r="Y35" s="26">
        <f t="shared" si="38"/>
        <v>2.4757895038194113</v>
      </c>
      <c r="Z35" s="26">
        <f t="shared" si="39"/>
        <v>3.1109528735149246</v>
      </c>
      <c r="AA35" s="26">
        <f t="shared" si="40"/>
        <v>5.4034244839649928</v>
      </c>
    </row>
    <row r="36" spans="1:27" ht="12.75" customHeight="1" x14ac:dyDescent="0.25">
      <c r="A36" s="1" t="s">
        <v>30</v>
      </c>
      <c r="B36" s="1" t="s">
        <v>65</v>
      </c>
      <c r="C36" s="1">
        <v>25</v>
      </c>
      <c r="D36" s="1">
        <v>45</v>
      </c>
      <c r="E36" s="1">
        <v>24</v>
      </c>
      <c r="F36" s="1" t="s">
        <v>67</v>
      </c>
      <c r="G36" s="1" t="s">
        <v>68</v>
      </c>
      <c r="H36" s="1">
        <v>10</v>
      </c>
      <c r="I36" s="39">
        <v>3865.3100585900002</v>
      </c>
      <c r="J36" s="24">
        <v>6842.0493164099998</v>
      </c>
      <c r="K36" s="24">
        <v>522.83752441000001</v>
      </c>
      <c r="L36" s="24">
        <v>188.37605285999999</v>
      </c>
      <c r="M36" s="24">
        <v>479.64306641000002</v>
      </c>
      <c r="O36" s="26">
        <f t="shared" si="33"/>
        <v>3.2418009182917809</v>
      </c>
      <c r="P36" s="26">
        <f t="shared" si="41"/>
        <v>0.2477233191939438</v>
      </c>
      <c r="Q36" s="26">
        <f t="shared" si="41"/>
        <v>8.9253618748563704E-2</v>
      </c>
      <c r="R36" s="26">
        <f t="shared" si="41"/>
        <v>0.22725754539812035</v>
      </c>
      <c r="S36" s="26">
        <f t="shared" si="35"/>
        <v>6.9220088294221949</v>
      </c>
      <c r="T36"/>
      <c r="W36" s="26">
        <f t="shared" si="36"/>
        <v>3.2404858741026792</v>
      </c>
      <c r="X36" s="26">
        <f t="shared" si="37"/>
        <v>0.24675831741976983</v>
      </c>
      <c r="Y36" s="26">
        <f t="shared" si="38"/>
        <v>7.5505411797587477E-2</v>
      </c>
      <c r="Z36" s="26">
        <f t="shared" si="39"/>
        <v>0.22401705952401768</v>
      </c>
      <c r="AA36" s="26">
        <f t="shared" si="40"/>
        <v>6.9260639925360454</v>
      </c>
    </row>
    <row r="37" spans="1:27" ht="12.75" customHeight="1" x14ac:dyDescent="0.25">
      <c r="A37" s="1" t="s">
        <v>30</v>
      </c>
      <c r="B37" s="1" t="s">
        <v>65</v>
      </c>
      <c r="C37" s="1">
        <v>25</v>
      </c>
      <c r="D37" s="1">
        <v>45</v>
      </c>
      <c r="E37" s="1">
        <v>24</v>
      </c>
      <c r="F37" s="1" t="s">
        <v>70</v>
      </c>
      <c r="G37" s="1" t="s">
        <v>68</v>
      </c>
      <c r="H37" s="1">
        <v>10</v>
      </c>
      <c r="I37" s="39">
        <v>4600.9301757800004</v>
      </c>
      <c r="J37" s="25">
        <v>32317.453099999999</v>
      </c>
      <c r="K37" s="24">
        <v>2754.1574707</v>
      </c>
      <c r="L37" s="24">
        <v>1805.2675781200001</v>
      </c>
      <c r="M37" s="24">
        <v>1496.3487548799999</v>
      </c>
      <c r="O37" s="26">
        <f t="shared" si="33"/>
        <v>15.312188540523749</v>
      </c>
      <c r="P37" s="26">
        <f t="shared" si="41"/>
        <v>1.3049350866591161</v>
      </c>
      <c r="Q37" s="26">
        <f t="shared" si="41"/>
        <v>0.85534579215551276</v>
      </c>
      <c r="R37" s="26">
        <f t="shared" si="41"/>
        <v>0.70897834016197636</v>
      </c>
      <c r="S37" s="26">
        <f t="shared" si="35"/>
        <v>7.4685212223912947</v>
      </c>
      <c r="T37"/>
      <c r="W37" s="26">
        <f t="shared" si="36"/>
        <v>15.308085979947398</v>
      </c>
      <c r="X37" s="26">
        <f t="shared" si="37"/>
        <v>1.3019245579881817</v>
      </c>
      <c r="Y37" s="26">
        <f t="shared" si="38"/>
        <v>0.81245533090710442</v>
      </c>
      <c r="Z37" s="26">
        <f t="shared" si="39"/>
        <v>0.69367025418202899</v>
      </c>
      <c r="AA37" s="26">
        <f t="shared" si="40"/>
        <v>7.4726767599325141</v>
      </c>
    </row>
    <row r="38" spans="1:27" ht="12.75" customHeight="1" x14ac:dyDescent="0.25">
      <c r="A38" s="1" t="s">
        <v>30</v>
      </c>
      <c r="B38" s="1" t="s">
        <v>65</v>
      </c>
      <c r="C38" s="1">
        <v>25</v>
      </c>
      <c r="D38" s="1">
        <v>45</v>
      </c>
      <c r="E38" s="1">
        <v>24</v>
      </c>
      <c r="F38" s="1" t="s">
        <v>71</v>
      </c>
      <c r="G38" s="1" t="s">
        <v>68</v>
      </c>
      <c r="H38" s="1">
        <v>10</v>
      </c>
      <c r="I38" s="39">
        <v>5338.9501953099998</v>
      </c>
      <c r="J38" s="25">
        <v>77461.679699999993</v>
      </c>
      <c r="K38" s="24">
        <v>4706.8798828099998</v>
      </c>
      <c r="L38" s="24">
        <v>3473.91137695</v>
      </c>
      <c r="M38" s="24">
        <v>2411.8666992200001</v>
      </c>
      <c r="O38" s="26">
        <f t="shared" si="33"/>
        <v>36.701773514202486</v>
      </c>
      <c r="P38" s="26">
        <f t="shared" si="41"/>
        <v>2.2301457970765974</v>
      </c>
      <c r="Q38" s="26">
        <f t="shared" si="41"/>
        <v>1.6459584798447149</v>
      </c>
      <c r="R38" s="26">
        <f t="shared" si="41"/>
        <v>1.1427558204785428</v>
      </c>
      <c r="S38" s="26">
        <f t="shared" si="35"/>
        <v>5.4959645956754057</v>
      </c>
      <c r="T38"/>
      <c r="W38" s="26">
        <f t="shared" si="36"/>
        <v>36.695160865110246</v>
      </c>
      <c r="X38" s="26">
        <f t="shared" si="37"/>
        <v>2.2252933227955896</v>
      </c>
      <c r="Y38" s="26">
        <f t="shared" si="38"/>
        <v>1.5768261503247041</v>
      </c>
      <c r="Z38" s="26">
        <f t="shared" si="39"/>
        <v>1.1060606596134326</v>
      </c>
      <c r="AA38" s="26">
        <f t="shared" si="40"/>
        <v>5.4949204099882527</v>
      </c>
    </row>
    <row r="39" spans="1:27" ht="12.75" customHeight="1" x14ac:dyDescent="0.25">
      <c r="A39" s="1" t="s">
        <v>30</v>
      </c>
      <c r="B39" s="1" t="s">
        <v>65</v>
      </c>
      <c r="C39" s="1"/>
      <c r="D39" s="1"/>
      <c r="E39" s="1"/>
      <c r="F39" s="1"/>
      <c r="G39" s="1" t="s">
        <v>116</v>
      </c>
      <c r="H39" s="1"/>
      <c r="I39" s="39">
        <v>7116.1899414099998</v>
      </c>
      <c r="J39" s="24">
        <v>831.40179443</v>
      </c>
      <c r="K39" s="24">
        <v>688.72131348000005</v>
      </c>
      <c r="L39" s="25">
        <v>14502.4004</v>
      </c>
      <c r="M39" s="25">
        <v>255663.984</v>
      </c>
      <c r="O39" s="26"/>
      <c r="P39" s="26"/>
      <c r="S39"/>
      <c r="T39" s="46">
        <f>J39/$M39</f>
        <v>3.2519316229930924E-3</v>
      </c>
      <c r="U39" s="46">
        <f t="shared" ref="U39" si="42">K39/$M39</f>
        <v>2.6938534818420107E-3</v>
      </c>
      <c r="V39" s="46">
        <f t="shared" ref="V39" si="43">L39/$M39</f>
        <v>5.672445595622104E-2</v>
      </c>
      <c r="AA39"/>
    </row>
    <row r="40" spans="1:27" ht="12.75" customHeight="1" x14ac:dyDescent="0.25">
      <c r="A40" s="1" t="s">
        <v>30</v>
      </c>
      <c r="B40" s="1" t="s">
        <v>65</v>
      </c>
      <c r="C40" s="1">
        <v>45</v>
      </c>
      <c r="D40" s="1" t="s">
        <v>66</v>
      </c>
      <c r="E40" s="1">
        <v>0</v>
      </c>
      <c r="F40" s="1" t="s">
        <v>67</v>
      </c>
      <c r="G40" s="1" t="s">
        <v>73</v>
      </c>
      <c r="H40" s="1">
        <v>10</v>
      </c>
      <c r="I40" s="39">
        <v>7838.6098632800004</v>
      </c>
      <c r="J40" s="25">
        <v>22431.023399999998</v>
      </c>
      <c r="K40" s="24">
        <v>623.69958496000004</v>
      </c>
      <c r="L40" s="24">
        <v>664.27642821999996</v>
      </c>
      <c r="M40" s="24">
        <v>12.182189940000001</v>
      </c>
      <c r="O40" s="26">
        <f t="shared" ref="O40:O48" si="44">J40/$N$31/$H40</f>
        <v>10.627943309607527</v>
      </c>
      <c r="P40" s="26">
        <f t="shared" ref="P40:P48" si="45">K40/$N$31/$H40</f>
        <v>0.29551232295449459</v>
      </c>
      <c r="Q40" s="26">
        <f t="shared" ref="Q40:Q48" si="46">L40/$N$31/$H40</f>
        <v>0.31473785636685375</v>
      </c>
      <c r="R40" s="26">
        <f t="shared" ref="R40:R48" si="47">M40/$N$31/$H40</f>
        <v>5.7719891669851834E-3</v>
      </c>
      <c r="S40" s="26">
        <f t="shared" ref="S40:S48" si="48">P40/(O40+P40+Q40)*100</f>
        <v>2.6295358168162331</v>
      </c>
      <c r="T40"/>
      <c r="W40" s="26">
        <f t="shared" ref="W40:W48" si="49">O40-(T$4*$R40)</f>
        <v>10.627909909524814</v>
      </c>
      <c r="X40" s="26">
        <f t="shared" ref="X40:X48" si="50">P40-(U$4*$R40)</f>
        <v>0.2954878134061894</v>
      </c>
      <c r="Y40" s="26">
        <f t="shared" ref="Y40:Y48" si="51">Q40-(V$4*$R40)</f>
        <v>0.31438867323435321</v>
      </c>
      <c r="Z40" s="26">
        <f t="shared" ref="Z40:Z48" si="52">R40-(0.001*W40)</f>
        <v>-4.855920742539631E-3</v>
      </c>
      <c r="AA40" s="26">
        <f t="shared" ref="AA40:AA48" si="53">X40/(W40+X40+Y40)*100</f>
        <v>2.6294129732437166</v>
      </c>
    </row>
    <row r="41" spans="1:27" ht="12.75" customHeight="1" x14ac:dyDescent="0.25">
      <c r="A41" s="1" t="s">
        <v>30</v>
      </c>
      <c r="B41" s="1" t="s">
        <v>65</v>
      </c>
      <c r="C41" s="1">
        <v>45</v>
      </c>
      <c r="D41" s="1" t="s">
        <v>66</v>
      </c>
      <c r="E41" s="1">
        <v>0</v>
      </c>
      <c r="F41" s="1" t="s">
        <v>70</v>
      </c>
      <c r="G41" s="1" t="s">
        <v>73</v>
      </c>
      <c r="H41" s="1">
        <v>10</v>
      </c>
      <c r="I41" s="39">
        <v>8577.8300781199996</v>
      </c>
      <c r="J41" s="25">
        <v>22496.511699999999</v>
      </c>
      <c r="K41" s="24">
        <v>609.52722168000003</v>
      </c>
      <c r="L41" s="24">
        <v>1049.7631835899999</v>
      </c>
      <c r="M41" s="24">
        <v>46.265281680000001</v>
      </c>
      <c r="O41" s="26">
        <f t="shared" si="44"/>
        <v>10.658972029404708</v>
      </c>
      <c r="P41" s="26">
        <f t="shared" si="45"/>
        <v>0.28879737861972099</v>
      </c>
      <c r="Q41" s="26">
        <f t="shared" si="46"/>
        <v>0.49738361931839636</v>
      </c>
      <c r="R41" s="26">
        <f t="shared" si="47"/>
        <v>2.1920747088965357E-2</v>
      </c>
      <c r="S41" s="26">
        <f t="shared" si="48"/>
        <v>2.5233160092291915</v>
      </c>
      <c r="T41"/>
      <c r="W41" s="26">
        <f t="shared" si="49"/>
        <v>10.6588451832266</v>
      </c>
      <c r="X41" s="26">
        <f t="shared" si="50"/>
        <v>0.28870429673856712</v>
      </c>
      <c r="Y41" s="26">
        <f t="shared" si="51"/>
        <v>0.49605749847619879</v>
      </c>
      <c r="Z41" s="26">
        <f t="shared" si="52"/>
        <v>1.1261901905738758E-2</v>
      </c>
      <c r="AA41" s="26">
        <f t="shared" si="53"/>
        <v>2.5228435167553176</v>
      </c>
    </row>
    <row r="42" spans="1:27" ht="12.75" customHeight="1" x14ac:dyDescent="0.25">
      <c r="A42" s="1" t="s">
        <v>30</v>
      </c>
      <c r="B42" s="1" t="s">
        <v>65</v>
      </c>
      <c r="C42" s="1">
        <v>45</v>
      </c>
      <c r="D42" s="1" t="s">
        <v>66</v>
      </c>
      <c r="E42" s="1">
        <v>0</v>
      </c>
      <c r="F42" s="1" t="s">
        <v>71</v>
      </c>
      <c r="G42" s="1" t="s">
        <v>73</v>
      </c>
      <c r="H42" s="1">
        <v>10</v>
      </c>
      <c r="I42" s="39">
        <v>9312.25</v>
      </c>
      <c r="J42" s="25">
        <v>21264.152300000002</v>
      </c>
      <c r="K42" s="24">
        <v>676.28259276999995</v>
      </c>
      <c r="L42" s="24">
        <v>881.40893555000002</v>
      </c>
      <c r="M42" s="24">
        <v>145.60089110999999</v>
      </c>
      <c r="O42" s="26">
        <f t="shared" si="44"/>
        <v>10.075073309907946</v>
      </c>
      <c r="P42" s="26">
        <f t="shared" si="45"/>
        <v>0.32042644372766133</v>
      </c>
      <c r="Q42" s="26">
        <f t="shared" si="46"/>
        <v>0.41761644275253695</v>
      </c>
      <c r="R42" s="26">
        <f t="shared" si="47"/>
        <v>6.8986509841785407E-2</v>
      </c>
      <c r="S42" s="26">
        <f t="shared" si="48"/>
        <v>2.963312683486115</v>
      </c>
      <c r="T42"/>
      <c r="W42" s="26">
        <f t="shared" si="49"/>
        <v>10.07467411388242</v>
      </c>
      <c r="X42" s="26">
        <f t="shared" si="50"/>
        <v>0.32013350690008641</v>
      </c>
      <c r="Y42" s="26">
        <f t="shared" si="51"/>
        <v>0.41344302438497998</v>
      </c>
      <c r="Z42" s="26">
        <f t="shared" si="52"/>
        <v>5.8911835727902984E-2</v>
      </c>
      <c r="AA42" s="26">
        <f t="shared" si="53"/>
        <v>2.9619363707412019</v>
      </c>
    </row>
    <row r="43" spans="1:27" ht="12.75" customHeight="1" x14ac:dyDescent="0.25">
      <c r="A43" s="1" t="s">
        <v>30</v>
      </c>
      <c r="B43" s="1" t="s">
        <v>65</v>
      </c>
      <c r="C43" s="1">
        <v>25</v>
      </c>
      <c r="D43" s="1">
        <v>25</v>
      </c>
      <c r="E43" s="1">
        <v>24</v>
      </c>
      <c r="F43" s="1" t="s">
        <v>67</v>
      </c>
      <c r="G43" s="1" t="s">
        <v>75</v>
      </c>
      <c r="H43" s="1">
        <v>10</v>
      </c>
      <c r="I43" s="40">
        <v>10032.299800000001</v>
      </c>
      <c r="J43" s="25">
        <v>2481377</v>
      </c>
      <c r="K43" s="25">
        <v>147270.79699999999</v>
      </c>
      <c r="L43" s="25">
        <v>119741.594</v>
      </c>
      <c r="M43" s="25">
        <v>187016.84400000001</v>
      </c>
      <c r="O43" s="26">
        <f t="shared" si="44"/>
        <v>1175.6901865549303</v>
      </c>
      <c r="P43" s="26">
        <f t="shared" si="45"/>
        <v>69.777720515271653</v>
      </c>
      <c r="Q43" s="26">
        <f t="shared" si="46"/>
        <v>56.734231432081742</v>
      </c>
      <c r="R43" s="26">
        <f t="shared" si="47"/>
        <v>88.609618051297431</v>
      </c>
      <c r="S43" s="26">
        <f t="shared" si="48"/>
        <v>5.3584400188073635</v>
      </c>
      <c r="T43"/>
      <c r="W43" s="26">
        <f t="shared" si="49"/>
        <v>1175.1774398247271</v>
      </c>
      <c r="X43" s="26">
        <f t="shared" si="50"/>
        <v>69.401458250894109</v>
      </c>
      <c r="Y43" s="26">
        <f t="shared" si="51"/>
        <v>51.373690532627535</v>
      </c>
      <c r="Z43" s="26">
        <f t="shared" si="52"/>
        <v>87.434440611472709</v>
      </c>
      <c r="AA43" s="26">
        <f t="shared" si="53"/>
        <v>5.3552467012258385</v>
      </c>
    </row>
    <row r="44" spans="1:27" ht="12.75" customHeight="1" x14ac:dyDescent="0.25">
      <c r="A44" s="1" t="s">
        <v>30</v>
      </c>
      <c r="B44" s="1" t="s">
        <v>65</v>
      </c>
      <c r="C44" s="1">
        <v>25</v>
      </c>
      <c r="D44" s="1">
        <v>25</v>
      </c>
      <c r="E44" s="1">
        <v>24</v>
      </c>
      <c r="F44" s="1" t="s">
        <v>70</v>
      </c>
      <c r="G44" s="1" t="s">
        <v>75</v>
      </c>
      <c r="H44" s="1">
        <v>10</v>
      </c>
      <c r="I44" s="40">
        <v>10901.0996</v>
      </c>
      <c r="J44" s="25">
        <v>2320980.5</v>
      </c>
      <c r="K44" s="25">
        <v>146607.141</v>
      </c>
      <c r="L44" s="25">
        <v>115185.81200000001</v>
      </c>
      <c r="M44" s="25">
        <v>185444.03099999999</v>
      </c>
      <c r="O44" s="26">
        <f t="shared" si="44"/>
        <v>1099.6934351512707</v>
      </c>
      <c r="P44" s="26">
        <f t="shared" si="45"/>
        <v>69.463276621236901</v>
      </c>
      <c r="Q44" s="26">
        <f t="shared" si="46"/>
        <v>54.575676650005661</v>
      </c>
      <c r="R44" s="26">
        <f t="shared" si="47"/>
        <v>87.864410527657924</v>
      </c>
      <c r="S44" s="26">
        <f t="shared" si="48"/>
        <v>5.6763453577281302</v>
      </c>
      <c r="T44"/>
      <c r="W44" s="26">
        <f t="shared" si="49"/>
        <v>1099.185000624748</v>
      </c>
      <c r="X44" s="26">
        <f t="shared" si="50"/>
        <v>69.090178725202691</v>
      </c>
      <c r="Y44" s="26">
        <f t="shared" si="51"/>
        <v>49.260217937981011</v>
      </c>
      <c r="Z44" s="26">
        <f t="shared" si="52"/>
        <v>86.765225527033181</v>
      </c>
      <c r="AA44" s="26">
        <f t="shared" si="53"/>
        <v>5.6745930244904201</v>
      </c>
    </row>
    <row r="45" spans="1:27" ht="12.75" customHeight="1" x14ac:dyDescent="0.25">
      <c r="A45" s="1" t="s">
        <v>30</v>
      </c>
      <c r="B45" s="1" t="s">
        <v>65</v>
      </c>
      <c r="C45" s="1">
        <v>25</v>
      </c>
      <c r="D45" s="1">
        <v>25</v>
      </c>
      <c r="E45" s="1">
        <v>24</v>
      </c>
      <c r="F45" s="1" t="s">
        <v>71</v>
      </c>
      <c r="G45" s="1" t="s">
        <v>75</v>
      </c>
      <c r="H45" s="1">
        <v>10</v>
      </c>
      <c r="I45" s="40">
        <v>11750.700199999999</v>
      </c>
      <c r="J45" s="25">
        <v>3557957.25</v>
      </c>
      <c r="K45" s="25">
        <v>217125.96900000001</v>
      </c>
      <c r="L45" s="25">
        <v>170883.92199999999</v>
      </c>
      <c r="M45" s="25">
        <v>212210.93799999999</v>
      </c>
      <c r="O45" s="26">
        <f t="shared" si="44"/>
        <v>1685.7798806900223</v>
      </c>
      <c r="P45" s="26">
        <f t="shared" si="45"/>
        <v>102.87548848866172</v>
      </c>
      <c r="Q45" s="26">
        <f t="shared" si="46"/>
        <v>80.965750119960859</v>
      </c>
      <c r="R45" s="26">
        <f t="shared" si="47"/>
        <v>100.54671953766666</v>
      </c>
      <c r="S45" s="26">
        <f t="shared" si="48"/>
        <v>5.5024778778308647</v>
      </c>
      <c r="T45"/>
      <c r="W45" s="26">
        <f t="shared" si="49"/>
        <v>1685.1980589554366</v>
      </c>
      <c r="X45" s="26">
        <f t="shared" si="50"/>
        <v>102.44853781218916</v>
      </c>
      <c r="Y45" s="26">
        <f t="shared" si="51"/>
        <v>74.8830605176246</v>
      </c>
      <c r="Z45" s="26">
        <f t="shared" si="52"/>
        <v>98.861521478711225</v>
      </c>
      <c r="AA45" s="26">
        <f t="shared" si="53"/>
        <v>5.5005050476089643</v>
      </c>
    </row>
    <row r="46" spans="1:27" ht="12.75" customHeight="1" x14ac:dyDescent="0.25">
      <c r="A46" s="1" t="s">
        <v>30</v>
      </c>
      <c r="B46" s="1" t="s">
        <v>65</v>
      </c>
      <c r="C46" s="1">
        <v>25</v>
      </c>
      <c r="D46" s="1">
        <v>45</v>
      </c>
      <c r="E46" s="1">
        <v>24</v>
      </c>
      <c r="F46" s="1" t="s">
        <v>67</v>
      </c>
      <c r="G46" s="1" t="s">
        <v>75</v>
      </c>
      <c r="H46" s="1">
        <v>10</v>
      </c>
      <c r="I46" s="40">
        <v>12617.0996</v>
      </c>
      <c r="J46" s="25">
        <v>3244844.5</v>
      </c>
      <c r="K46" s="25">
        <v>233266.359</v>
      </c>
      <c r="L46" s="25">
        <v>158309.07800000001</v>
      </c>
      <c r="M46" s="25">
        <v>187935.40599999999</v>
      </c>
      <c r="O46" s="26">
        <f t="shared" si="44"/>
        <v>1537.4253229342978</v>
      </c>
      <c r="P46" s="26">
        <f t="shared" si="45"/>
        <v>110.52289479982255</v>
      </c>
      <c r="Q46" s="26">
        <f t="shared" si="46"/>
        <v>75.007719281334104</v>
      </c>
      <c r="R46" s="26">
        <f t="shared" si="47"/>
        <v>89.044837822070775</v>
      </c>
      <c r="S46" s="26">
        <f t="shared" si="48"/>
        <v>6.4147255553890119</v>
      </c>
      <c r="T46"/>
      <c r="W46" s="26">
        <f t="shared" si="49"/>
        <v>1536.9100577696483</v>
      </c>
      <c r="X46" s="26">
        <f t="shared" si="50"/>
        <v>110.14478446544929</v>
      </c>
      <c r="Y46" s="26">
        <f t="shared" si="51"/>
        <v>69.620849260585956</v>
      </c>
      <c r="Z46" s="26">
        <f t="shared" si="52"/>
        <v>87.50792776430113</v>
      </c>
      <c r="AA46" s="26">
        <f t="shared" si="53"/>
        <v>6.4161673058633291</v>
      </c>
    </row>
    <row r="47" spans="1:27" ht="12.75" customHeight="1" x14ac:dyDescent="0.25">
      <c r="A47" s="1" t="s">
        <v>30</v>
      </c>
      <c r="B47" s="1" t="s">
        <v>65</v>
      </c>
      <c r="C47" s="1">
        <v>25</v>
      </c>
      <c r="D47" s="1">
        <v>45</v>
      </c>
      <c r="E47" s="1">
        <v>24</v>
      </c>
      <c r="F47" s="1" t="s">
        <v>70</v>
      </c>
      <c r="G47" s="1" t="s">
        <v>75</v>
      </c>
      <c r="H47" s="1">
        <v>10</v>
      </c>
      <c r="I47" s="40">
        <v>13482.4004</v>
      </c>
      <c r="J47" s="25">
        <v>3557965.75</v>
      </c>
      <c r="K47" s="25">
        <v>242668.03099999999</v>
      </c>
      <c r="L47" s="25">
        <v>168328.375</v>
      </c>
      <c r="M47" s="25">
        <v>217636.06200000001</v>
      </c>
      <c r="O47" s="26">
        <f t="shared" si="44"/>
        <v>1685.7839080371712</v>
      </c>
      <c r="P47" s="26">
        <f t="shared" si="45"/>
        <v>114.97745914357533</v>
      </c>
      <c r="Q47" s="26">
        <f t="shared" si="46"/>
        <v>79.754917775992212</v>
      </c>
      <c r="R47" s="26">
        <f t="shared" si="47"/>
        <v>103.11717338149758</v>
      </c>
      <c r="S47" s="26">
        <f t="shared" si="48"/>
        <v>6.1141432309489616</v>
      </c>
      <c r="T47"/>
      <c r="W47" s="26">
        <f t="shared" si="49"/>
        <v>1685.1872121632703</v>
      </c>
      <c r="X47" s="26">
        <f t="shared" si="50"/>
        <v>114.53959357089819</v>
      </c>
      <c r="Y47" s="26">
        <f t="shared" si="51"/>
        <v>73.516725607873113</v>
      </c>
      <c r="Z47" s="26">
        <f t="shared" si="52"/>
        <v>101.43198616933431</v>
      </c>
      <c r="AA47" s="26">
        <f t="shared" si="53"/>
        <v>6.1145062910661157</v>
      </c>
    </row>
    <row r="48" spans="1:27" ht="12.75" customHeight="1" x14ac:dyDescent="0.25">
      <c r="A48" s="1" t="s">
        <v>30</v>
      </c>
      <c r="B48" s="1" t="s">
        <v>65</v>
      </c>
      <c r="C48" s="1">
        <v>25</v>
      </c>
      <c r="D48" s="1">
        <v>45</v>
      </c>
      <c r="E48" s="1">
        <v>24</v>
      </c>
      <c r="F48" s="1" t="s">
        <v>71</v>
      </c>
      <c r="G48" s="1" t="s">
        <v>75</v>
      </c>
      <c r="H48" s="1">
        <v>10</v>
      </c>
      <c r="I48" s="40">
        <v>14335.5996</v>
      </c>
      <c r="J48" s="25">
        <v>4259312</v>
      </c>
      <c r="K48" s="25">
        <v>307744.84399999998</v>
      </c>
      <c r="L48" s="25">
        <v>200782.234</v>
      </c>
      <c r="M48" s="25">
        <v>218509.81200000001</v>
      </c>
      <c r="O48" s="26">
        <f t="shared" si="44"/>
        <v>2018.085651586056</v>
      </c>
      <c r="P48" s="26">
        <f t="shared" si="45"/>
        <v>145.81121411767654</v>
      </c>
      <c r="Q48" s="26">
        <f t="shared" si="46"/>
        <v>95.131736188566123</v>
      </c>
      <c r="R48" s="26">
        <f t="shared" si="47"/>
        <v>103.53116097810316</v>
      </c>
      <c r="S48" s="26">
        <f t="shared" si="48"/>
        <v>6.4545979628383749</v>
      </c>
      <c r="T48"/>
      <c r="W48" s="26">
        <f t="shared" si="49"/>
        <v>2017.4865601394038</v>
      </c>
      <c r="X48" s="26">
        <f t="shared" si="50"/>
        <v>145.37159063300351</v>
      </c>
      <c r="Y48" s="26">
        <f t="shared" si="51"/>
        <v>88.868499363983361</v>
      </c>
      <c r="Z48" s="26">
        <f t="shared" si="52"/>
        <v>101.51367441796376</v>
      </c>
      <c r="AA48" s="26">
        <f t="shared" si="53"/>
        <v>6.4560052448727774</v>
      </c>
    </row>
    <row r="49" spans="1:27" ht="12.75" customHeight="1" x14ac:dyDescent="0.25">
      <c r="A49" s="1" t="s">
        <v>30</v>
      </c>
      <c r="B49" s="1" t="s">
        <v>65</v>
      </c>
      <c r="C49" s="1"/>
      <c r="D49" s="1"/>
      <c r="E49" s="1"/>
      <c r="F49" s="1"/>
      <c r="G49" s="1" t="s">
        <v>116</v>
      </c>
      <c r="H49" s="1"/>
      <c r="I49" s="40">
        <v>15851.200199999999</v>
      </c>
      <c r="J49" s="24">
        <v>1624.72753906</v>
      </c>
      <c r="K49" s="24">
        <v>1330.88183594</v>
      </c>
      <c r="L49" s="25">
        <v>16668.101600000002</v>
      </c>
      <c r="M49" s="25">
        <v>271514.96899999998</v>
      </c>
      <c r="O49" s="26"/>
      <c r="P49" s="26"/>
      <c r="S49"/>
      <c r="T49" s="46">
        <f>J49/$M49</f>
        <v>5.9839335748004385E-3</v>
      </c>
      <c r="U49" s="46">
        <f t="shared" ref="U49" si="54">K49/$M49</f>
        <v>4.9016886282243982E-3</v>
      </c>
      <c r="V49" s="46">
        <f t="shared" ref="V49" si="55">L49/$M49</f>
        <v>6.1389254748602837E-2</v>
      </c>
      <c r="AA49"/>
    </row>
    <row r="50" spans="1:27" ht="12.75" customHeight="1" x14ac:dyDescent="0.25">
      <c r="A50" s="1" t="s">
        <v>30</v>
      </c>
      <c r="B50" s="1" t="s">
        <v>65</v>
      </c>
      <c r="C50" s="1">
        <v>25</v>
      </c>
      <c r="D50" s="1">
        <v>25</v>
      </c>
      <c r="E50" s="1">
        <v>24</v>
      </c>
      <c r="F50" s="1" t="s">
        <v>67</v>
      </c>
      <c r="G50" s="1" t="s">
        <v>79</v>
      </c>
      <c r="H50" s="1">
        <v>10</v>
      </c>
      <c r="I50" s="40">
        <v>16601.300800000001</v>
      </c>
      <c r="J50" s="25">
        <v>2691091.75</v>
      </c>
      <c r="K50" s="25">
        <v>160160.859</v>
      </c>
      <c r="L50" s="25">
        <v>135254.42199999999</v>
      </c>
      <c r="M50" s="25">
        <v>182294.09400000001</v>
      </c>
      <c r="O50" s="26">
        <f t="shared" ref="O50:R55" si="56">J50/$N$31/$H50</f>
        <v>1275.0541983720866</v>
      </c>
      <c r="P50" s="26">
        <f t="shared" si="56"/>
        <v>75.885103390781751</v>
      </c>
      <c r="Q50" s="26">
        <f t="shared" si="56"/>
        <v>64.084295386617683</v>
      </c>
      <c r="R50" s="26">
        <f t="shared" si="56"/>
        <v>86.37195290466623</v>
      </c>
      <c r="S50" s="26">
        <f t="shared" ref="S50:S55" si="57">P50/(O50+P50+Q50)*100</f>
        <v>5.3628154006512361</v>
      </c>
      <c r="T50"/>
      <c r="W50" s="26">
        <f t="shared" ref="W50:W55" si="58">O50-(T$4*$R50)</f>
        <v>1274.5544000724542</v>
      </c>
      <c r="X50" s="26">
        <f t="shared" ref="X50:X55" si="59">P50-(U$4*$R50)</f>
        <v>75.518342904805991</v>
      </c>
      <c r="Y50" s="26">
        <f t="shared" ref="Y50:Y55" si="60">Q50-(V$4*$R50)</f>
        <v>58.859124617422417</v>
      </c>
      <c r="Z50" s="26">
        <f t="shared" ref="Z50:Z55" si="61">R50-(0.001*W50)</f>
        <v>85.09739850459377</v>
      </c>
      <c r="AA50" s="26">
        <f t="shared" ref="AA50:AA55" si="62">X50/(W50+X50+Y50)*100</f>
        <v>5.35997124074781</v>
      </c>
    </row>
    <row r="51" spans="1:27" ht="12.75" customHeight="1" x14ac:dyDescent="0.25">
      <c r="A51" s="1" t="s">
        <v>30</v>
      </c>
      <c r="B51" s="1" t="s">
        <v>65</v>
      </c>
      <c r="C51" s="1">
        <v>25</v>
      </c>
      <c r="D51" s="1">
        <v>25</v>
      </c>
      <c r="E51" s="1">
        <v>24</v>
      </c>
      <c r="F51" s="1" t="s">
        <v>70</v>
      </c>
      <c r="G51" s="1" t="s">
        <v>79</v>
      </c>
      <c r="H51" s="1">
        <v>10</v>
      </c>
      <c r="I51" s="40">
        <v>17452.099600000001</v>
      </c>
      <c r="J51" s="25">
        <v>1939191.5</v>
      </c>
      <c r="K51" s="25">
        <v>124032.79700000001</v>
      </c>
      <c r="L51" s="25">
        <v>97709.3125</v>
      </c>
      <c r="M51" s="25">
        <v>117317.625</v>
      </c>
      <c r="O51" s="26">
        <f t="shared" si="56"/>
        <v>918.79968920512079</v>
      </c>
      <c r="P51" s="26">
        <f t="shared" si="56"/>
        <v>58.767427216364048</v>
      </c>
      <c r="Q51" s="26">
        <f t="shared" si="56"/>
        <v>46.295214246476441</v>
      </c>
      <c r="R51" s="26">
        <f t="shared" si="56"/>
        <v>55.58574147436336</v>
      </c>
      <c r="S51" s="26">
        <f t="shared" si="57"/>
        <v>5.7397782354219977</v>
      </c>
      <c r="T51"/>
      <c r="W51" s="26">
        <f t="shared" si="58"/>
        <v>918.47803781090761</v>
      </c>
      <c r="X51" s="26">
        <f t="shared" si="59"/>
        <v>58.53139395706097</v>
      </c>
      <c r="Y51" s="26">
        <f t="shared" si="60"/>
        <v>42.932490795537809</v>
      </c>
      <c r="Z51" s="26">
        <f t="shared" si="61"/>
        <v>54.667263436552453</v>
      </c>
      <c r="AA51" s="26">
        <f t="shared" si="62"/>
        <v>5.7386987104078493</v>
      </c>
    </row>
    <row r="52" spans="1:27" ht="12.75" customHeight="1" x14ac:dyDescent="0.25">
      <c r="A52" s="1" t="s">
        <v>30</v>
      </c>
      <c r="B52" s="1" t="s">
        <v>65</v>
      </c>
      <c r="C52" s="1">
        <v>25</v>
      </c>
      <c r="D52" s="1">
        <v>25</v>
      </c>
      <c r="E52" s="1">
        <v>24</v>
      </c>
      <c r="F52" s="1" t="s">
        <v>71</v>
      </c>
      <c r="G52" s="1" t="s">
        <v>79</v>
      </c>
      <c r="H52" s="1">
        <v>10</v>
      </c>
      <c r="I52" s="40">
        <v>18316.099600000001</v>
      </c>
      <c r="J52" s="25">
        <v>3468397.5</v>
      </c>
      <c r="K52" s="25">
        <v>208927.359</v>
      </c>
      <c r="L52" s="25">
        <v>169699.67199999999</v>
      </c>
      <c r="M52" s="25">
        <v>184973.96900000001</v>
      </c>
      <c r="O52" s="26">
        <f t="shared" si="56"/>
        <v>1643.3459743608703</v>
      </c>
      <c r="P52" s="26">
        <f t="shared" si="56"/>
        <v>98.990941593775887</v>
      </c>
      <c r="Q52" s="26">
        <f t="shared" si="56"/>
        <v>80.404645901042215</v>
      </c>
      <c r="R52" s="26">
        <f t="shared" si="56"/>
        <v>87.641692544670107</v>
      </c>
      <c r="S52" s="26">
        <f t="shared" si="57"/>
        <v>5.430881901491051</v>
      </c>
      <c r="T52"/>
      <c r="W52" s="26">
        <f t="shared" si="58"/>
        <v>1642.8388286099912</v>
      </c>
      <c r="X52" s="26">
        <f t="shared" si="59"/>
        <v>98.618789423210757</v>
      </c>
      <c r="Y52" s="26">
        <f t="shared" si="60"/>
        <v>75.10266076991212</v>
      </c>
      <c r="Z52" s="26">
        <f t="shared" si="61"/>
        <v>85.998853716060111</v>
      </c>
      <c r="AA52" s="26">
        <f t="shared" si="62"/>
        <v>5.428875142430627</v>
      </c>
    </row>
    <row r="53" spans="1:27" ht="12.75" customHeight="1" x14ac:dyDescent="0.25">
      <c r="A53" s="1" t="s">
        <v>30</v>
      </c>
      <c r="B53" s="1" t="s">
        <v>65</v>
      </c>
      <c r="C53" s="1">
        <v>25</v>
      </c>
      <c r="D53" s="1">
        <v>45</v>
      </c>
      <c r="E53" s="1">
        <v>24</v>
      </c>
      <c r="F53" s="1" t="s">
        <v>67</v>
      </c>
      <c r="G53" s="1" t="s">
        <v>79</v>
      </c>
      <c r="H53" s="1">
        <v>10</v>
      </c>
      <c r="I53" s="40">
        <v>19172.900399999999</v>
      </c>
      <c r="J53" s="25">
        <v>4091973.5</v>
      </c>
      <c r="K53" s="25">
        <v>283590.31199999998</v>
      </c>
      <c r="L53" s="25">
        <v>198061</v>
      </c>
      <c r="M53" s="25">
        <v>195398.34400000001</v>
      </c>
      <c r="O53" s="26">
        <f t="shared" si="56"/>
        <v>1938.7997420758031</v>
      </c>
      <c r="P53" s="26">
        <f t="shared" si="56"/>
        <v>134.36666287325576</v>
      </c>
      <c r="Q53" s="26">
        <f t="shared" si="56"/>
        <v>93.842400424947925</v>
      </c>
      <c r="R53" s="26">
        <f t="shared" si="56"/>
        <v>92.580819242656162</v>
      </c>
      <c r="S53" s="26">
        <f t="shared" si="57"/>
        <v>6.2005591550914474</v>
      </c>
      <c r="T53"/>
      <c r="W53" s="26">
        <f t="shared" si="58"/>
        <v>1938.2640156683299</v>
      </c>
      <c r="X53" s="26">
        <f t="shared" si="59"/>
        <v>133.97353773117464</v>
      </c>
      <c r="Y53" s="26">
        <f t="shared" si="60"/>
        <v>88.241617135622263</v>
      </c>
      <c r="Z53" s="26">
        <f t="shared" si="61"/>
        <v>90.642555226987838</v>
      </c>
      <c r="AA53" s="26">
        <f t="shared" si="62"/>
        <v>6.2011029570810852</v>
      </c>
    </row>
    <row r="54" spans="1:27" ht="12.75" customHeight="1" x14ac:dyDescent="0.25">
      <c r="A54" s="1" t="s">
        <v>30</v>
      </c>
      <c r="B54" s="1" t="s">
        <v>65</v>
      </c>
      <c r="C54" s="1">
        <v>25</v>
      </c>
      <c r="D54" s="1">
        <v>45</v>
      </c>
      <c r="E54" s="1">
        <v>24</v>
      </c>
      <c r="F54" s="1" t="s">
        <v>70</v>
      </c>
      <c r="G54" s="1" t="s">
        <v>79</v>
      </c>
      <c r="H54" s="1">
        <v>10</v>
      </c>
      <c r="I54" s="40">
        <v>20032.099600000001</v>
      </c>
      <c r="J54" s="25">
        <v>3327814.75</v>
      </c>
      <c r="K54" s="25">
        <v>232310.15599999999</v>
      </c>
      <c r="L54" s="25">
        <v>165523.90599999999</v>
      </c>
      <c r="M54" s="25">
        <v>191585</v>
      </c>
      <c r="O54" s="26">
        <f t="shared" si="56"/>
        <v>1576.7370876121397</v>
      </c>
      <c r="P54" s="26">
        <f t="shared" si="56"/>
        <v>110.06984051445826</v>
      </c>
      <c r="Q54" s="26">
        <f t="shared" si="56"/>
        <v>78.42614480767763</v>
      </c>
      <c r="R54" s="26">
        <f t="shared" si="56"/>
        <v>90.77403570321087</v>
      </c>
      <c r="S54" s="26">
        <f t="shared" si="57"/>
        <v>6.2354281823812423</v>
      </c>
      <c r="T54"/>
      <c r="W54" s="26">
        <f t="shared" si="58"/>
        <v>1576.2118163039256</v>
      </c>
      <c r="X54" s="26">
        <f t="shared" si="59"/>
        <v>109.6843875018902</v>
      </c>
      <c r="Y54" s="26">
        <f t="shared" si="60"/>
        <v>72.934664969519659</v>
      </c>
      <c r="Z54" s="26">
        <f t="shared" si="61"/>
        <v>89.197823886906946</v>
      </c>
      <c r="AA54" s="26">
        <f t="shared" si="62"/>
        <v>6.2362100557322409</v>
      </c>
    </row>
    <row r="55" spans="1:27" ht="12.75" customHeight="1" x14ac:dyDescent="0.25">
      <c r="A55" s="1" t="s">
        <v>30</v>
      </c>
      <c r="B55" s="1" t="s">
        <v>65</v>
      </c>
      <c r="C55" s="1">
        <v>25</v>
      </c>
      <c r="D55" s="1">
        <v>45</v>
      </c>
      <c r="E55" s="1">
        <v>24</v>
      </c>
      <c r="F55" s="1" t="s">
        <v>71</v>
      </c>
      <c r="G55" s="1" t="s">
        <v>79</v>
      </c>
      <c r="H55" s="1">
        <v>10</v>
      </c>
      <c r="I55" s="40">
        <v>20883</v>
      </c>
      <c r="J55" s="25">
        <v>4316990.5</v>
      </c>
      <c r="K55" s="25">
        <v>312103.68800000002</v>
      </c>
      <c r="L55" s="25">
        <v>211536.32800000001</v>
      </c>
      <c r="M55" s="25">
        <v>205018.45300000001</v>
      </c>
      <c r="O55" s="26">
        <f t="shared" si="56"/>
        <v>2045.4140448230403</v>
      </c>
      <c r="P55" s="26">
        <f t="shared" si="56"/>
        <v>147.87645858295684</v>
      </c>
      <c r="Q55" s="26">
        <f t="shared" si="56"/>
        <v>100.22708557767115</v>
      </c>
      <c r="R55" s="26">
        <f t="shared" si="56"/>
        <v>97.138880248657571</v>
      </c>
      <c r="S55" s="26">
        <f t="shared" si="57"/>
        <v>6.4475833668441878</v>
      </c>
      <c r="T55"/>
      <c r="W55" s="26">
        <f t="shared" si="58"/>
        <v>2044.8519428264574</v>
      </c>
      <c r="X55" s="26">
        <f t="shared" si="59"/>
        <v>147.4639785853532</v>
      </c>
      <c r="Y55" s="26">
        <f t="shared" si="60"/>
        <v>94.350557138075985</v>
      </c>
      <c r="Z55" s="26">
        <f t="shared" si="61"/>
        <v>95.094028305831117</v>
      </c>
      <c r="AA55" s="26">
        <f t="shared" si="62"/>
        <v>6.4488625677877183</v>
      </c>
    </row>
    <row r="56" spans="1:27" ht="12.75" customHeight="1" x14ac:dyDescent="0.25">
      <c r="Q56"/>
      <c r="R56"/>
      <c r="S56"/>
      <c r="T56"/>
      <c r="AA56"/>
    </row>
    <row r="57" spans="1:27" ht="12.75" customHeight="1" x14ac:dyDescent="0.25">
      <c r="Q57"/>
      <c r="R57"/>
      <c r="S57"/>
      <c r="T57"/>
      <c r="AA57"/>
    </row>
    <row r="58" spans="1:27" ht="12.75" customHeight="1" x14ac:dyDescent="0.25">
      <c r="A58" s="6">
        <v>45681</v>
      </c>
      <c r="B58" s="6"/>
      <c r="C58" s="6"/>
      <c r="D58" s="6"/>
      <c r="E58" s="6"/>
      <c r="F58" s="6"/>
      <c r="G58" s="6"/>
      <c r="H58" s="6"/>
      <c r="I58" s="39" t="s">
        <v>34</v>
      </c>
      <c r="M58" s="36" t="s">
        <v>170</v>
      </c>
      <c r="N58" s="26">
        <f>AVERAGE(M59,M66)/$N$3</f>
        <v>196.93562738095235</v>
      </c>
      <c r="Q58"/>
      <c r="R58"/>
      <c r="S58"/>
      <c r="T58"/>
      <c r="AA58"/>
    </row>
    <row r="59" spans="1:27" ht="12.75" customHeight="1" x14ac:dyDescent="0.25">
      <c r="A59" s="1" t="s">
        <v>35</v>
      </c>
      <c r="B59" s="1"/>
      <c r="C59" s="1"/>
      <c r="D59" s="1"/>
      <c r="E59" s="1"/>
      <c r="F59" s="1"/>
      <c r="G59" s="1" t="s">
        <v>116</v>
      </c>
      <c r="H59" s="1"/>
      <c r="I59" s="39">
        <v>1845.65002441</v>
      </c>
      <c r="J59" s="24">
        <v>896.80871581999997</v>
      </c>
      <c r="K59" s="24">
        <v>961.43243408000001</v>
      </c>
      <c r="L59" s="25">
        <v>12215.0977</v>
      </c>
      <c r="M59" s="25">
        <v>249821.29699999999</v>
      </c>
      <c r="Q59"/>
      <c r="R59"/>
      <c r="S59"/>
      <c r="T59" s="46">
        <f>J59/$M59</f>
        <v>3.5898008960380989E-3</v>
      </c>
      <c r="U59" s="46">
        <f t="shared" ref="U59" si="63">K59/$M59</f>
        <v>3.8484806764893229E-3</v>
      </c>
      <c r="V59" s="46">
        <f t="shared" ref="V59" si="64">L59/$M59</f>
        <v>4.8895341777046339E-2</v>
      </c>
      <c r="AA59"/>
    </row>
    <row r="60" spans="1:27" ht="12.75" customHeight="1" x14ac:dyDescent="0.25">
      <c r="A60" s="1" t="s">
        <v>35</v>
      </c>
      <c r="B60" s="1" t="s">
        <v>65</v>
      </c>
      <c r="C60" s="1">
        <v>45</v>
      </c>
      <c r="D60" s="1">
        <v>45</v>
      </c>
      <c r="E60" s="1">
        <v>24</v>
      </c>
      <c r="F60" s="1" t="s">
        <v>67</v>
      </c>
      <c r="G60" s="1" t="s">
        <v>73</v>
      </c>
      <c r="H60" s="1">
        <v>10</v>
      </c>
      <c r="I60" s="39">
        <v>2592.0700683599998</v>
      </c>
      <c r="J60" s="24">
        <v>9005.03515625</v>
      </c>
      <c r="K60" s="24">
        <v>482.93652343999997</v>
      </c>
      <c r="L60" s="24">
        <v>1336.3107910199999</v>
      </c>
      <c r="M60" s="24">
        <v>1894.86450195</v>
      </c>
      <c r="O60" s="26">
        <f t="shared" ref="O60:O65" si="65">J60/$N$58/$H60</f>
        <v>4.5725779921124463</v>
      </c>
      <c r="P60" s="26">
        <f t="shared" ref="P60:R60" si="66">K60/$N$58/$H60</f>
        <v>0.24522557439838316</v>
      </c>
      <c r="Q60" s="26">
        <f t="shared" si="66"/>
        <v>0.67855207754513602</v>
      </c>
      <c r="R60" s="26">
        <f t="shared" si="66"/>
        <v>0.9621745578236961</v>
      </c>
      <c r="S60" s="26">
        <f t="shared" ref="S60:S65" si="67">P60/(O60+P60+Q60)*100</f>
        <v>4.4616031108464096</v>
      </c>
      <c r="T60"/>
      <c r="W60" s="26">
        <f t="shared" ref="W60:W65" si="68">O60-(T$4*$R60)</f>
        <v>4.5670102911195016</v>
      </c>
      <c r="X60" s="26">
        <f t="shared" ref="X60:X65" si="69">P60-(U$4*$R60)</f>
        <v>0.24113990079076622</v>
      </c>
      <c r="Y60" s="26">
        <f t="shared" ref="Y60:Y65" si="70">Q60-(V$4*$R60)</f>
        <v>0.62034421949250029</v>
      </c>
      <c r="Z60" s="26">
        <f t="shared" ref="Z60:Z65" si="71">R60-(0.001*W60)</f>
        <v>0.9576075475325766</v>
      </c>
      <c r="AA60" s="26">
        <f t="shared" ref="AA60:AA65" si="72">X60/(W60+X60+Y60)*100</f>
        <v>4.4421138259669624</v>
      </c>
    </row>
    <row r="61" spans="1:27" ht="12.75" customHeight="1" x14ac:dyDescent="0.25">
      <c r="A61" s="1" t="s">
        <v>35</v>
      </c>
      <c r="B61" s="1" t="s">
        <v>65</v>
      </c>
      <c r="C61" s="1">
        <v>45</v>
      </c>
      <c r="D61" s="1">
        <v>45</v>
      </c>
      <c r="E61" s="1">
        <v>24</v>
      </c>
      <c r="F61" s="1" t="s">
        <v>70</v>
      </c>
      <c r="G61" s="1" t="s">
        <v>73</v>
      </c>
      <c r="H61" s="1">
        <v>10</v>
      </c>
      <c r="I61" s="39">
        <v>3308.4899902299999</v>
      </c>
      <c r="J61" s="25">
        <v>22281.2012</v>
      </c>
      <c r="K61" s="24">
        <v>808.56274413999995</v>
      </c>
      <c r="L61" s="24">
        <v>875.77825928000004</v>
      </c>
      <c r="M61" s="24">
        <v>2984.1005859400002</v>
      </c>
      <c r="O61" s="26">
        <f t="shared" si="65"/>
        <v>11.313951414641311</v>
      </c>
      <c r="P61" s="26">
        <f t="shared" ref="P61:R65" si="73">K61/$N$58/$H61</f>
        <v>0.41057210160146179</v>
      </c>
      <c r="Q61" s="26">
        <f t="shared" si="73"/>
        <v>0.44470280513839899</v>
      </c>
      <c r="R61" s="26">
        <f t="shared" si="73"/>
        <v>1.5152670065978233</v>
      </c>
      <c r="S61" s="26">
        <f t="shared" si="67"/>
        <v>3.3738554182371643</v>
      </c>
      <c r="T61"/>
      <c r="W61" s="26">
        <f t="shared" si="68"/>
        <v>11.305183199405716</v>
      </c>
      <c r="X61" s="26">
        <f t="shared" si="69"/>
        <v>0.40413783625219674</v>
      </c>
      <c r="Y61" s="26">
        <f t="shared" si="70"/>
        <v>0.3530349823772303</v>
      </c>
      <c r="Z61" s="26">
        <f t="shared" si="71"/>
        <v>1.5039618233984176</v>
      </c>
      <c r="AA61" s="26">
        <f t="shared" si="72"/>
        <v>3.3504054734244817</v>
      </c>
    </row>
    <row r="62" spans="1:27" ht="12.75" customHeight="1" x14ac:dyDescent="0.25">
      <c r="A62" s="1" t="s">
        <v>35</v>
      </c>
      <c r="B62" s="1" t="s">
        <v>65</v>
      </c>
      <c r="C62" s="1">
        <v>45</v>
      </c>
      <c r="D62" s="1">
        <v>45</v>
      </c>
      <c r="E62" s="1">
        <v>24</v>
      </c>
      <c r="F62" s="1" t="s">
        <v>71</v>
      </c>
      <c r="G62" s="1" t="s">
        <v>73</v>
      </c>
      <c r="H62" s="1">
        <v>9.4</v>
      </c>
      <c r="I62" s="39">
        <v>4915.3300781199996</v>
      </c>
      <c r="J62" s="25">
        <v>15611.877899999999</v>
      </c>
      <c r="K62" s="24">
        <v>533.27313231999995</v>
      </c>
      <c r="L62" s="24">
        <v>233.40406798999999</v>
      </c>
      <c r="M62" s="24">
        <v>1914.58410645</v>
      </c>
      <c r="O62" s="26">
        <f t="shared" si="65"/>
        <v>8.4334058623905523</v>
      </c>
      <c r="P62" s="26">
        <f t="shared" si="73"/>
        <v>0.28806968573350555</v>
      </c>
      <c r="Q62" s="26">
        <f t="shared" si="73"/>
        <v>0.12608292531500448</v>
      </c>
      <c r="R62" s="26">
        <f t="shared" si="73"/>
        <v>1.034242320545897</v>
      </c>
      <c r="S62" s="26">
        <f t="shared" si="67"/>
        <v>3.2559229373652534</v>
      </c>
      <c r="T62"/>
      <c r="W62" s="26">
        <f t="shared" si="68"/>
        <v>8.4274211354527768</v>
      </c>
      <c r="X62" s="26">
        <f t="shared" si="69"/>
        <v>0.28367799140052241</v>
      </c>
      <c r="Y62" s="26">
        <f t="shared" si="70"/>
        <v>6.351524495300187E-2</v>
      </c>
      <c r="Z62" s="26">
        <f t="shared" si="71"/>
        <v>1.0258148994104443</v>
      </c>
      <c r="AA62" s="26">
        <f t="shared" si="72"/>
        <v>3.2329396983189111</v>
      </c>
    </row>
    <row r="63" spans="1:27" ht="12.75" customHeight="1" x14ac:dyDescent="0.25">
      <c r="A63" s="1" t="s">
        <v>35</v>
      </c>
      <c r="B63" s="1" t="s">
        <v>65</v>
      </c>
      <c r="C63" s="1">
        <v>45</v>
      </c>
      <c r="D63" s="1">
        <v>25</v>
      </c>
      <c r="E63" s="1">
        <v>24</v>
      </c>
      <c r="F63" s="1" t="s">
        <v>67</v>
      </c>
      <c r="G63" s="1" t="s">
        <v>73</v>
      </c>
      <c r="H63" s="1">
        <v>10</v>
      </c>
      <c r="I63" s="39">
        <v>5646.1499023400002</v>
      </c>
      <c r="J63" s="25">
        <v>421854.40600000002</v>
      </c>
      <c r="K63" s="25">
        <v>12765.8994</v>
      </c>
      <c r="L63" s="25">
        <v>18097.771499999999</v>
      </c>
      <c r="M63" s="25">
        <v>24785.353500000001</v>
      </c>
      <c r="O63" s="26">
        <f t="shared" si="65"/>
        <v>214.20928839044683</v>
      </c>
      <c r="P63" s="26">
        <f t="shared" si="73"/>
        <v>6.4822701558746605</v>
      </c>
      <c r="Q63" s="26">
        <f t="shared" si="73"/>
        <v>9.189688905294755</v>
      </c>
      <c r="R63" s="26">
        <f t="shared" si="73"/>
        <v>12.585510214490141</v>
      </c>
      <c r="S63" s="26">
        <f t="shared" si="67"/>
        <v>2.8198342525694713</v>
      </c>
      <c r="T63"/>
      <c r="W63" s="26">
        <f t="shared" si="68"/>
        <v>214.13646131645265</v>
      </c>
      <c r="X63" s="26">
        <f t="shared" si="69"/>
        <v>6.4288284113350409</v>
      </c>
      <c r="Y63" s="26">
        <f t="shared" si="70"/>
        <v>8.4283139696053073</v>
      </c>
      <c r="Z63" s="26">
        <f t="shared" si="71"/>
        <v>12.371373753173687</v>
      </c>
      <c r="AA63" s="26">
        <f t="shared" si="72"/>
        <v>2.8074270667535814</v>
      </c>
    </row>
    <row r="64" spans="1:27" ht="12.75" customHeight="1" x14ac:dyDescent="0.25">
      <c r="A64" s="1" t="s">
        <v>35</v>
      </c>
      <c r="B64" s="1" t="s">
        <v>65</v>
      </c>
      <c r="C64" s="1">
        <v>45</v>
      </c>
      <c r="D64" s="1">
        <v>25</v>
      </c>
      <c r="E64" s="1">
        <v>24</v>
      </c>
      <c r="F64" s="1" t="s">
        <v>70</v>
      </c>
      <c r="G64" s="1" t="s">
        <v>73</v>
      </c>
      <c r="H64" s="1">
        <v>10</v>
      </c>
      <c r="I64" s="39">
        <v>6378.1699218800004</v>
      </c>
      <c r="J64" s="25">
        <v>469859.65600000002</v>
      </c>
      <c r="K64" s="25">
        <v>12645.015600000001</v>
      </c>
      <c r="L64" s="25">
        <v>20540.3223</v>
      </c>
      <c r="M64" s="25">
        <v>26525.234400000001</v>
      </c>
      <c r="O64" s="26">
        <f t="shared" si="65"/>
        <v>238.58540084832052</v>
      </c>
      <c r="P64" s="26">
        <f t="shared" si="73"/>
        <v>6.4208877632585386</v>
      </c>
      <c r="Q64" s="26">
        <f t="shared" si="73"/>
        <v>10.429967686987785</v>
      </c>
      <c r="R64" s="26">
        <f t="shared" si="73"/>
        <v>13.468987177566188</v>
      </c>
      <c r="S64" s="26">
        <f t="shared" si="67"/>
        <v>2.5136947496417577</v>
      </c>
      <c r="T64"/>
      <c r="W64" s="26">
        <f t="shared" si="68"/>
        <v>238.5074614633381</v>
      </c>
      <c r="X64" s="26">
        <f t="shared" si="69"/>
        <v>6.3636945180357767</v>
      </c>
      <c r="Y64" s="26">
        <f t="shared" si="70"/>
        <v>9.6151457948793055</v>
      </c>
      <c r="Z64" s="26">
        <f t="shared" si="71"/>
        <v>13.230479716102849</v>
      </c>
      <c r="AA64" s="26">
        <f t="shared" si="72"/>
        <v>2.5006039514184923</v>
      </c>
    </row>
    <row r="65" spans="1:27" ht="12.75" customHeight="1" x14ac:dyDescent="0.25">
      <c r="A65" s="1" t="s">
        <v>35</v>
      </c>
      <c r="B65" s="1" t="s">
        <v>65</v>
      </c>
      <c r="C65" s="1">
        <v>45</v>
      </c>
      <c r="D65" s="1">
        <v>25</v>
      </c>
      <c r="E65" s="1">
        <v>24</v>
      </c>
      <c r="F65" s="1" t="s">
        <v>71</v>
      </c>
      <c r="G65" s="1" t="s">
        <v>73</v>
      </c>
      <c r="H65" s="1">
        <v>10</v>
      </c>
      <c r="I65" s="39">
        <v>7124.58984375</v>
      </c>
      <c r="J65" s="25">
        <v>388269.15600000002</v>
      </c>
      <c r="K65" s="25">
        <v>12422.510700000001</v>
      </c>
      <c r="L65" s="25">
        <v>17967.4277</v>
      </c>
      <c r="M65" s="25">
        <v>28245.148399999998</v>
      </c>
      <c r="O65" s="26">
        <f t="shared" si="65"/>
        <v>197.15536551897338</v>
      </c>
      <c r="P65" s="26">
        <f t="shared" si="73"/>
        <v>6.3079041944857908</v>
      </c>
      <c r="Q65" s="26">
        <f t="shared" si="73"/>
        <v>9.1235029125754892</v>
      </c>
      <c r="R65" s="26">
        <f t="shared" si="73"/>
        <v>14.342325345409733</v>
      </c>
      <c r="S65" s="26">
        <f t="shared" si="67"/>
        <v>2.9672138659267118</v>
      </c>
      <c r="T65"/>
      <c r="W65" s="26">
        <f t="shared" si="68"/>
        <v>197.07237249196237</v>
      </c>
      <c r="X65" s="26">
        <f t="shared" si="69"/>
        <v>6.2470025008594945</v>
      </c>
      <c r="Y65" s="26">
        <f t="shared" si="70"/>
        <v>8.2558474221428462</v>
      </c>
      <c r="Z65" s="26">
        <f t="shared" si="71"/>
        <v>14.145252972917771</v>
      </c>
      <c r="AA65" s="26">
        <f t="shared" si="72"/>
        <v>2.9526153533267632</v>
      </c>
    </row>
    <row r="66" spans="1:27" ht="12.75" customHeight="1" x14ac:dyDescent="0.25">
      <c r="A66" s="1" t="s">
        <v>35</v>
      </c>
      <c r="B66" s="1"/>
      <c r="C66" s="1"/>
      <c r="D66" s="1"/>
      <c r="E66" s="1"/>
      <c r="F66" s="1"/>
      <c r="G66" s="1" t="s">
        <v>116</v>
      </c>
      <c r="H66" s="1"/>
      <c r="I66" s="39">
        <v>7866.2099609400002</v>
      </c>
      <c r="J66" s="24">
        <v>978.00604248000002</v>
      </c>
      <c r="K66" s="24">
        <v>811.09729003999996</v>
      </c>
      <c r="L66" s="25">
        <v>13488.793</v>
      </c>
      <c r="M66" s="25">
        <v>246456.484</v>
      </c>
      <c r="O66" s="26"/>
      <c r="P66" s="26"/>
      <c r="S66"/>
      <c r="T66" s="46">
        <f>J66/$M66</f>
        <v>3.9682706926874771E-3</v>
      </c>
      <c r="U66" s="46">
        <f t="shared" ref="U66" si="74">K66/$M66</f>
        <v>3.2910365224556233E-3</v>
      </c>
      <c r="V66" s="46">
        <f t="shared" ref="V66" si="75">L66/$M66</f>
        <v>5.4730931729108007E-2</v>
      </c>
      <c r="AA66"/>
    </row>
    <row r="67" spans="1:27" ht="12.75" customHeight="1" x14ac:dyDescent="0.25">
      <c r="A67" s="1" t="s">
        <v>35</v>
      </c>
      <c r="B67" s="1" t="s">
        <v>65</v>
      </c>
      <c r="C67" s="1">
        <v>45</v>
      </c>
      <c r="D67" s="1" t="s">
        <v>66</v>
      </c>
      <c r="E67" s="1">
        <v>0</v>
      </c>
      <c r="F67" s="1" t="s">
        <v>67</v>
      </c>
      <c r="G67" s="1" t="s">
        <v>68</v>
      </c>
      <c r="H67" s="1">
        <v>10</v>
      </c>
      <c r="I67" s="39">
        <v>8601.83984375</v>
      </c>
      <c r="J67" s="25">
        <v>124212.94500000001</v>
      </c>
      <c r="K67" s="24">
        <v>3269.4130859400002</v>
      </c>
      <c r="L67" s="24">
        <v>6120.7509765599998</v>
      </c>
      <c r="M67" s="24">
        <v>332.13812256</v>
      </c>
      <c r="O67" s="26">
        <f t="shared" ref="O67:R71" si="76">J67/$N$58/$H67</f>
        <v>63.072866322822549</v>
      </c>
      <c r="P67" s="26">
        <f t="shared" si="76"/>
        <v>1.6601430271505149</v>
      </c>
      <c r="Q67" s="26">
        <f t="shared" si="76"/>
        <v>3.1079957740302708</v>
      </c>
      <c r="R67" s="26">
        <f t="shared" si="76"/>
        <v>0.16865314162658435</v>
      </c>
      <c r="S67" s="26">
        <f t="shared" ref="S67:S71" si="77">P67/(O67+P67+Q67)*100</f>
        <v>2.4471085357830691</v>
      </c>
      <c r="T67"/>
      <c r="W67" s="26">
        <f t="shared" ref="W67:W71" si="78">O67-(T$4*$R67)</f>
        <v>63.071890397761486</v>
      </c>
      <c r="X67" s="26">
        <f t="shared" ref="X67:X71" si="79">P67-(U$4*$R67)</f>
        <v>1.6594268767555762</v>
      </c>
      <c r="Y67" s="26">
        <f t="shared" ref="Y67:Y71" si="80">Q67-(V$4*$R67)</f>
        <v>3.0977929079826216</v>
      </c>
      <c r="Z67" s="26">
        <f t="shared" ref="Z67:Z71" si="81">R67-(0.001*W67)</f>
        <v>0.10558125122882286</v>
      </c>
      <c r="AA67" s="26">
        <f t="shared" ref="AA67:AA71" si="82">X67/(W67+X67+Y67)*100</f>
        <v>2.4464818605031886</v>
      </c>
    </row>
    <row r="68" spans="1:27" ht="12.75" customHeight="1" x14ac:dyDescent="0.25">
      <c r="A68" s="1" t="s">
        <v>35</v>
      </c>
      <c r="B68" s="1" t="s">
        <v>65</v>
      </c>
      <c r="C68" s="1">
        <v>45</v>
      </c>
      <c r="D68" s="1" t="s">
        <v>66</v>
      </c>
      <c r="E68" s="1">
        <v>0</v>
      </c>
      <c r="F68" s="1" t="s">
        <v>70</v>
      </c>
      <c r="G68" s="1" t="s">
        <v>68</v>
      </c>
      <c r="H68" s="1">
        <v>10</v>
      </c>
      <c r="I68" s="39">
        <v>9337.4599609399993</v>
      </c>
      <c r="J68" s="25">
        <v>176607.70300000001</v>
      </c>
      <c r="K68" s="24">
        <v>5151.4541015599998</v>
      </c>
      <c r="L68" s="24">
        <v>7435.1806640599998</v>
      </c>
      <c r="M68" s="24">
        <v>207.47328185999999</v>
      </c>
      <c r="O68" s="26">
        <f t="shared" si="76"/>
        <v>89.677883757604704</v>
      </c>
      <c r="P68" s="26">
        <f t="shared" si="76"/>
        <v>2.6158060733190878</v>
      </c>
      <c r="Q68" s="26">
        <f t="shared" si="76"/>
        <v>3.7754370618158304</v>
      </c>
      <c r="R68" s="26">
        <f t="shared" si="76"/>
        <v>0.10535081164296574</v>
      </c>
      <c r="S68" s="26">
        <f t="shared" si="77"/>
        <v>2.7228373546473605</v>
      </c>
      <c r="T68"/>
      <c r="W68" s="26">
        <f t="shared" si="78"/>
        <v>89.677274136602136</v>
      </c>
      <c r="X68" s="26">
        <f t="shared" si="79"/>
        <v>2.6153587230673367</v>
      </c>
      <c r="Y68" s="26">
        <f t="shared" si="80"/>
        <v>3.7690637431285081</v>
      </c>
      <c r="Z68" s="26">
        <f t="shared" si="81"/>
        <v>1.5673537506363605E-2</v>
      </c>
      <c r="AA68" s="26">
        <f t="shared" si="82"/>
        <v>2.7225822732253926</v>
      </c>
    </row>
    <row r="69" spans="1:27" ht="12.75" customHeight="1" x14ac:dyDescent="0.25">
      <c r="A69" s="1" t="s">
        <v>35</v>
      </c>
      <c r="B69" s="1" t="s">
        <v>65</v>
      </c>
      <c r="C69" s="1">
        <v>45</v>
      </c>
      <c r="D69" s="1" t="s">
        <v>66</v>
      </c>
      <c r="E69" s="1">
        <v>0</v>
      </c>
      <c r="F69" s="1" t="s">
        <v>71</v>
      </c>
      <c r="G69" s="1" t="s">
        <v>68</v>
      </c>
      <c r="H69" s="1">
        <v>10</v>
      </c>
      <c r="I69" s="40">
        <v>10076.700199999999</v>
      </c>
      <c r="J69" s="25">
        <v>1870632.88</v>
      </c>
      <c r="K69" s="25">
        <v>53345.546900000001</v>
      </c>
      <c r="L69" s="25">
        <v>83706.546900000001</v>
      </c>
      <c r="M69" s="24">
        <v>2094.109375</v>
      </c>
      <c r="O69" s="26">
        <f t="shared" si="76"/>
        <v>949.87022149194308</v>
      </c>
      <c r="P69" s="26">
        <f t="shared" si="76"/>
        <v>27.087809153398307</v>
      </c>
      <c r="Q69" s="26">
        <f t="shared" si="76"/>
        <v>42.504521915721234</v>
      </c>
      <c r="R69" s="26">
        <f t="shared" si="76"/>
        <v>1.0633471469076308</v>
      </c>
      <c r="S69" s="26">
        <f t="shared" si="77"/>
        <v>2.6570675975639459</v>
      </c>
      <c r="T69"/>
      <c r="W69" s="26">
        <f t="shared" si="78"/>
        <v>949.86406834757076</v>
      </c>
      <c r="X69" s="26">
        <f t="shared" si="79"/>
        <v>27.083293871489708</v>
      </c>
      <c r="Y69" s="26">
        <f t="shared" si="80"/>
        <v>42.440193505367219</v>
      </c>
      <c r="Z69" s="26">
        <f t="shared" si="81"/>
        <v>0.11348307856006001</v>
      </c>
      <c r="AA69" s="26">
        <f t="shared" si="82"/>
        <v>2.6568201386609007</v>
      </c>
    </row>
    <row r="70" spans="1:27" ht="12.75" customHeight="1" x14ac:dyDescent="0.25">
      <c r="A70" s="1" t="s">
        <v>35</v>
      </c>
      <c r="B70" s="1" t="s">
        <v>65</v>
      </c>
      <c r="C70" s="1">
        <v>45</v>
      </c>
      <c r="D70" s="1" t="s">
        <v>66</v>
      </c>
      <c r="E70" s="1">
        <v>0</v>
      </c>
      <c r="F70" s="1" t="s">
        <v>67</v>
      </c>
      <c r="G70" s="1" t="s">
        <v>75</v>
      </c>
      <c r="H70" s="1">
        <v>10</v>
      </c>
      <c r="I70" s="40">
        <v>10811.0996</v>
      </c>
      <c r="J70" s="25">
        <v>23142874</v>
      </c>
      <c r="K70" s="25">
        <v>451625.81199999998</v>
      </c>
      <c r="L70" s="25">
        <v>766379.75</v>
      </c>
      <c r="M70" s="25">
        <v>17197.466799999998</v>
      </c>
      <c r="N70" s="35" t="s">
        <v>176</v>
      </c>
      <c r="O70" s="26">
        <f t="shared" si="76"/>
        <v>11751.491747723439</v>
      </c>
      <c r="P70" s="26">
        <f t="shared" si="76"/>
        <v>229.32661703023132</v>
      </c>
      <c r="Q70" s="26">
        <f t="shared" si="76"/>
        <v>389.15241502621296</v>
      </c>
      <c r="R70" s="26">
        <f t="shared" si="76"/>
        <v>8.7325320607089605</v>
      </c>
      <c r="S70" s="26">
        <f t="shared" si="77"/>
        <v>1.853897807140269</v>
      </c>
      <c r="T70"/>
      <c r="W70" s="26">
        <f t="shared" si="78"/>
        <v>11751.441216219535</v>
      </c>
      <c r="X70" s="26">
        <f t="shared" si="79"/>
        <v>229.28953615392047</v>
      </c>
      <c r="Y70" s="26">
        <f t="shared" si="80"/>
        <v>388.62413044157427</v>
      </c>
      <c r="Z70" s="26">
        <f t="shared" si="81"/>
        <v>-3.018909155510574</v>
      </c>
      <c r="AA70" s="26">
        <f t="shared" si="82"/>
        <v>1.8536903365306188</v>
      </c>
    </row>
    <row r="71" spans="1:27" ht="12.75" customHeight="1" x14ac:dyDescent="0.25">
      <c r="A71" s="1" t="s">
        <v>35</v>
      </c>
      <c r="B71" s="1" t="s">
        <v>65</v>
      </c>
      <c r="C71" s="1">
        <v>45</v>
      </c>
      <c r="D71" s="1" t="s">
        <v>66</v>
      </c>
      <c r="E71" s="1">
        <v>0</v>
      </c>
      <c r="F71" s="1" t="s">
        <v>70</v>
      </c>
      <c r="G71" s="1" t="s">
        <v>75</v>
      </c>
      <c r="H71" s="1">
        <v>10</v>
      </c>
      <c r="I71" s="40">
        <v>11730.299800000001</v>
      </c>
      <c r="J71" s="25">
        <v>16626955</v>
      </c>
      <c r="K71" s="25">
        <v>362630.56199999998</v>
      </c>
      <c r="L71" s="25">
        <v>598636.31200000003</v>
      </c>
      <c r="M71" s="25">
        <v>12854.3457</v>
      </c>
      <c r="O71" s="26">
        <f t="shared" si="76"/>
        <v>8442.8375003151723</v>
      </c>
      <c r="P71" s="26">
        <f t="shared" si="76"/>
        <v>184.13659672585666</v>
      </c>
      <c r="Q71" s="26">
        <f t="shared" si="76"/>
        <v>303.97562897138857</v>
      </c>
      <c r="R71" s="26">
        <f t="shared" si="76"/>
        <v>6.5271814302724156</v>
      </c>
      <c r="S71" s="26">
        <f t="shared" si="77"/>
        <v>2.0617806882233105</v>
      </c>
      <c r="T71"/>
      <c r="W71" s="26">
        <f t="shared" si="78"/>
        <v>8442.799730251274</v>
      </c>
      <c r="X71" s="26">
        <f t="shared" si="79"/>
        <v>184.10888041109345</v>
      </c>
      <c r="Y71" s="26">
        <f t="shared" si="80"/>
        <v>303.58075961313364</v>
      </c>
      <c r="Z71" s="26">
        <f t="shared" si="81"/>
        <v>-1.915618299978858</v>
      </c>
      <c r="AA71" s="26">
        <f t="shared" si="82"/>
        <v>2.0615766144225729</v>
      </c>
    </row>
    <row r="72" spans="1:27" ht="12.75" customHeight="1" x14ac:dyDescent="0.25">
      <c r="Q72"/>
      <c r="R72"/>
      <c r="S72"/>
      <c r="T72"/>
      <c r="AA72"/>
    </row>
    <row r="73" spans="1:27" ht="12.75" customHeight="1" x14ac:dyDescent="0.25">
      <c r="Q73"/>
      <c r="R73"/>
      <c r="S73"/>
      <c r="T73"/>
      <c r="AA73"/>
    </row>
    <row r="74" spans="1:27" ht="12.75" customHeight="1" x14ac:dyDescent="0.25">
      <c r="Q74"/>
      <c r="R74"/>
      <c r="S74"/>
      <c r="T74"/>
      <c r="AA74"/>
    </row>
    <row r="75" spans="1:27" ht="12.75" customHeight="1" x14ac:dyDescent="0.25">
      <c r="M75" s="36" t="s">
        <v>170</v>
      </c>
      <c r="N75" s="26">
        <f>AVERAGE(M76,M83,M93)/$N$3</f>
        <v>206.18857460317463</v>
      </c>
      <c r="Q75"/>
      <c r="R75"/>
      <c r="S75"/>
      <c r="T75"/>
      <c r="AA75"/>
    </row>
    <row r="76" spans="1:27" ht="12.75" customHeight="1" x14ac:dyDescent="0.25">
      <c r="A76" t="s">
        <v>169</v>
      </c>
      <c r="B76" s="1"/>
      <c r="C76" s="1"/>
      <c r="D76" s="1"/>
      <c r="E76" s="1"/>
      <c r="F76" s="1"/>
      <c r="G76" s="35" t="s">
        <v>116</v>
      </c>
      <c r="H76" s="35"/>
      <c r="I76" s="39">
        <v>837.62298583999996</v>
      </c>
      <c r="J76" s="24">
        <v>890.28808593999997</v>
      </c>
      <c r="K76" s="24">
        <v>907.22888183999999</v>
      </c>
      <c r="L76" s="25">
        <v>14594.9355</v>
      </c>
      <c r="M76" s="25">
        <v>253327.56200000001</v>
      </c>
      <c r="Q76"/>
      <c r="R76"/>
      <c r="S76"/>
      <c r="T76" s="46">
        <f>J76/$M76</f>
        <v>3.5143751390936291E-3</v>
      </c>
      <c r="U76" s="46">
        <f t="shared" ref="U76" si="83">K76/$M76</f>
        <v>3.5812482253312805E-3</v>
      </c>
      <c r="V76" s="46">
        <f t="shared" ref="V76" si="84">L76/$M76</f>
        <v>5.7612900012830023E-2</v>
      </c>
      <c r="AA76"/>
    </row>
    <row r="77" spans="1:27" ht="12.75" customHeight="1" x14ac:dyDescent="0.25">
      <c r="A77" t="s">
        <v>169</v>
      </c>
      <c r="B77" s="1" t="s">
        <v>65</v>
      </c>
      <c r="C77" s="1">
        <v>45</v>
      </c>
      <c r="D77" s="1">
        <v>45</v>
      </c>
      <c r="E77" s="1">
        <v>24</v>
      </c>
      <c r="F77" s="1" t="s">
        <v>67</v>
      </c>
      <c r="G77" s="1" t="s">
        <v>68</v>
      </c>
      <c r="H77" s="1">
        <v>10</v>
      </c>
      <c r="I77" s="39">
        <v>1570.8399658200001</v>
      </c>
      <c r="J77" s="25">
        <v>12857.8184</v>
      </c>
      <c r="K77" s="24">
        <v>830.44458008000004</v>
      </c>
      <c r="L77" s="24">
        <v>739.87963866999996</v>
      </c>
      <c r="M77" s="24">
        <v>497.03436278999999</v>
      </c>
      <c r="O77" s="26">
        <f t="shared" ref="O77:O82" si="85">J77/$N$75/$H77</f>
        <v>6.2359509612721435</v>
      </c>
      <c r="P77" s="26">
        <f t="shared" ref="P77:R77" si="86">K77/$N$75/$H77</f>
        <v>0.40275974635270301</v>
      </c>
      <c r="Q77" s="26">
        <f t="shared" si="86"/>
        <v>0.3588363904711761</v>
      </c>
      <c r="R77" s="26">
        <f t="shared" si="86"/>
        <v>0.2410581496800101</v>
      </c>
      <c r="S77" s="26">
        <f t="shared" ref="S77:S82" si="87">P77/(O77+P77+Q77)*100</f>
        <v>5.7557275529062286</v>
      </c>
      <c r="T77"/>
      <c r="W77" s="26">
        <f t="shared" ref="W77:W82" si="88">O77-(T$4*$R77)</f>
        <v>6.234556058768832</v>
      </c>
      <c r="X77" s="26">
        <f t="shared" ref="X77:X82" si="89">P77-(U$4*$R77)</f>
        <v>0.40173614319042833</v>
      </c>
      <c r="Y77" s="26">
        <f t="shared" ref="Y77:Y82" si="90">Q77-(V$4*$R77)</f>
        <v>0.34425330006942789</v>
      </c>
      <c r="Z77" s="26">
        <f t="shared" ref="Z77:Z82" si="91">R77-(0.001*W77)</f>
        <v>0.23482359362124128</v>
      </c>
      <c r="AA77" s="26">
        <f t="shared" ref="AA77:AA82" si="92">X77/(W77+X77+Y77)*100</f>
        <v>5.7550823653205274</v>
      </c>
    </row>
    <row r="78" spans="1:27" ht="12.75" customHeight="1" x14ac:dyDescent="0.25">
      <c r="A78" t="s">
        <v>169</v>
      </c>
      <c r="B78" s="1" t="s">
        <v>65</v>
      </c>
      <c r="C78" s="1">
        <v>45</v>
      </c>
      <c r="D78" s="1">
        <v>45</v>
      </c>
      <c r="E78" s="1">
        <v>24</v>
      </c>
      <c r="F78" s="1" t="s">
        <v>70</v>
      </c>
      <c r="G78" s="1" t="s">
        <v>68</v>
      </c>
      <c r="H78" s="1">
        <v>10</v>
      </c>
      <c r="I78" s="39">
        <v>2308.8601074200001</v>
      </c>
      <c r="J78" s="25">
        <v>122674.359</v>
      </c>
      <c r="K78" s="24">
        <v>7345.8989257800004</v>
      </c>
      <c r="L78" s="24">
        <v>6753.6826171900002</v>
      </c>
      <c r="M78" s="24">
        <v>3060.2731933599998</v>
      </c>
      <c r="O78" s="26">
        <f t="shared" si="85"/>
        <v>59.496196254373459</v>
      </c>
      <c r="P78" s="26">
        <f t="shared" ref="P78:R82" si="93">K78/$N$75/$H78</f>
        <v>3.5627090103890255</v>
      </c>
      <c r="Q78" s="26">
        <f t="shared" si="93"/>
        <v>3.2754882903613689</v>
      </c>
      <c r="R78" s="26">
        <f t="shared" si="93"/>
        <v>1.4842108488550954</v>
      </c>
      <c r="S78" s="26">
        <f t="shared" si="87"/>
        <v>5.3708322627965472</v>
      </c>
      <c r="T78"/>
      <c r="W78" s="26">
        <f t="shared" si="88"/>
        <v>59.487607748109482</v>
      </c>
      <c r="X78" s="26">
        <f t="shared" si="89"/>
        <v>3.5564066185371543</v>
      </c>
      <c r="Y78" s="26">
        <f t="shared" si="90"/>
        <v>3.1856992456315356</v>
      </c>
      <c r="Z78" s="26">
        <f t="shared" si="91"/>
        <v>1.4247232411069859</v>
      </c>
      <c r="AA78" s="26">
        <f t="shared" si="92"/>
        <v>5.3698052196889465</v>
      </c>
    </row>
    <row r="79" spans="1:27" ht="12.75" customHeight="1" x14ac:dyDescent="0.25">
      <c r="A79" t="s">
        <v>169</v>
      </c>
      <c r="B79" s="1" t="s">
        <v>65</v>
      </c>
      <c r="C79" s="1">
        <v>45</v>
      </c>
      <c r="D79" s="1">
        <v>45</v>
      </c>
      <c r="E79" s="1">
        <v>24</v>
      </c>
      <c r="F79" s="1" t="s">
        <v>71</v>
      </c>
      <c r="G79" s="1" t="s">
        <v>68</v>
      </c>
      <c r="H79" s="1">
        <v>10</v>
      </c>
      <c r="I79" s="39">
        <v>3043.2800293</v>
      </c>
      <c r="J79" s="25">
        <v>208118.93799999999</v>
      </c>
      <c r="K79" s="25">
        <v>12882.2637</v>
      </c>
      <c r="L79" s="24">
        <v>9985.3535156199996</v>
      </c>
      <c r="M79" s="24">
        <v>4444.7358398400002</v>
      </c>
      <c r="O79" s="26">
        <f t="shared" si="85"/>
        <v>100.93621259109071</v>
      </c>
      <c r="P79" s="26">
        <f t="shared" si="93"/>
        <v>6.2478067588336952</v>
      </c>
      <c r="Q79" s="26">
        <f t="shared" si="93"/>
        <v>4.8428258136211282</v>
      </c>
      <c r="R79" s="26">
        <f t="shared" si="93"/>
        <v>2.1556654380070417</v>
      </c>
      <c r="S79" s="26">
        <f t="shared" si="87"/>
        <v>5.577062131592351</v>
      </c>
      <c r="T79"/>
      <c r="W79" s="26">
        <f t="shared" si="88"/>
        <v>100.92373865847416</v>
      </c>
      <c r="X79" s="26">
        <f t="shared" si="89"/>
        <v>6.2386531750943393</v>
      </c>
      <c r="Y79" s="26">
        <f t="shared" si="90"/>
        <v>4.7124163501779277</v>
      </c>
      <c r="Z79" s="26">
        <f t="shared" si="91"/>
        <v>2.0547416993485674</v>
      </c>
      <c r="AA79" s="26">
        <f t="shared" si="92"/>
        <v>5.5764593266142581</v>
      </c>
    </row>
    <row r="80" spans="1:27" ht="12.75" customHeight="1" x14ac:dyDescent="0.25">
      <c r="A80" t="s">
        <v>169</v>
      </c>
      <c r="B80" s="1" t="s">
        <v>65</v>
      </c>
      <c r="C80" s="1">
        <v>45</v>
      </c>
      <c r="D80" s="1">
        <v>25</v>
      </c>
      <c r="E80" s="1">
        <v>24</v>
      </c>
      <c r="F80" s="1" t="s">
        <v>67</v>
      </c>
      <c r="G80" s="1" t="s">
        <v>68</v>
      </c>
      <c r="H80" s="1">
        <v>10</v>
      </c>
      <c r="I80" s="39">
        <v>3781.3000488299999</v>
      </c>
      <c r="J80" s="25">
        <v>1107834.8799999999</v>
      </c>
      <c r="K80" s="25">
        <v>38372.042999999998</v>
      </c>
      <c r="L80" s="25">
        <v>50816.351600000002</v>
      </c>
      <c r="M80" s="25">
        <v>36858.925799999997</v>
      </c>
      <c r="O80" s="26">
        <f t="shared" si="85"/>
        <v>537.29207941425034</v>
      </c>
      <c r="P80" s="26">
        <f t="shared" si="93"/>
        <v>18.610169391708475</v>
      </c>
      <c r="Q80" s="26">
        <f t="shared" si="93"/>
        <v>24.645571025358645</v>
      </c>
      <c r="R80" s="26">
        <f t="shared" si="93"/>
        <v>17.876318254266884</v>
      </c>
      <c r="S80" s="26">
        <f t="shared" si="87"/>
        <v>3.2056221306826713</v>
      </c>
      <c r="T80"/>
      <c r="W80" s="26">
        <f t="shared" si="88"/>
        <v>537.18863665109973</v>
      </c>
      <c r="X80" s="26">
        <f t="shared" si="89"/>
        <v>18.534261334174698</v>
      </c>
      <c r="Y80" s="26">
        <f t="shared" si="90"/>
        <v>23.56412256365574</v>
      </c>
      <c r="Z80" s="26">
        <f t="shared" si="91"/>
        <v>17.339129617615786</v>
      </c>
      <c r="AA80" s="26">
        <f t="shared" si="92"/>
        <v>3.199495358382396</v>
      </c>
    </row>
    <row r="81" spans="1:27" ht="12.75" customHeight="1" x14ac:dyDescent="0.25">
      <c r="A81" t="s">
        <v>169</v>
      </c>
      <c r="B81" s="1" t="s">
        <v>65</v>
      </c>
      <c r="C81" s="1">
        <v>45</v>
      </c>
      <c r="D81" s="1">
        <v>25</v>
      </c>
      <c r="E81" s="1">
        <v>24</v>
      </c>
      <c r="F81" s="1" t="s">
        <v>70</v>
      </c>
      <c r="G81" s="1" t="s">
        <v>68</v>
      </c>
      <c r="H81" s="1">
        <v>10</v>
      </c>
      <c r="I81" s="39">
        <v>4520.5200195300004</v>
      </c>
      <c r="J81" s="25">
        <v>312937.375</v>
      </c>
      <c r="K81" s="25">
        <v>10863.96</v>
      </c>
      <c r="L81" s="25">
        <v>14913.4697</v>
      </c>
      <c r="M81" s="25">
        <v>10204.088900000001</v>
      </c>
      <c r="O81" s="26">
        <f t="shared" si="85"/>
        <v>151.77241299731153</v>
      </c>
      <c r="P81" s="26">
        <f t="shared" si="93"/>
        <v>5.2689437428375969</v>
      </c>
      <c r="Q81" s="26">
        <f t="shared" si="93"/>
        <v>7.2329272990523794</v>
      </c>
      <c r="R81" s="26">
        <f t="shared" si="93"/>
        <v>4.9489109276003944</v>
      </c>
      <c r="S81" s="26">
        <f t="shared" si="87"/>
        <v>3.2074063044342624</v>
      </c>
      <c r="T81"/>
      <c r="W81" s="26">
        <f t="shared" si="88"/>
        <v>151.74377572348055</v>
      </c>
      <c r="X81" s="26">
        <f t="shared" si="89"/>
        <v>5.2479292246309655</v>
      </c>
      <c r="Y81" s="26">
        <f t="shared" si="90"/>
        <v>6.9335372326173808</v>
      </c>
      <c r="Z81" s="26">
        <f t="shared" si="91"/>
        <v>4.7971671518769137</v>
      </c>
      <c r="AA81" s="26">
        <f t="shared" si="92"/>
        <v>3.2014161789952285</v>
      </c>
    </row>
    <row r="82" spans="1:27" ht="12.75" customHeight="1" x14ac:dyDescent="0.25">
      <c r="A82" t="s">
        <v>169</v>
      </c>
      <c r="B82" s="1" t="s">
        <v>65</v>
      </c>
      <c r="C82" s="1">
        <v>45</v>
      </c>
      <c r="D82" s="1">
        <v>25</v>
      </c>
      <c r="E82" s="1">
        <v>24</v>
      </c>
      <c r="F82" s="1" t="s">
        <v>71</v>
      </c>
      <c r="G82" s="1" t="s">
        <v>68</v>
      </c>
      <c r="H82" s="1">
        <v>10</v>
      </c>
      <c r="I82" s="39">
        <v>5258.5400390599998</v>
      </c>
      <c r="J82" s="25">
        <v>156575.59400000001</v>
      </c>
      <c r="K82" s="24">
        <v>5834.1879882800004</v>
      </c>
      <c r="L82" s="24">
        <v>7963.6108398400002</v>
      </c>
      <c r="M82" s="24">
        <v>4403.4980468800004</v>
      </c>
      <c r="O82" s="26">
        <f t="shared" si="85"/>
        <v>75.93805539484498</v>
      </c>
      <c r="P82" s="26">
        <f t="shared" si="93"/>
        <v>2.8295399003113206</v>
      </c>
      <c r="Q82" s="26">
        <f t="shared" si="93"/>
        <v>3.8622949187007896</v>
      </c>
      <c r="R82" s="26">
        <f t="shared" si="93"/>
        <v>2.1356654001585018</v>
      </c>
      <c r="S82" s="26">
        <f t="shared" si="87"/>
        <v>3.4243539389778892</v>
      </c>
      <c r="T82"/>
      <c r="W82" s="26">
        <f t="shared" si="88"/>
        <v>75.925697194066984</v>
      </c>
      <c r="X82" s="26">
        <f t="shared" si="89"/>
        <v>2.8204712425618741</v>
      </c>
      <c r="Y82" s="26">
        <f t="shared" si="90"/>
        <v>3.733095380582125</v>
      </c>
      <c r="Z82" s="26">
        <f t="shared" si="91"/>
        <v>2.0597397029644346</v>
      </c>
      <c r="AA82" s="26">
        <f t="shared" si="92"/>
        <v>3.419612532930155</v>
      </c>
    </row>
    <row r="83" spans="1:27" ht="12.75" customHeight="1" x14ac:dyDescent="0.25">
      <c r="A83" t="s">
        <v>169</v>
      </c>
      <c r="B83" s="1"/>
      <c r="C83" s="1"/>
      <c r="D83" s="1"/>
      <c r="E83" s="1"/>
      <c r="F83" s="1"/>
      <c r="G83" s="35" t="s">
        <v>116</v>
      </c>
      <c r="H83" s="35"/>
      <c r="I83" s="39">
        <v>6667.3798828099998</v>
      </c>
      <c r="J83" s="24">
        <v>2035.0743408200001</v>
      </c>
      <c r="K83" s="24">
        <v>1202.7282714800001</v>
      </c>
      <c r="L83" s="25">
        <v>16158.104499999999</v>
      </c>
      <c r="M83" s="25">
        <v>260672.34400000001</v>
      </c>
      <c r="O83" s="26"/>
      <c r="P83" s="26"/>
      <c r="S83"/>
      <c r="T83" s="46">
        <f>J83/$M83</f>
        <v>7.8070205284991798E-3</v>
      </c>
      <c r="U83" s="46">
        <f t="shared" ref="U83" si="94">K83/$M83</f>
        <v>4.6139465852963676E-3</v>
      </c>
      <c r="V83" s="46">
        <f t="shared" ref="V83" si="95">L83/$M83</f>
        <v>6.1986263107374359E-2</v>
      </c>
      <c r="AA83"/>
    </row>
    <row r="84" spans="1:27" ht="12.75" customHeight="1" x14ac:dyDescent="0.25">
      <c r="A84" t="s">
        <v>169</v>
      </c>
      <c r="B84" s="1" t="s">
        <v>86</v>
      </c>
      <c r="C84" s="1">
        <v>25</v>
      </c>
      <c r="D84" s="1" t="s">
        <v>66</v>
      </c>
      <c r="E84" s="1">
        <v>0</v>
      </c>
      <c r="F84" s="1" t="s">
        <v>67</v>
      </c>
      <c r="G84" s="1" t="s">
        <v>73</v>
      </c>
      <c r="H84" s="1">
        <v>10</v>
      </c>
      <c r="I84" s="39">
        <v>7406.6000976599998</v>
      </c>
      <c r="J84" s="24">
        <v>861.89959716999999</v>
      </c>
      <c r="K84" s="24">
        <v>136.71495056000001</v>
      </c>
      <c r="L84" s="24">
        <v>29.631290440000001</v>
      </c>
      <c r="M84" s="24">
        <v>104.80192565999999</v>
      </c>
      <c r="O84" s="26">
        <f t="shared" ref="O84:O92" si="96">J84/$N$75/$H84</f>
        <v>0.41801520711261053</v>
      </c>
      <c r="P84" s="26">
        <f t="shared" ref="P84:P92" si="97">K84/$N$75/$H84</f>
        <v>6.6305783830708453E-2</v>
      </c>
      <c r="Q84" s="26">
        <f t="shared" ref="Q84:Q92" si="98">L84/$N$75/$H84</f>
        <v>1.4370966236624722E-2</v>
      </c>
      <c r="R84" s="26">
        <f t="shared" ref="R84:R92" si="99">M84/$N$75/$H84</f>
        <v>5.0828192523130422E-2</v>
      </c>
      <c r="S84" s="26">
        <f t="shared" ref="S84:S92" si="100">P84/(O84+P84+Q84)*100</f>
        <v>13.295940084067418</v>
      </c>
      <c r="T84"/>
      <c r="W84" s="26">
        <f t="shared" ref="W84:W92" si="101">O84-(T$4*$R84)</f>
        <v>0.41772108566065619</v>
      </c>
      <c r="X84" s="26">
        <f t="shared" ref="X84:X92" si="102">P84-(U$4*$R84)</f>
        <v>6.6089952510886049E-2</v>
      </c>
      <c r="Y84" s="26">
        <f t="shared" ref="Y84:Y92" si="103">Q84-(V$4*$R84)</f>
        <v>1.1296056188961066E-2</v>
      </c>
      <c r="Z84" s="26">
        <f t="shared" ref="Z84:Z92" si="104">R84-(0.001*W84)</f>
        <v>5.0410471437469767E-2</v>
      </c>
      <c r="AA84" s="26">
        <f t="shared" ref="AA84:AA92" si="105">X84/(W84+X84+Y84)*100</f>
        <v>13.348617554400027</v>
      </c>
    </row>
    <row r="85" spans="1:27" ht="12.75" customHeight="1" x14ac:dyDescent="0.25">
      <c r="A85" t="s">
        <v>169</v>
      </c>
      <c r="B85" s="1" t="s">
        <v>86</v>
      </c>
      <c r="C85" s="1">
        <v>25</v>
      </c>
      <c r="D85" s="1" t="s">
        <v>66</v>
      </c>
      <c r="E85" s="1">
        <v>0</v>
      </c>
      <c r="F85" s="1" t="s">
        <v>70</v>
      </c>
      <c r="G85" s="1" t="s">
        <v>73</v>
      </c>
      <c r="H85" s="1">
        <v>10</v>
      </c>
      <c r="I85" s="39">
        <v>8562.23046875</v>
      </c>
      <c r="J85" s="24">
        <v>1231.8666992200001</v>
      </c>
      <c r="K85" s="24">
        <v>150.91540527000001</v>
      </c>
      <c r="L85" s="24">
        <v>78.943832400000005</v>
      </c>
      <c r="M85" s="24">
        <v>-90.810012819999997</v>
      </c>
      <c r="O85" s="26">
        <f t="shared" si="96"/>
        <v>0.59744663427196198</v>
      </c>
      <c r="P85" s="26">
        <f t="shared" si="97"/>
        <v>7.3192903903840464E-2</v>
      </c>
      <c r="Q85" s="26">
        <f t="shared" si="98"/>
        <v>3.8287200225295373E-2</v>
      </c>
      <c r="R85" s="26">
        <f t="shared" si="99"/>
        <v>-4.4042213781617476E-2</v>
      </c>
      <c r="S85" s="26">
        <f t="shared" si="100"/>
        <v>10.324466540635578</v>
      </c>
      <c r="T85"/>
      <c r="W85" s="26">
        <f t="shared" si="101"/>
        <v>0.59770148810841972</v>
      </c>
      <c r="X85" s="26">
        <f t="shared" si="102"/>
        <v>7.3379919980087152E-2</v>
      </c>
      <c r="Y85" s="26">
        <f t="shared" si="103"/>
        <v>4.0951584673292768E-2</v>
      </c>
      <c r="Z85" s="26">
        <f t="shared" si="104"/>
        <v>-4.4639915269725897E-2</v>
      </c>
      <c r="AA85" s="26">
        <f t="shared" si="105"/>
        <v>10.30569098988863</v>
      </c>
    </row>
    <row r="86" spans="1:27" ht="12.75" customHeight="1" x14ac:dyDescent="0.25">
      <c r="A86" t="s">
        <v>169</v>
      </c>
      <c r="B86" s="1" t="s">
        <v>86</v>
      </c>
      <c r="C86" s="1">
        <v>25</v>
      </c>
      <c r="D86" s="1" t="s">
        <v>66</v>
      </c>
      <c r="E86" s="1">
        <v>0</v>
      </c>
      <c r="F86" s="1" t="s">
        <v>71</v>
      </c>
      <c r="G86" s="1" t="s">
        <v>73</v>
      </c>
      <c r="H86" s="1">
        <v>10</v>
      </c>
      <c r="I86" s="39">
        <v>9065.0498046899993</v>
      </c>
      <c r="J86" s="24">
        <v>1340.2285156200001</v>
      </c>
      <c r="K86" s="24">
        <v>35.164558409999998</v>
      </c>
      <c r="L86" s="24">
        <v>249.51336670000001</v>
      </c>
      <c r="M86" s="24">
        <v>-77.172973630000001</v>
      </c>
      <c r="O86" s="26">
        <f t="shared" si="96"/>
        <v>0.65000134861951997</v>
      </c>
      <c r="P86" s="26">
        <f t="shared" si="97"/>
        <v>1.7054562056931052E-2</v>
      </c>
      <c r="Q86" s="26">
        <f t="shared" si="98"/>
        <v>0.12101221766541001</v>
      </c>
      <c r="R86" s="26">
        <f t="shared" si="99"/>
        <v>-3.7428346249798357E-2</v>
      </c>
      <c r="S86" s="26">
        <f t="shared" si="100"/>
        <v>2.1640974230000642</v>
      </c>
      <c r="T86"/>
      <c r="W86" s="26">
        <f t="shared" si="101"/>
        <v>0.65021793077593304</v>
      </c>
      <c r="X86" s="26">
        <f t="shared" si="102"/>
        <v>1.7213493723961859E-2</v>
      </c>
      <c r="Y86" s="26">
        <f t="shared" si="103"/>
        <v>0.12327648857959933</v>
      </c>
      <c r="Z86" s="26">
        <f t="shared" si="104"/>
        <v>-3.8078564180574287E-2</v>
      </c>
      <c r="AA86" s="26">
        <f t="shared" si="105"/>
        <v>2.1769724874665939</v>
      </c>
    </row>
    <row r="87" spans="1:27" ht="12.75" customHeight="1" x14ac:dyDescent="0.25">
      <c r="A87" t="s">
        <v>169</v>
      </c>
      <c r="B87" s="1" t="s">
        <v>65</v>
      </c>
      <c r="C87" s="1">
        <v>45</v>
      </c>
      <c r="D87" s="1">
        <v>45</v>
      </c>
      <c r="E87" s="1">
        <v>24</v>
      </c>
      <c r="F87" s="1" t="s">
        <v>67</v>
      </c>
      <c r="G87" s="1" t="s">
        <v>75</v>
      </c>
      <c r="H87" s="1">
        <v>10</v>
      </c>
      <c r="I87" s="39">
        <v>9553.4599609399993</v>
      </c>
      <c r="J87" s="25">
        <v>8895682</v>
      </c>
      <c r="K87" s="25">
        <v>451428.56199999998</v>
      </c>
      <c r="L87" s="25">
        <v>380516.84399999998</v>
      </c>
      <c r="M87" s="25">
        <v>236744.06200000001</v>
      </c>
      <c r="O87" s="26">
        <f t="shared" si="96"/>
        <v>4314.3428374343275</v>
      </c>
      <c r="P87" s="26">
        <f t="shared" si="97"/>
        <v>218.93965893542264</v>
      </c>
      <c r="Q87" s="26">
        <f t="shared" si="98"/>
        <v>184.54797737087671</v>
      </c>
      <c r="R87" s="26">
        <f t="shared" si="99"/>
        <v>114.81919522244706</v>
      </c>
      <c r="S87" s="26">
        <f t="shared" si="100"/>
        <v>4.6406851656505568</v>
      </c>
      <c r="T87"/>
      <c r="W87" s="26">
        <f t="shared" si="101"/>
        <v>4313.6784268634483</v>
      </c>
      <c r="X87" s="26">
        <f t="shared" si="102"/>
        <v>218.45210316734119</v>
      </c>
      <c r="Y87" s="26">
        <f t="shared" si="103"/>
        <v>177.6018579137764</v>
      </c>
      <c r="Z87" s="26">
        <f t="shared" si="104"/>
        <v>110.50551679558362</v>
      </c>
      <c r="AA87" s="26">
        <f t="shared" si="105"/>
        <v>4.6383124384415106</v>
      </c>
    </row>
    <row r="88" spans="1:27" ht="12.75" customHeight="1" x14ac:dyDescent="0.25">
      <c r="A88" t="s">
        <v>169</v>
      </c>
      <c r="B88" s="1" t="s">
        <v>65</v>
      </c>
      <c r="C88" s="1">
        <v>45</v>
      </c>
      <c r="D88" s="1">
        <v>45</v>
      </c>
      <c r="E88" s="1">
        <v>24</v>
      </c>
      <c r="F88" s="1" t="s">
        <v>70</v>
      </c>
      <c r="G88" s="1" t="s">
        <v>75</v>
      </c>
      <c r="H88" s="1">
        <v>10</v>
      </c>
      <c r="I88" s="40">
        <v>10464.299800000001</v>
      </c>
      <c r="J88" s="25">
        <v>7721706.5</v>
      </c>
      <c r="K88" s="25">
        <v>398689.43800000002</v>
      </c>
      <c r="L88" s="25">
        <v>327704.71899999998</v>
      </c>
      <c r="M88" s="25">
        <v>196200.59400000001</v>
      </c>
      <c r="O88" s="26">
        <f t="shared" si="96"/>
        <v>3744.9730252323643</v>
      </c>
      <c r="P88" s="26">
        <f t="shared" si="97"/>
        <v>193.36155689873107</v>
      </c>
      <c r="Q88" s="26">
        <f t="shared" si="98"/>
        <v>158.9344703656312</v>
      </c>
      <c r="R88" s="26">
        <f t="shared" si="99"/>
        <v>95.155900067500227</v>
      </c>
      <c r="S88" s="26">
        <f t="shared" si="100"/>
        <v>4.7192789739034486</v>
      </c>
      <c r="T88"/>
      <c r="W88" s="26">
        <f t="shared" si="101"/>
        <v>3744.4223979111757</v>
      </c>
      <c r="X88" s="26">
        <f t="shared" si="102"/>
        <v>192.95749721293541</v>
      </c>
      <c r="Y88" s="26">
        <f t="shared" si="103"/>
        <v>153.17790459597722</v>
      </c>
      <c r="Z88" s="26">
        <f t="shared" si="104"/>
        <v>91.411477669589047</v>
      </c>
      <c r="AA88" s="26">
        <f t="shared" si="105"/>
        <v>4.717143887470292</v>
      </c>
    </row>
    <row r="89" spans="1:27" ht="12.75" customHeight="1" x14ac:dyDescent="0.25">
      <c r="A89" t="s">
        <v>169</v>
      </c>
      <c r="B89" s="1" t="s">
        <v>65</v>
      </c>
      <c r="C89" s="1">
        <v>45</v>
      </c>
      <c r="D89" s="1">
        <v>45</v>
      </c>
      <c r="E89" s="1">
        <v>24</v>
      </c>
      <c r="F89" s="1" t="s">
        <v>71</v>
      </c>
      <c r="G89" s="1" t="s">
        <v>75</v>
      </c>
      <c r="H89" s="1">
        <v>10</v>
      </c>
      <c r="I89" s="40">
        <v>11388.299800000001</v>
      </c>
      <c r="J89" s="25">
        <v>2222344.25</v>
      </c>
      <c r="K89" s="25">
        <v>132503.46900000001</v>
      </c>
      <c r="L89" s="25">
        <v>105173.109</v>
      </c>
      <c r="M89" s="25">
        <v>76065.054699999993</v>
      </c>
      <c r="N89" s="35" t="s">
        <v>87</v>
      </c>
      <c r="O89" s="26">
        <f t="shared" si="96"/>
        <v>1077.8212392597738</v>
      </c>
      <c r="P89" s="26">
        <f t="shared" si="97"/>
        <v>64.263245068264752</v>
      </c>
      <c r="Q89" s="26">
        <f t="shared" si="98"/>
        <v>51.008213817091239</v>
      </c>
      <c r="R89" s="26">
        <f t="shared" si="99"/>
        <v>36.891013406728717</v>
      </c>
      <c r="S89" s="26">
        <f t="shared" si="100"/>
        <v>5.3862742742599252</v>
      </c>
      <c r="T89"/>
      <c r="W89" s="26">
        <f t="shared" si="101"/>
        <v>1077.6077664233687</v>
      </c>
      <c r="X89" s="26">
        <f t="shared" si="102"/>
        <v>64.106595073096486</v>
      </c>
      <c r="Y89" s="26">
        <f t="shared" si="103"/>
        <v>48.776449472112354</v>
      </c>
      <c r="Z89" s="26">
        <f t="shared" si="104"/>
        <v>35.813405640305348</v>
      </c>
      <c r="AA89" s="26">
        <f t="shared" si="105"/>
        <v>5.38488785318214</v>
      </c>
    </row>
    <row r="90" spans="1:27" ht="12.75" customHeight="1" x14ac:dyDescent="0.25">
      <c r="A90" t="s">
        <v>169</v>
      </c>
      <c r="B90" s="1" t="s">
        <v>65</v>
      </c>
      <c r="C90" s="1">
        <v>45</v>
      </c>
      <c r="D90" s="1">
        <v>25</v>
      </c>
      <c r="E90" s="1">
        <v>24</v>
      </c>
      <c r="F90" s="1" t="s">
        <v>67</v>
      </c>
      <c r="G90" s="1" t="s">
        <v>75</v>
      </c>
      <c r="H90" s="1">
        <v>10</v>
      </c>
      <c r="I90" s="40">
        <v>12299.0996</v>
      </c>
      <c r="J90" s="25">
        <v>5749208.5</v>
      </c>
      <c r="K90" s="25">
        <v>175972.68799999999</v>
      </c>
      <c r="L90" s="25">
        <v>246952.09400000001</v>
      </c>
      <c r="M90" s="25">
        <v>186154.40599999999</v>
      </c>
      <c r="O90" s="26">
        <f t="shared" si="96"/>
        <v>2788.3254496835157</v>
      </c>
      <c r="P90" s="26">
        <f t="shared" si="97"/>
        <v>85.345508759965298</v>
      </c>
      <c r="Q90" s="26">
        <f t="shared" si="98"/>
        <v>119.77001852565198</v>
      </c>
      <c r="R90" s="26">
        <f t="shared" si="99"/>
        <v>90.283569959328787</v>
      </c>
      <c r="S90" s="26">
        <f t="shared" si="100"/>
        <v>2.8510837332887</v>
      </c>
      <c r="T90"/>
      <c r="W90" s="26">
        <f t="shared" si="101"/>
        <v>2787.8030164950451</v>
      </c>
      <c r="X90" s="26">
        <f t="shared" si="102"/>
        <v>84.962138407896759</v>
      </c>
      <c r="Y90" s="26">
        <f t="shared" si="103"/>
        <v>114.30820997756027</v>
      </c>
      <c r="Z90" s="26">
        <f t="shared" si="104"/>
        <v>87.49576694283374</v>
      </c>
      <c r="AA90" s="26">
        <f t="shared" si="105"/>
        <v>2.8443271399628203</v>
      </c>
    </row>
    <row r="91" spans="1:27" ht="12.75" customHeight="1" x14ac:dyDescent="0.25">
      <c r="A91" t="s">
        <v>169</v>
      </c>
      <c r="B91" s="1" t="s">
        <v>65</v>
      </c>
      <c r="C91" s="1">
        <v>45</v>
      </c>
      <c r="D91" s="1">
        <v>25</v>
      </c>
      <c r="E91" s="1">
        <v>24</v>
      </c>
      <c r="F91" s="1" t="s">
        <v>70</v>
      </c>
      <c r="G91" s="1" t="s">
        <v>75</v>
      </c>
      <c r="H91" s="1">
        <v>10</v>
      </c>
      <c r="I91" s="40">
        <v>13223.200199999999</v>
      </c>
      <c r="J91" s="25">
        <v>8320289.5</v>
      </c>
      <c r="K91" s="25">
        <v>249564.266</v>
      </c>
      <c r="L91" s="25">
        <v>341280.5</v>
      </c>
      <c r="M91" s="25">
        <v>184007.734</v>
      </c>
      <c r="O91" s="26">
        <f t="shared" si="96"/>
        <v>4035.2815455526675</v>
      </c>
      <c r="P91" s="26">
        <f t="shared" si="97"/>
        <v>121.03690346582255</v>
      </c>
      <c r="Q91" s="26">
        <f t="shared" si="98"/>
        <v>165.51862810867183</v>
      </c>
      <c r="R91" s="26">
        <f t="shared" si="99"/>
        <v>89.24244922597515</v>
      </c>
      <c r="S91" s="26">
        <f t="shared" si="100"/>
        <v>2.800589224114828</v>
      </c>
      <c r="T91"/>
      <c r="W91" s="26">
        <f t="shared" si="101"/>
        <v>4034.7651368936272</v>
      </c>
      <c r="X91" s="26">
        <f t="shared" si="102"/>
        <v>120.65795401583254</v>
      </c>
      <c r="Y91" s="26">
        <f t="shared" si="103"/>
        <v>160.11980335844709</v>
      </c>
      <c r="Z91" s="26">
        <f t="shared" si="104"/>
        <v>85.207684089081525</v>
      </c>
      <c r="AA91" s="26">
        <f t="shared" si="105"/>
        <v>2.7958928221080996</v>
      </c>
    </row>
    <row r="92" spans="1:27" ht="12.75" customHeight="1" x14ac:dyDescent="0.25">
      <c r="A92" t="s">
        <v>169</v>
      </c>
      <c r="B92" s="1" t="s">
        <v>65</v>
      </c>
      <c r="C92" s="1">
        <v>45</v>
      </c>
      <c r="D92" s="1">
        <v>25</v>
      </c>
      <c r="E92" s="1">
        <v>24</v>
      </c>
      <c r="F92" s="1" t="s">
        <v>71</v>
      </c>
      <c r="G92" s="1" t="s">
        <v>75</v>
      </c>
      <c r="H92" s="1">
        <v>10</v>
      </c>
      <c r="I92" s="40">
        <v>14136.4004</v>
      </c>
      <c r="J92" s="25">
        <v>4842767</v>
      </c>
      <c r="K92" s="25">
        <v>152303.34400000001</v>
      </c>
      <c r="L92" s="25">
        <v>213908.016</v>
      </c>
      <c r="M92" s="25">
        <v>180600</v>
      </c>
      <c r="O92" s="26">
        <f t="shared" si="96"/>
        <v>2348.7077348103639</v>
      </c>
      <c r="P92" s="26">
        <f t="shared" si="97"/>
        <v>73.866044368908035</v>
      </c>
      <c r="Q92" s="26">
        <f t="shared" si="98"/>
        <v>103.74387446621715</v>
      </c>
      <c r="R92" s="26">
        <f t="shared" si="99"/>
        <v>87.589722344013609</v>
      </c>
      <c r="S92" s="26">
        <f t="shared" si="100"/>
        <v>2.923862098747517</v>
      </c>
      <c r="T92"/>
      <c r="W92" s="26">
        <f t="shared" si="101"/>
        <v>2348.2008897892592</v>
      </c>
      <c r="X92" s="26">
        <f t="shared" si="102"/>
        <v>73.494112878962113</v>
      </c>
      <c r="Y92" s="26">
        <f t="shared" si="103"/>
        <v>98.445033332232057</v>
      </c>
      <c r="Z92" s="26">
        <f t="shared" si="104"/>
        <v>85.241521454224355</v>
      </c>
      <c r="AA92" s="26">
        <f t="shared" si="105"/>
        <v>2.9162709940357021</v>
      </c>
    </row>
    <row r="93" spans="1:27" ht="12.75" customHeight="1" x14ac:dyDescent="0.25">
      <c r="A93" t="s">
        <v>169</v>
      </c>
      <c r="B93" s="1"/>
      <c r="C93" s="1"/>
      <c r="D93" s="1"/>
      <c r="E93" s="1"/>
      <c r="F93" s="1"/>
      <c r="G93" s="35" t="s">
        <v>116</v>
      </c>
      <c r="H93" s="35"/>
      <c r="I93" s="40">
        <v>15726.4004</v>
      </c>
      <c r="J93" s="24">
        <v>4303.2612304699996</v>
      </c>
      <c r="K93" s="24">
        <v>1420.2727050799999</v>
      </c>
      <c r="L93" s="25">
        <v>16365.3125</v>
      </c>
      <c r="M93" s="25">
        <v>265392.90600000002</v>
      </c>
      <c r="O93" s="26"/>
      <c r="P93" s="26"/>
      <c r="S93"/>
      <c r="T93" s="46">
        <f>J93/$M93</f>
        <v>1.6214680698624247E-2</v>
      </c>
      <c r="U93" s="46">
        <f t="shared" ref="U93" si="106">K93/$M93</f>
        <v>5.3515850385239755E-3</v>
      </c>
      <c r="V93" s="46">
        <f t="shared" ref="V93" si="107">L93/$M93</f>
        <v>6.1664468529539364E-2</v>
      </c>
      <c r="AA93"/>
    </row>
    <row r="94" spans="1:27" ht="12.75" customHeight="1" x14ac:dyDescent="0.25">
      <c r="A94" t="s">
        <v>169</v>
      </c>
      <c r="B94" s="1" t="s">
        <v>65</v>
      </c>
      <c r="C94" s="1">
        <v>45</v>
      </c>
      <c r="D94" s="1">
        <v>45</v>
      </c>
      <c r="E94" s="1">
        <v>24</v>
      </c>
      <c r="F94" s="1" t="s">
        <v>67</v>
      </c>
      <c r="G94" s="1" t="s">
        <v>79</v>
      </c>
      <c r="H94" s="1">
        <v>10</v>
      </c>
      <c r="I94" s="40">
        <v>16457.199199999999</v>
      </c>
      <c r="J94" s="25">
        <v>9090344</v>
      </c>
      <c r="K94" s="25">
        <v>464049.21899999998</v>
      </c>
      <c r="L94" s="25">
        <v>399234.75</v>
      </c>
      <c r="M94" s="25">
        <v>232553.20300000001</v>
      </c>
      <c r="O94" s="26">
        <f t="shared" ref="O94:R99" si="108">J94/$N$75/$H94</f>
        <v>4408.7525302966224</v>
      </c>
      <c r="P94" s="26">
        <f t="shared" si="108"/>
        <v>225.0605882954948</v>
      </c>
      <c r="Q94" s="26">
        <f t="shared" si="108"/>
        <v>193.62602936091741</v>
      </c>
      <c r="R94" s="26">
        <f t="shared" si="108"/>
        <v>112.78665825570893</v>
      </c>
      <c r="S94" s="26">
        <f t="shared" ref="S94:S99" si="109">P94/(O94+P94+Q94)*100</f>
        <v>4.6621113471917424</v>
      </c>
      <c r="T94"/>
      <c r="W94" s="26">
        <f t="shared" ref="W94:W99" si="110">O94-(T$4*$R94)</f>
        <v>4408.0998811654899</v>
      </c>
      <c r="X94" s="26">
        <f t="shared" ref="X94:X99" si="111">P94-(U$4*$R94)</f>
        <v>224.5816632717767</v>
      </c>
      <c r="Y94" s="26">
        <f t="shared" ref="Y94:Y99" si="112">Q94-(V$4*$R94)</f>
        <v>186.80287056857861</v>
      </c>
      <c r="Z94" s="26">
        <f t="shared" ref="Z94:Z99" si="113">R94-(0.001*W94)</f>
        <v>108.37855837454345</v>
      </c>
      <c r="AA94" s="26">
        <f t="shared" ref="AA94:AA99" si="114">X94/(W94+X94+Y94)*100</f>
        <v>4.6598690634318469</v>
      </c>
    </row>
    <row r="95" spans="1:27" ht="12.75" customHeight="1" x14ac:dyDescent="0.25">
      <c r="A95" t="s">
        <v>169</v>
      </c>
      <c r="B95" s="1" t="s">
        <v>65</v>
      </c>
      <c r="C95" s="1">
        <v>45</v>
      </c>
      <c r="D95" s="1">
        <v>45</v>
      </c>
      <c r="E95" s="1">
        <v>24</v>
      </c>
      <c r="F95" s="1" t="s">
        <v>70</v>
      </c>
      <c r="G95" s="1" t="s">
        <v>79</v>
      </c>
      <c r="H95" s="1">
        <v>10</v>
      </c>
      <c r="I95" s="40">
        <v>17380.099600000001</v>
      </c>
      <c r="J95" s="25">
        <v>8850109</v>
      </c>
      <c r="K95" s="25">
        <v>458110.03100000002</v>
      </c>
      <c r="L95" s="25">
        <v>384776.625</v>
      </c>
      <c r="M95" s="25">
        <v>226258.016</v>
      </c>
      <c r="O95" s="26">
        <f t="shared" si="108"/>
        <v>4292.2402548408409</v>
      </c>
      <c r="P95" s="26">
        <f t="shared" si="108"/>
        <v>222.18012413232265</v>
      </c>
      <c r="Q95" s="26">
        <f t="shared" si="108"/>
        <v>186.61394102002572</v>
      </c>
      <c r="R95" s="26">
        <f t="shared" si="108"/>
        <v>109.73353709605419</v>
      </c>
      <c r="S95" s="26">
        <f t="shared" si="109"/>
        <v>4.7261965986379888</v>
      </c>
      <c r="T95"/>
      <c r="W95" s="26">
        <f t="shared" si="110"/>
        <v>4291.605272842532</v>
      </c>
      <c r="X95" s="26">
        <f t="shared" si="111"/>
        <v>221.7141635509102</v>
      </c>
      <c r="Y95" s="26">
        <f t="shared" si="112"/>
        <v>179.97548430864887</v>
      </c>
      <c r="Z95" s="26">
        <f t="shared" si="113"/>
        <v>105.44193182321166</v>
      </c>
      <c r="AA95" s="26">
        <f t="shared" si="114"/>
        <v>4.7240620352437386</v>
      </c>
    </row>
    <row r="96" spans="1:27" ht="12.75" customHeight="1" x14ac:dyDescent="0.25">
      <c r="A96" t="s">
        <v>169</v>
      </c>
      <c r="B96" s="1" t="s">
        <v>65</v>
      </c>
      <c r="C96" s="1">
        <v>45</v>
      </c>
      <c r="D96" s="1">
        <v>45</v>
      </c>
      <c r="E96" s="1">
        <v>24</v>
      </c>
      <c r="F96" s="1" t="s">
        <v>71</v>
      </c>
      <c r="G96" s="1" t="s">
        <v>79</v>
      </c>
      <c r="H96" s="1">
        <v>10</v>
      </c>
      <c r="I96" s="40">
        <v>18296.900399999999</v>
      </c>
      <c r="J96" s="25">
        <v>7580957</v>
      </c>
      <c r="K96" s="25">
        <v>408530.18800000002</v>
      </c>
      <c r="L96" s="25">
        <v>340355.34399999998</v>
      </c>
      <c r="M96" s="25">
        <v>229595.75</v>
      </c>
      <c r="O96" s="26">
        <f t="shared" si="108"/>
        <v>3676.7105134657054</v>
      </c>
      <c r="P96" s="26">
        <f t="shared" si="108"/>
        <v>198.13425103027507</v>
      </c>
      <c r="Q96" s="26">
        <f t="shared" si="108"/>
        <v>165.06993399369452</v>
      </c>
      <c r="R96" s="26">
        <f t="shared" si="108"/>
        <v>111.35231447323125</v>
      </c>
      <c r="S96" s="26">
        <f t="shared" si="109"/>
        <v>4.9044166973215475</v>
      </c>
      <c r="T96"/>
      <c r="W96" s="26">
        <f t="shared" si="110"/>
        <v>3676.0661642810196</v>
      </c>
      <c r="X96" s="26">
        <f t="shared" si="111"/>
        <v>197.66141664831076</v>
      </c>
      <c r="Y96" s="26">
        <f t="shared" si="112"/>
        <v>158.33354748047105</v>
      </c>
      <c r="Z96" s="26">
        <f t="shared" si="113"/>
        <v>107.67624830895022</v>
      </c>
      <c r="AA96" s="26">
        <f t="shared" si="114"/>
        <v>4.9022425591614516</v>
      </c>
    </row>
    <row r="97" spans="1:27" ht="12.75" customHeight="1" x14ac:dyDescent="0.25">
      <c r="A97" t="s">
        <v>169</v>
      </c>
      <c r="B97" s="1" t="s">
        <v>65</v>
      </c>
      <c r="C97" s="1">
        <v>45</v>
      </c>
      <c r="D97" s="1">
        <v>25</v>
      </c>
      <c r="E97" s="1">
        <v>24</v>
      </c>
      <c r="F97" s="1" t="s">
        <v>67</v>
      </c>
      <c r="G97" s="1" t="s">
        <v>79</v>
      </c>
      <c r="H97" s="1">
        <v>10</v>
      </c>
      <c r="I97" s="40">
        <v>19212.5</v>
      </c>
      <c r="J97" s="25">
        <v>5994955.5</v>
      </c>
      <c r="K97" s="25">
        <v>184684.07800000001</v>
      </c>
      <c r="L97" s="25">
        <v>260838.04699999999</v>
      </c>
      <c r="M97" s="25">
        <v>146471.34400000001</v>
      </c>
      <c r="O97" s="26">
        <f t="shared" si="108"/>
        <v>2907.5110061446135</v>
      </c>
      <c r="P97" s="26">
        <f t="shared" si="108"/>
        <v>89.570471281174704</v>
      </c>
      <c r="Q97" s="26">
        <f t="shared" si="108"/>
        <v>126.50460749437858</v>
      </c>
      <c r="R97" s="26">
        <f t="shared" si="108"/>
        <v>71.037565627433565</v>
      </c>
      <c r="S97" s="26">
        <f t="shared" si="109"/>
        <v>2.8675525132346067</v>
      </c>
      <c r="T97"/>
      <c r="W97" s="26">
        <f t="shared" si="110"/>
        <v>2907.0999415186948</v>
      </c>
      <c r="X97" s="26">
        <f t="shared" si="111"/>
        <v>89.268825072933822</v>
      </c>
      <c r="Y97" s="26">
        <f t="shared" si="112"/>
        <v>122.20710814478123</v>
      </c>
      <c r="Z97" s="26">
        <f t="shared" si="113"/>
        <v>68.130465685914871</v>
      </c>
      <c r="AA97" s="26">
        <f t="shared" si="114"/>
        <v>2.8624868740921383</v>
      </c>
    </row>
    <row r="98" spans="1:27" ht="12.75" customHeight="1" x14ac:dyDescent="0.25">
      <c r="A98" t="s">
        <v>169</v>
      </c>
      <c r="B98" s="1" t="s">
        <v>65</v>
      </c>
      <c r="C98" s="1">
        <v>45</v>
      </c>
      <c r="D98" s="1">
        <v>25</v>
      </c>
      <c r="E98" s="1">
        <v>24</v>
      </c>
      <c r="F98" s="1" t="s">
        <v>70</v>
      </c>
      <c r="G98" s="1" t="s">
        <v>79</v>
      </c>
      <c r="H98" s="1">
        <v>10</v>
      </c>
      <c r="I98" s="40">
        <v>20132.900399999999</v>
      </c>
      <c r="J98" s="25">
        <v>7725239.5</v>
      </c>
      <c r="K98" s="25">
        <v>240627.04699999999</v>
      </c>
      <c r="L98" s="25">
        <v>328777.75</v>
      </c>
      <c r="M98" s="25">
        <v>151431.875</v>
      </c>
      <c r="O98" s="26">
        <f t="shared" si="108"/>
        <v>3746.6865052381313</v>
      </c>
      <c r="P98" s="26">
        <f t="shared" si="108"/>
        <v>116.70241547724201</v>
      </c>
      <c r="Q98" s="26">
        <f t="shared" si="108"/>
        <v>159.45488280946577</v>
      </c>
      <c r="R98" s="26">
        <f t="shared" si="108"/>
        <v>73.443388069121667</v>
      </c>
      <c r="S98" s="26">
        <f t="shared" si="109"/>
        <v>2.900992958637536</v>
      </c>
      <c r="T98"/>
      <c r="W98" s="26">
        <f t="shared" si="110"/>
        <v>3746.2615191258374</v>
      </c>
      <c r="X98" s="26">
        <f t="shared" si="111"/>
        <v>116.39055344571346</v>
      </c>
      <c r="Y98" s="26">
        <f t="shared" si="112"/>
        <v>155.01184046037113</v>
      </c>
      <c r="Z98" s="26">
        <f t="shared" si="113"/>
        <v>69.697126549995829</v>
      </c>
      <c r="AA98" s="26">
        <f t="shared" si="114"/>
        <v>2.8969708757415589</v>
      </c>
    </row>
    <row r="99" spans="1:27" ht="12.75" customHeight="1" x14ac:dyDescent="0.25">
      <c r="A99" t="s">
        <v>169</v>
      </c>
      <c r="B99" s="1" t="s">
        <v>65</v>
      </c>
      <c r="C99" s="1">
        <v>45</v>
      </c>
      <c r="D99" s="1">
        <v>25</v>
      </c>
      <c r="E99" s="1">
        <v>24</v>
      </c>
      <c r="F99" s="1" t="s">
        <v>71</v>
      </c>
      <c r="G99" s="1" t="s">
        <v>79</v>
      </c>
      <c r="H99" s="1">
        <v>10</v>
      </c>
      <c r="I99" s="40">
        <v>21049.800800000001</v>
      </c>
      <c r="J99" s="25">
        <v>4226166.5</v>
      </c>
      <c r="K99" s="25">
        <v>137676.17199999999</v>
      </c>
      <c r="L99" s="25">
        <v>191084.65599999999</v>
      </c>
      <c r="M99" s="25">
        <v>136638.42199999999</v>
      </c>
      <c r="O99" s="26">
        <f t="shared" si="108"/>
        <v>2049.6608544549931</v>
      </c>
      <c r="P99" s="26">
        <f t="shared" si="108"/>
        <v>66.771969428940523</v>
      </c>
      <c r="Q99" s="26">
        <f t="shared" si="108"/>
        <v>92.674706330240042</v>
      </c>
      <c r="R99" s="26">
        <f t="shared" si="108"/>
        <v>66.26866802051029</v>
      </c>
      <c r="S99" s="26">
        <f t="shared" si="109"/>
        <v>3.022576697408069</v>
      </c>
      <c r="T99"/>
      <c r="W99" s="26">
        <f t="shared" si="110"/>
        <v>2049.2773854412485</v>
      </c>
      <c r="X99" s="26">
        <f t="shared" si="111"/>
        <v>66.490573349880052</v>
      </c>
      <c r="Y99" s="26">
        <f t="shared" si="112"/>
        <v>88.665706933914379</v>
      </c>
      <c r="Z99" s="26">
        <f t="shared" si="113"/>
        <v>64.219390635069047</v>
      </c>
      <c r="AA99" s="26">
        <f t="shared" si="114"/>
        <v>3.0162201922284271</v>
      </c>
    </row>
    <row r="100" spans="1:27" ht="12.75" customHeight="1" x14ac:dyDescent="0.25">
      <c r="C100" s="1"/>
      <c r="D100" s="1"/>
      <c r="E100" s="1"/>
      <c r="F100" s="1"/>
      <c r="Q100"/>
      <c r="R100"/>
      <c r="S100"/>
      <c r="T100"/>
      <c r="AA100"/>
    </row>
    <row r="101" spans="1:27" ht="12.75" customHeight="1" x14ac:dyDescent="0.25">
      <c r="Q101"/>
      <c r="R101"/>
      <c r="S101"/>
      <c r="T101"/>
      <c r="AA101"/>
    </row>
    <row r="102" spans="1:27" ht="12.75" customHeight="1" x14ac:dyDescent="0.25">
      <c r="M102" s="36" t="s">
        <v>170</v>
      </c>
      <c r="N102" s="26">
        <f>AVERAGE(M106,M116)/$N$3</f>
        <v>206.45021071428573</v>
      </c>
      <c r="Q102"/>
      <c r="R102"/>
      <c r="S102"/>
      <c r="T102"/>
      <c r="AA102"/>
    </row>
    <row r="103" spans="1:27" ht="12.75" customHeight="1" x14ac:dyDescent="0.25">
      <c r="A103" s="1" t="s">
        <v>44</v>
      </c>
      <c r="B103" s="1" t="s">
        <v>86</v>
      </c>
      <c r="C103" s="1">
        <v>25</v>
      </c>
      <c r="D103" s="1" t="s">
        <v>66</v>
      </c>
      <c r="E103" s="1">
        <v>0</v>
      </c>
      <c r="F103" s="1" t="s">
        <v>67</v>
      </c>
      <c r="G103" s="1" t="s">
        <v>75</v>
      </c>
      <c r="H103" s="1">
        <v>10</v>
      </c>
      <c r="I103" s="39">
        <v>795.62200928000004</v>
      </c>
      <c r="J103" s="25">
        <v>2191838.25</v>
      </c>
      <c r="K103" s="25">
        <v>62598.761700000003</v>
      </c>
      <c r="L103" s="25">
        <v>100439.117</v>
      </c>
      <c r="M103" s="24">
        <v>1957.4024658200001</v>
      </c>
      <c r="O103" s="26">
        <f>J103/$N$102/$H103</f>
        <v>1061.6788631101801</v>
      </c>
      <c r="P103" s="26">
        <f t="shared" ref="P103:Q103" si="115">K103/$N$102/$H103</f>
        <v>30.321481137470379</v>
      </c>
      <c r="Q103" s="26">
        <f t="shared" si="115"/>
        <v>48.650527724092029</v>
      </c>
      <c r="R103" s="26">
        <f>M103/$N$102/$H103</f>
        <v>0.94812325889505789</v>
      </c>
      <c r="S103" s="26">
        <f t="shared" ref="S103:S105" si="116">P103/(O103+P103+Q103)*100</f>
        <v>2.6582613385510601</v>
      </c>
      <c r="T103"/>
      <c r="W103" s="26">
        <f t="shared" ref="W103:W105" si="117">O103-(T$4*$R103)</f>
        <v>1061.6733767181663</v>
      </c>
      <c r="X103" s="26">
        <f t="shared" ref="X103:X105" si="118">P103-(U$4*$R103)</f>
        <v>30.3174551297734</v>
      </c>
      <c r="Y103" s="26">
        <f t="shared" ref="Y103:Y105" si="119">Q103-(V$4*$R103)</f>
        <v>48.593169915551556</v>
      </c>
      <c r="Z103" s="26">
        <f t="shared" ref="Z103:Z105" si="120">R103-(0.001*W103)</f>
        <v>-0.11355011782310842</v>
      </c>
      <c r="AA103" s="26">
        <f t="shared" ref="AA103:AA105" si="121">X103/(W103+X103+Y103)*100</f>
        <v>2.6580642094662621</v>
      </c>
    </row>
    <row r="104" spans="1:27" ht="12.75" customHeight="1" x14ac:dyDescent="0.25">
      <c r="A104" s="1" t="s">
        <v>44</v>
      </c>
      <c r="B104" s="1" t="s">
        <v>86</v>
      </c>
      <c r="C104" s="1">
        <v>25</v>
      </c>
      <c r="D104" s="1" t="s">
        <v>66</v>
      </c>
      <c r="E104" s="1">
        <v>0</v>
      </c>
      <c r="F104" s="1" t="s">
        <v>70</v>
      </c>
      <c r="G104" s="1" t="s">
        <v>75</v>
      </c>
      <c r="H104" s="1">
        <v>10</v>
      </c>
      <c r="I104" s="39">
        <v>1532.4399414100001</v>
      </c>
      <c r="J104" s="25">
        <v>2139663.25</v>
      </c>
      <c r="K104" s="25">
        <v>61740.906199999998</v>
      </c>
      <c r="L104" s="25">
        <v>97646.648400000005</v>
      </c>
      <c r="M104" s="24">
        <v>1930.1274414100001</v>
      </c>
      <c r="O104" s="26">
        <f>J104/$N$102/$H104</f>
        <v>1036.4064258385092</v>
      </c>
      <c r="P104" s="26">
        <f>K104/$N$102/$H104</f>
        <v>29.905954557462564</v>
      </c>
      <c r="Q104" s="26">
        <f>L104/$N$102/$H104</f>
        <v>47.297916559231268</v>
      </c>
      <c r="R104" s="26">
        <f>M104/$N$102/$H104</f>
        <v>0.93491182921638016</v>
      </c>
      <c r="S104" s="26">
        <f t="shared" si="116"/>
        <v>2.6854955130381293</v>
      </c>
      <c r="T104"/>
      <c r="W104" s="26">
        <f t="shared" si="117"/>
        <v>1036.401015895503</v>
      </c>
      <c r="X104" s="26">
        <f t="shared" si="118"/>
        <v>29.901984649346602</v>
      </c>
      <c r="Y104" s="26">
        <f t="shared" si="119"/>
        <v>47.241357991345367</v>
      </c>
      <c r="Z104" s="26">
        <f t="shared" si="120"/>
        <v>-0.10148918667912288</v>
      </c>
      <c r="AA104" s="26">
        <f t="shared" si="121"/>
        <v>2.6852980233902963</v>
      </c>
    </row>
    <row r="105" spans="1:27" ht="12.75" customHeight="1" x14ac:dyDescent="0.25">
      <c r="A105" s="1" t="s">
        <v>44</v>
      </c>
      <c r="B105" s="1" t="s">
        <v>86</v>
      </c>
      <c r="C105" s="1">
        <v>25</v>
      </c>
      <c r="D105" s="1" t="s">
        <v>66</v>
      </c>
      <c r="E105" s="1">
        <v>0</v>
      </c>
      <c r="F105" s="1" t="s">
        <v>71</v>
      </c>
      <c r="G105" s="1" t="s">
        <v>75</v>
      </c>
      <c r="H105" s="1">
        <v>10</v>
      </c>
      <c r="I105" s="39">
        <v>2271.6599121099998</v>
      </c>
      <c r="J105" s="25">
        <v>2060102.38</v>
      </c>
      <c r="K105" s="25">
        <v>59093.511700000003</v>
      </c>
      <c r="L105" s="25">
        <v>91657.398400000005</v>
      </c>
      <c r="M105" s="24">
        <v>1905.1837158200001</v>
      </c>
      <c r="O105" s="26">
        <f>J105/$N$102/$H105</f>
        <v>997.86886769084174</v>
      </c>
      <c r="P105" s="26">
        <f>K105/$N$102/$H105</f>
        <v>28.623614137057849</v>
      </c>
      <c r="Q105" s="26">
        <f>L105/$N$102/$H105</f>
        <v>44.396853886890987</v>
      </c>
      <c r="R105" s="26">
        <f>M105/$N$102/$H105</f>
        <v>0.9228296300732074</v>
      </c>
      <c r="S105" s="26">
        <f t="shared" si="116"/>
        <v>2.6728825456042418</v>
      </c>
      <c r="T105"/>
      <c r="W105" s="26">
        <f t="shared" si="117"/>
        <v>997.86352766245921</v>
      </c>
      <c r="X105" s="26">
        <f t="shared" si="118"/>
        <v>28.619695533480922</v>
      </c>
      <c r="Y105" s="26">
        <f t="shared" si="119"/>
        <v>44.341026245557835</v>
      </c>
      <c r="Z105" s="26">
        <f t="shared" si="120"/>
        <v>-7.503389758925183E-2</v>
      </c>
      <c r="AA105" s="26">
        <f t="shared" si="121"/>
        <v>2.6726790645998055</v>
      </c>
    </row>
    <row r="106" spans="1:27" ht="12.75" customHeight="1" x14ac:dyDescent="0.25">
      <c r="A106" s="1" t="s">
        <v>44</v>
      </c>
      <c r="B106" s="1" t="s">
        <v>86</v>
      </c>
      <c r="C106" s="1"/>
      <c r="D106" s="1"/>
      <c r="E106" s="1"/>
      <c r="F106" s="1"/>
      <c r="G106" s="1" t="s">
        <v>116</v>
      </c>
      <c r="H106" s="1"/>
      <c r="I106" s="39">
        <v>3009.6799316400002</v>
      </c>
      <c r="K106" s="24">
        <v>841.31298828000001</v>
      </c>
      <c r="L106" s="25">
        <v>15352.6582</v>
      </c>
      <c r="M106" s="25">
        <v>250897.5</v>
      </c>
      <c r="O106" s="26"/>
      <c r="P106" s="26"/>
      <c r="S106"/>
      <c r="T106" s="46">
        <f>J106/$M106</f>
        <v>0</v>
      </c>
      <c r="U106" s="46">
        <f t="shared" ref="U106" si="122">K106/$M106</f>
        <v>3.3532139151645594E-3</v>
      </c>
      <c r="V106" s="46">
        <f t="shared" ref="V106" si="123">L106/$M106</f>
        <v>6.1190957263424307E-2</v>
      </c>
      <c r="AA106"/>
    </row>
    <row r="107" spans="1:27" ht="12.75" customHeight="1" x14ac:dyDescent="0.25">
      <c r="A107" s="1" t="s">
        <v>44</v>
      </c>
      <c r="B107" s="1" t="s">
        <v>86</v>
      </c>
      <c r="C107" s="1">
        <v>25</v>
      </c>
      <c r="D107" s="1">
        <v>25</v>
      </c>
      <c r="E107" s="1">
        <v>24</v>
      </c>
      <c r="F107" s="1" t="s">
        <v>67</v>
      </c>
      <c r="G107" s="1" t="s">
        <v>73</v>
      </c>
      <c r="H107" s="1">
        <v>10</v>
      </c>
      <c r="I107" s="39">
        <v>3754.8999023400002</v>
      </c>
      <c r="J107" s="24">
        <v>2242.6826171900002</v>
      </c>
      <c r="K107" s="24">
        <v>104.63796234</v>
      </c>
      <c r="L107" s="24">
        <v>221.69357299999999</v>
      </c>
      <c r="M107" s="25">
        <v>12750.352500000001</v>
      </c>
      <c r="O107" s="26">
        <f t="shared" ref="O107:O115" si="124">J107/$N$102/$H107</f>
        <v>1.0863067707369569</v>
      </c>
      <c r="P107" s="26">
        <f t="shared" ref="P107:P115" si="125">K107/$N$102/$H107</f>
        <v>5.0684357249125046E-2</v>
      </c>
      <c r="Q107" s="26">
        <f t="shared" ref="Q107:Q115" si="126">L107/$N$102/$H107</f>
        <v>0.10738355375515218</v>
      </c>
      <c r="R107" s="26">
        <f t="shared" ref="R107:R115" si="127">M107/$N$102/$H107</f>
        <v>6.1759939386284746</v>
      </c>
      <c r="S107" s="26">
        <f t="shared" ref="S107:S115" si="128">P107/(O107+P107+Q107)*100</f>
        <v>4.0730784700797038</v>
      </c>
      <c r="T107"/>
      <c r="W107" s="26">
        <f t="shared" ref="W107:W115" si="129">O107-(T$4*$R107)</f>
        <v>1.050568881697052</v>
      </c>
      <c r="X107" s="26">
        <f t="shared" ref="X107:X115" si="130">P107-(U$4*$R107)</f>
        <v>2.4459286932435022E-2</v>
      </c>
      <c r="Y107" s="26">
        <f t="shared" ref="Y107:Y115" si="131">Q107-(V$4*$R107)</f>
        <v>-0.26624031271533971</v>
      </c>
      <c r="Z107" s="26">
        <f t="shared" ref="Z107:Z115" si="132">R107-(0.001*W107)</f>
        <v>6.1749433697467779</v>
      </c>
      <c r="AA107" s="26">
        <f t="shared" ref="AA107:AA115" si="133">X107/(W107+X107+Y107)*100</f>
        <v>3.0241906766502407</v>
      </c>
    </row>
    <row r="108" spans="1:27" ht="12.75" customHeight="1" x14ac:dyDescent="0.25">
      <c r="A108" s="1" t="s">
        <v>44</v>
      </c>
      <c r="B108" s="1" t="s">
        <v>86</v>
      </c>
      <c r="C108" s="1">
        <v>25</v>
      </c>
      <c r="D108" s="1">
        <v>25</v>
      </c>
      <c r="E108" s="1">
        <v>24</v>
      </c>
      <c r="F108" s="1" t="s">
        <v>70</v>
      </c>
      <c r="G108" s="1" t="s">
        <v>73</v>
      </c>
      <c r="H108" s="1">
        <v>10</v>
      </c>
      <c r="I108" s="39">
        <v>4489.3198242199996</v>
      </c>
      <c r="J108" s="24">
        <v>2322.0825195299999</v>
      </c>
      <c r="K108" s="24">
        <v>210.02626038</v>
      </c>
      <c r="L108" s="24">
        <v>278.07818603999999</v>
      </c>
      <c r="M108" s="25">
        <v>15675.330099999999</v>
      </c>
      <c r="O108" s="26">
        <f t="shared" si="124"/>
        <v>1.1247663596447561</v>
      </c>
      <c r="P108" s="26">
        <f t="shared" si="125"/>
        <v>0.10173216082141145</v>
      </c>
      <c r="Q108" s="26">
        <f t="shared" si="126"/>
        <v>0.13469503619196735</v>
      </c>
      <c r="R108" s="26">
        <f t="shared" si="127"/>
        <v>7.5927895862957886</v>
      </c>
      <c r="S108" s="26">
        <f t="shared" si="128"/>
        <v>7.4737468689738726</v>
      </c>
      <c r="T108"/>
      <c r="W108" s="26">
        <f t="shared" si="129"/>
        <v>1.0808300678616325</v>
      </c>
      <c r="X108" s="26">
        <f t="shared" si="130"/>
        <v>6.9490963245906964E-2</v>
      </c>
      <c r="Y108" s="26">
        <f t="shared" si="131"/>
        <v>-0.32463951476756747</v>
      </c>
      <c r="Z108" s="26">
        <f t="shared" si="132"/>
        <v>7.5917087562279271</v>
      </c>
      <c r="AA108" s="26">
        <f t="shared" si="133"/>
        <v>8.416194606601108</v>
      </c>
    </row>
    <row r="109" spans="1:27" ht="12.75" customHeight="1" x14ac:dyDescent="0.25">
      <c r="A109" s="1" t="s">
        <v>44</v>
      </c>
      <c r="B109" s="1" t="s">
        <v>86</v>
      </c>
      <c r="C109" s="1">
        <v>25</v>
      </c>
      <c r="D109" s="1">
        <v>25</v>
      </c>
      <c r="E109" s="1">
        <v>24</v>
      </c>
      <c r="F109" s="1" t="s">
        <v>71</v>
      </c>
      <c r="G109" s="1" t="s">
        <v>73</v>
      </c>
      <c r="H109" s="1">
        <v>10</v>
      </c>
      <c r="I109" s="39">
        <v>5229.7402343800004</v>
      </c>
      <c r="J109" s="24">
        <v>2346.4848632799999</v>
      </c>
      <c r="K109" s="24">
        <v>82.442581180000005</v>
      </c>
      <c r="L109" s="24">
        <v>201.39982605</v>
      </c>
      <c r="M109" s="25">
        <v>12837.2207</v>
      </c>
      <c r="O109" s="26">
        <f t="shared" si="124"/>
        <v>1.136586325178127</v>
      </c>
      <c r="P109" s="26">
        <f t="shared" si="125"/>
        <v>3.9933396480808354E-2</v>
      </c>
      <c r="Q109" s="26">
        <f t="shared" si="126"/>
        <v>9.7553703313349893E-2</v>
      </c>
      <c r="R109" s="26">
        <f t="shared" si="127"/>
        <v>6.2180710087847357</v>
      </c>
      <c r="S109" s="26">
        <f t="shared" si="128"/>
        <v>3.1343088787584605</v>
      </c>
      <c r="T109"/>
      <c r="W109" s="26">
        <f t="shared" si="129"/>
        <v>1.1006049537644842</v>
      </c>
      <c r="X109" s="26">
        <f t="shared" si="130"/>
        <v>1.3529654660465056E-2</v>
      </c>
      <c r="Y109" s="26">
        <f t="shared" si="131"/>
        <v>-0.27861566397818455</v>
      </c>
      <c r="Z109" s="26">
        <f t="shared" si="132"/>
        <v>6.2169704038309712</v>
      </c>
      <c r="AA109" s="26">
        <f t="shared" si="133"/>
        <v>1.6193115369064024</v>
      </c>
    </row>
    <row r="110" spans="1:27" ht="12.75" customHeight="1" x14ac:dyDescent="0.25">
      <c r="A110" s="1" t="s">
        <v>44</v>
      </c>
      <c r="B110" s="1" t="s">
        <v>86</v>
      </c>
      <c r="C110" s="1">
        <v>25</v>
      </c>
      <c r="D110" s="1">
        <v>45</v>
      </c>
      <c r="E110" s="1">
        <v>24</v>
      </c>
      <c r="F110" s="1" t="s">
        <v>67</v>
      </c>
      <c r="G110" s="1" t="s">
        <v>73</v>
      </c>
      <c r="H110" s="1">
        <v>10</v>
      </c>
      <c r="I110" s="39">
        <v>6620.5800781199996</v>
      </c>
      <c r="J110" s="24">
        <v>3006.7092285200001</v>
      </c>
      <c r="K110" s="24">
        <v>138.91542053000001</v>
      </c>
      <c r="L110" s="24">
        <v>394.04891967999998</v>
      </c>
      <c r="M110" s="24">
        <v>4565.7709960900002</v>
      </c>
      <c r="O110" s="26">
        <f t="shared" si="124"/>
        <v>1.4563846741145248</v>
      </c>
      <c r="P110" s="26">
        <f t="shared" si="125"/>
        <v>6.7287613826778947E-2</v>
      </c>
      <c r="Q110" s="26">
        <f t="shared" si="126"/>
        <v>0.1908687418223754</v>
      </c>
      <c r="R110" s="26">
        <f t="shared" si="127"/>
        <v>2.2115603468231591</v>
      </c>
      <c r="S110" s="26">
        <f t="shared" si="128"/>
        <v>3.9245263110474196</v>
      </c>
      <c r="T110"/>
      <c r="W110" s="26">
        <f t="shared" si="129"/>
        <v>1.4435873010819062</v>
      </c>
      <c r="X110" s="26">
        <f t="shared" si="130"/>
        <v>5.7896684013476599E-2</v>
      </c>
      <c r="Y110" s="26">
        <f t="shared" si="131"/>
        <v>5.7077851493815862E-2</v>
      </c>
      <c r="Z110" s="26">
        <f t="shared" si="132"/>
        <v>2.210116759522077</v>
      </c>
      <c r="AA110" s="26">
        <f t="shared" si="133"/>
        <v>3.7147505254061244</v>
      </c>
    </row>
    <row r="111" spans="1:27" ht="12.75" customHeight="1" x14ac:dyDescent="0.25">
      <c r="A111" s="1" t="s">
        <v>44</v>
      </c>
      <c r="B111" s="1" t="s">
        <v>86</v>
      </c>
      <c r="C111" s="1">
        <v>25</v>
      </c>
      <c r="D111" s="1">
        <v>45</v>
      </c>
      <c r="E111" s="1">
        <v>24</v>
      </c>
      <c r="F111" s="1" t="s">
        <v>70</v>
      </c>
      <c r="G111" s="1" t="s">
        <v>73</v>
      </c>
      <c r="H111" s="1">
        <v>10</v>
      </c>
      <c r="I111" s="39">
        <v>7361</v>
      </c>
      <c r="J111" s="24">
        <v>2382.8103027299999</v>
      </c>
      <c r="K111" s="24">
        <v>176.77420043999999</v>
      </c>
      <c r="L111" s="24">
        <v>624.05084228999999</v>
      </c>
      <c r="M111" s="24">
        <v>3208.1169433599998</v>
      </c>
      <c r="O111" s="26">
        <f t="shared" si="124"/>
        <v>1.1541815794160954</v>
      </c>
      <c r="P111" s="26">
        <f t="shared" si="125"/>
        <v>8.5625584894483103E-2</v>
      </c>
      <c r="Q111" s="26">
        <f t="shared" si="126"/>
        <v>0.30227667975289579</v>
      </c>
      <c r="R111" s="26">
        <f t="shared" si="127"/>
        <v>1.5539421985864836</v>
      </c>
      <c r="S111" s="26">
        <f t="shared" si="128"/>
        <v>5.5525894538169247</v>
      </c>
      <c r="T111"/>
      <c r="W111" s="26">
        <f t="shared" si="129"/>
        <v>1.1451895670502539</v>
      </c>
      <c r="X111" s="26">
        <f t="shared" si="130"/>
        <v>7.9027093407774737E-2</v>
      </c>
      <c r="Y111" s="26">
        <f t="shared" si="131"/>
        <v>0.20826915670852042</v>
      </c>
      <c r="Z111" s="26">
        <f t="shared" si="132"/>
        <v>1.5527970090194334</v>
      </c>
      <c r="AA111" s="26">
        <f t="shared" si="133"/>
        <v>5.5167801635963141</v>
      </c>
    </row>
    <row r="112" spans="1:27" ht="12.75" customHeight="1" x14ac:dyDescent="0.25">
      <c r="A112" s="1" t="s">
        <v>44</v>
      </c>
      <c r="B112" s="1" t="s">
        <v>86</v>
      </c>
      <c r="C112" s="1">
        <v>25</v>
      </c>
      <c r="D112" s="1">
        <v>45</v>
      </c>
      <c r="E112" s="1">
        <v>24</v>
      </c>
      <c r="F112" s="1" t="s">
        <v>71</v>
      </c>
      <c r="G112" s="1" t="s">
        <v>73</v>
      </c>
      <c r="H112" s="1">
        <v>10</v>
      </c>
      <c r="I112" s="39">
        <v>8103.8198242199996</v>
      </c>
      <c r="J112" s="24">
        <v>3019.8081054700001</v>
      </c>
      <c r="K112" s="24">
        <v>211.69734192000001</v>
      </c>
      <c r="L112" s="24">
        <v>358.77767943999999</v>
      </c>
      <c r="M112" s="24">
        <v>2695.0961914099998</v>
      </c>
      <c r="O112" s="26">
        <f t="shared" si="124"/>
        <v>1.4627294857302069</v>
      </c>
      <c r="P112" s="26">
        <f t="shared" si="125"/>
        <v>0.10254159643991645</v>
      </c>
      <c r="Q112" s="26">
        <f t="shared" si="126"/>
        <v>0.1737841187948827</v>
      </c>
      <c r="R112" s="26">
        <f t="shared" si="127"/>
        <v>1.3054460841117017</v>
      </c>
      <c r="S112" s="26">
        <f t="shared" si="128"/>
        <v>5.8963968701520155</v>
      </c>
      <c r="T112"/>
      <c r="W112" s="26">
        <f t="shared" si="129"/>
        <v>1.4551754162532664</v>
      </c>
      <c r="X112" s="26">
        <f t="shared" si="130"/>
        <v>9.6998291881868287E-2</v>
      </c>
      <c r="Y112" s="26">
        <f t="shared" si="131"/>
        <v>9.4809654399133567E-2</v>
      </c>
      <c r="Z112" s="26">
        <f t="shared" si="132"/>
        <v>1.3039909086954484</v>
      </c>
      <c r="AA112" s="26">
        <f t="shared" si="133"/>
        <v>5.8894518359076669</v>
      </c>
    </row>
    <row r="113" spans="1:27" ht="12.75" customHeight="1" x14ac:dyDescent="0.25">
      <c r="A113" s="1" t="s">
        <v>44</v>
      </c>
      <c r="B113" s="1" t="s">
        <v>86</v>
      </c>
      <c r="C113" s="1">
        <v>25</v>
      </c>
      <c r="D113" s="1" t="s">
        <v>66</v>
      </c>
      <c r="E113" s="1">
        <v>0</v>
      </c>
      <c r="F113" s="1" t="s">
        <v>67</v>
      </c>
      <c r="G113" s="1" t="s">
        <v>68</v>
      </c>
      <c r="H113" s="1">
        <v>10</v>
      </c>
      <c r="I113" s="39">
        <v>8838.2402343800004</v>
      </c>
      <c r="J113" s="25">
        <v>17081.273399999998</v>
      </c>
      <c r="K113" s="24">
        <v>462.59933472</v>
      </c>
      <c r="L113" s="24">
        <v>1183.3208007799999</v>
      </c>
      <c r="M113" s="24">
        <v>-2.4391703599999999</v>
      </c>
      <c r="O113" s="26">
        <f t="shared" si="124"/>
        <v>8.2737979975420899</v>
      </c>
      <c r="P113" s="26">
        <f t="shared" si="125"/>
        <v>0.22407307462631207</v>
      </c>
      <c r="Q113" s="26">
        <f t="shared" si="126"/>
        <v>0.57317490579733166</v>
      </c>
      <c r="R113" s="26">
        <f t="shared" si="127"/>
        <v>-1.1814811675710324E-3</v>
      </c>
      <c r="S113" s="26">
        <f t="shared" si="128"/>
        <v>2.4702010679981417</v>
      </c>
      <c r="T113"/>
      <c r="W113" s="26">
        <f t="shared" si="129"/>
        <v>8.2738048342785397</v>
      </c>
      <c r="X113" s="26">
        <f t="shared" si="130"/>
        <v>0.22407809153970371</v>
      </c>
      <c r="Y113" s="26">
        <f t="shared" si="131"/>
        <v>0.57324638086132562</v>
      </c>
      <c r="Z113" s="26">
        <f t="shared" si="132"/>
        <v>-9.4552860018495728E-3</v>
      </c>
      <c r="AA113" s="26">
        <f t="shared" si="133"/>
        <v>2.4702336827532898</v>
      </c>
    </row>
    <row r="114" spans="1:27" ht="12.75" customHeight="1" x14ac:dyDescent="0.25">
      <c r="A114" s="1" t="s">
        <v>44</v>
      </c>
      <c r="B114" s="1" t="s">
        <v>86</v>
      </c>
      <c r="C114" s="1">
        <v>25</v>
      </c>
      <c r="D114" s="1" t="s">
        <v>66</v>
      </c>
      <c r="E114" s="1">
        <v>0</v>
      </c>
      <c r="F114" s="1" t="s">
        <v>70</v>
      </c>
      <c r="G114" s="1" t="s">
        <v>68</v>
      </c>
      <c r="H114" s="1">
        <v>10</v>
      </c>
      <c r="I114" s="39">
        <v>9551.0595703100007</v>
      </c>
      <c r="J114" s="25">
        <v>35386.828099999999</v>
      </c>
      <c r="K114" s="24">
        <v>1027.6831054700001</v>
      </c>
      <c r="L114" s="24">
        <v>1739.5588378899999</v>
      </c>
      <c r="M114" s="24">
        <v>46.832580569999998</v>
      </c>
      <c r="O114" s="26">
        <f t="shared" si="124"/>
        <v>17.140611277444116</v>
      </c>
      <c r="P114" s="26">
        <f t="shared" si="125"/>
        <v>0.49778738511061621</v>
      </c>
      <c r="Q114" s="26">
        <f t="shared" si="126"/>
        <v>0.84260453494883636</v>
      </c>
      <c r="R114" s="26">
        <f t="shared" si="127"/>
        <v>2.268468528463426E-2</v>
      </c>
      <c r="S114" s="26">
        <f t="shared" si="128"/>
        <v>2.6935084626675341</v>
      </c>
      <c r="T114"/>
      <c r="W114" s="26">
        <f t="shared" si="129"/>
        <v>17.140480010675777</v>
      </c>
      <c r="X114" s="26">
        <f t="shared" si="130"/>
        <v>0.49769105932522634</v>
      </c>
      <c r="Y114" s="26">
        <f t="shared" si="131"/>
        <v>0.84123219878563193</v>
      </c>
      <c r="Z114" s="26">
        <f t="shared" si="132"/>
        <v>5.5442052739584843E-3</v>
      </c>
      <c r="AA114" s="26">
        <f t="shared" si="133"/>
        <v>2.6932204037446978</v>
      </c>
    </row>
    <row r="115" spans="1:27" ht="12.75" customHeight="1" x14ac:dyDescent="0.25">
      <c r="A115" s="1" t="s">
        <v>44</v>
      </c>
      <c r="B115" s="1" t="s">
        <v>86</v>
      </c>
      <c r="C115" s="1">
        <v>25</v>
      </c>
      <c r="D115" s="1" t="s">
        <v>66</v>
      </c>
      <c r="E115" s="1">
        <v>0</v>
      </c>
      <c r="F115" s="1" t="s">
        <v>71</v>
      </c>
      <c r="G115" s="1" t="s">
        <v>68</v>
      </c>
      <c r="H115" s="1">
        <v>10</v>
      </c>
      <c r="I115" s="40">
        <v>10298.700199999999</v>
      </c>
      <c r="J115" s="25">
        <v>157571</v>
      </c>
      <c r="K115" s="24">
        <v>4742.0268554699996</v>
      </c>
      <c r="L115" s="24">
        <v>7564.20703125</v>
      </c>
      <c r="M115" s="24">
        <v>274.55261230000002</v>
      </c>
      <c r="O115" s="26">
        <f t="shared" si="124"/>
        <v>76.323971506170309</v>
      </c>
      <c r="P115" s="26">
        <f t="shared" si="125"/>
        <v>2.2969348585614524</v>
      </c>
      <c r="Q115" s="26">
        <f t="shared" si="126"/>
        <v>3.663937665686567</v>
      </c>
      <c r="R115" s="26">
        <f t="shared" si="127"/>
        <v>0.13298732481313075</v>
      </c>
      <c r="S115" s="26">
        <f t="shared" si="128"/>
        <v>2.7914434129720682</v>
      </c>
      <c r="T115"/>
      <c r="W115" s="26">
        <f t="shared" si="129"/>
        <v>76.323201964246351</v>
      </c>
      <c r="X115" s="26">
        <f t="shared" si="130"/>
        <v>2.2963701556198517</v>
      </c>
      <c r="Y115" s="26">
        <f t="shared" si="131"/>
        <v>3.6558924443048757</v>
      </c>
      <c r="Z115" s="26">
        <f t="shared" si="132"/>
        <v>5.6664122848884391E-2</v>
      </c>
      <c r="AA115" s="26">
        <f t="shared" si="133"/>
        <v>2.7910752832380403</v>
      </c>
    </row>
    <row r="116" spans="1:27" ht="12.75" customHeight="1" x14ac:dyDescent="0.25">
      <c r="A116" s="1" t="s">
        <v>44</v>
      </c>
      <c r="B116" s="1" t="s">
        <v>86</v>
      </c>
      <c r="C116" s="1"/>
      <c r="D116" s="1"/>
      <c r="E116" s="1"/>
      <c r="F116" s="1"/>
      <c r="G116" s="1" t="s">
        <v>116</v>
      </c>
      <c r="H116" s="1"/>
      <c r="I116" s="40">
        <v>11049.9004</v>
      </c>
      <c r="J116" s="24">
        <v>3344.3857421900002</v>
      </c>
      <c r="K116" s="24">
        <v>1513.4294433600001</v>
      </c>
      <c r="L116" s="25">
        <v>17276.919900000001</v>
      </c>
      <c r="M116" s="25">
        <v>269357.03100000002</v>
      </c>
      <c r="O116" s="26"/>
      <c r="P116" s="26"/>
      <c r="S116"/>
      <c r="T116" s="46">
        <f>J116/$M116</f>
        <v>1.2416181340334124E-2</v>
      </c>
      <c r="U116" s="46">
        <f t="shared" ref="U116" si="134">K116/$M116</f>
        <v>5.6186743584948412E-3</v>
      </c>
      <c r="V116" s="46">
        <f t="shared" ref="V116" si="135">L116/$M116</f>
        <v>6.4141336262352841E-2</v>
      </c>
      <c r="AA116"/>
    </row>
    <row r="117" spans="1:27" ht="12.75" customHeight="1" x14ac:dyDescent="0.25">
      <c r="C117" s="1"/>
      <c r="D117" s="1"/>
      <c r="E117" s="1"/>
      <c r="F117" s="1"/>
      <c r="Q117"/>
      <c r="R117"/>
      <c r="S117"/>
      <c r="T117"/>
      <c r="AA117"/>
    </row>
    <row r="118" spans="1:27" ht="12.75" customHeight="1" x14ac:dyDescent="0.25">
      <c r="Q118"/>
      <c r="R118"/>
      <c r="S118"/>
      <c r="T118"/>
      <c r="AA118"/>
    </row>
    <row r="119" spans="1:27" ht="12.75" customHeight="1" x14ac:dyDescent="0.25">
      <c r="M119" s="36" t="s">
        <v>170</v>
      </c>
      <c r="N119" s="26">
        <f>AVERAGE(M120,M130)/$N$3</f>
        <v>193.36391388888887</v>
      </c>
      <c r="Q119"/>
      <c r="R119"/>
      <c r="S119"/>
      <c r="T119"/>
      <c r="AA119"/>
    </row>
    <row r="120" spans="1:27" ht="12.75" customHeight="1" x14ac:dyDescent="0.25">
      <c r="A120" s="1" t="s">
        <v>49</v>
      </c>
      <c r="B120" s="1" t="s">
        <v>86</v>
      </c>
      <c r="G120" s="1" t="s">
        <v>116</v>
      </c>
      <c r="H120" s="1"/>
      <c r="I120" s="39">
        <v>1183.2299804700001</v>
      </c>
      <c r="J120" s="24">
        <v>1910.85217285</v>
      </c>
      <c r="K120" s="24">
        <v>1241.3602294899999</v>
      </c>
      <c r="L120" s="25">
        <v>16086.3213</v>
      </c>
      <c r="M120" s="25">
        <v>243320.891</v>
      </c>
      <c r="Q120"/>
      <c r="R120"/>
      <c r="S120"/>
      <c r="T120" s="46">
        <f>J120/$M120</f>
        <v>7.8532187063625365E-3</v>
      </c>
      <c r="U120" s="46">
        <f t="shared" ref="U120" si="136">K120/$M120</f>
        <v>5.1017412618713448E-3</v>
      </c>
      <c r="V120" s="46">
        <f t="shared" ref="V120" si="137">L120/$M120</f>
        <v>6.6111550199773023E-2</v>
      </c>
      <c r="AA120"/>
    </row>
    <row r="121" spans="1:27" ht="12.75" customHeight="1" x14ac:dyDescent="0.25">
      <c r="A121" s="1" t="s">
        <v>49</v>
      </c>
      <c r="B121" s="1" t="s">
        <v>86</v>
      </c>
      <c r="C121" s="1">
        <v>45</v>
      </c>
      <c r="D121" s="1">
        <v>45</v>
      </c>
      <c r="E121" s="1">
        <v>24</v>
      </c>
      <c r="F121" s="1" t="s">
        <v>67</v>
      </c>
      <c r="G121" s="1" t="s">
        <v>73</v>
      </c>
      <c r="H121" s="1">
        <v>10</v>
      </c>
      <c r="I121" s="39">
        <v>1933.25</v>
      </c>
      <c r="J121" s="24">
        <v>4407.95703125</v>
      </c>
      <c r="K121" s="24">
        <v>297.25689697000001</v>
      </c>
      <c r="L121" s="24">
        <v>856.55627441000001</v>
      </c>
      <c r="M121" s="24">
        <v>841.54376220999995</v>
      </c>
      <c r="O121" s="26">
        <f>J121/$N$119/$H121</f>
        <v>2.2796171956794939</v>
      </c>
      <c r="P121" s="26">
        <f t="shared" ref="P121:R121" si="138">K121/$N$119/$H121</f>
        <v>0.15372925122978753</v>
      </c>
      <c r="Q121" s="26">
        <f t="shared" si="138"/>
        <v>0.44297628093223018</v>
      </c>
      <c r="R121" s="26">
        <f t="shared" si="138"/>
        <v>0.43521241646648157</v>
      </c>
      <c r="S121" s="26">
        <f t="shared" ref="S121:S126" si="139">P121/(O121+P121+Q121)*100</f>
        <v>5.3446454301444497</v>
      </c>
      <c r="T121"/>
      <c r="W121" s="26">
        <f t="shared" ref="W121:W126" si="140">O121-(T$4*$R121)</f>
        <v>2.2770988037893747</v>
      </c>
      <c r="X121" s="26">
        <f t="shared" ref="X121:X126" si="141">P121-(U$4*$R121)</f>
        <v>0.15188121246259523</v>
      </c>
      <c r="Y121" s="26">
        <f t="shared" ref="Y121:Y126" si="142">Q121-(V$4*$R121)</f>
        <v>0.4166476045455621</v>
      </c>
      <c r="Z121" s="26">
        <f t="shared" ref="Z121:Z126" si="143">R121-(0.001*W121)</f>
        <v>0.43293531766269217</v>
      </c>
      <c r="AA121" s="26">
        <f t="shared" ref="AA121:AA126" si="144">X121/(W121+X121+Y121)*100</f>
        <v>5.3373537476427826</v>
      </c>
    </row>
    <row r="122" spans="1:27" ht="12.75" customHeight="1" x14ac:dyDescent="0.25">
      <c r="A122" s="1" t="s">
        <v>49</v>
      </c>
      <c r="B122" s="1" t="s">
        <v>86</v>
      </c>
      <c r="C122" s="1">
        <v>45</v>
      </c>
      <c r="D122" s="1">
        <v>45</v>
      </c>
      <c r="E122" s="1">
        <v>24</v>
      </c>
      <c r="F122" s="1" t="s">
        <v>70</v>
      </c>
      <c r="G122" s="1" t="s">
        <v>73</v>
      </c>
      <c r="H122" s="1">
        <v>10</v>
      </c>
      <c r="I122" s="39">
        <v>2684.4699707</v>
      </c>
      <c r="J122" s="24">
        <v>3918.2309570299999</v>
      </c>
      <c r="K122" s="24">
        <v>211.22009277000001</v>
      </c>
      <c r="L122" s="24">
        <v>716.48651123000002</v>
      </c>
      <c r="M122" s="24">
        <v>806.17413329999999</v>
      </c>
      <c r="O122" s="26">
        <f t="shared" ref="O122:O126" si="145">J122/$N$119/$H122</f>
        <v>2.0263506660717989</v>
      </c>
      <c r="P122" s="26">
        <f t="shared" ref="P122:P126" si="146">K122/$N$119/$H122</f>
        <v>0.109234493924948</v>
      </c>
      <c r="Q122" s="26">
        <f t="shared" ref="Q122:Q126" si="147">L122/$N$119/$H122</f>
        <v>0.37053786139315986</v>
      </c>
      <c r="R122" s="26">
        <f t="shared" ref="R122:R126" si="148">M122/$N$119/$H122</f>
        <v>0.4169206741249793</v>
      </c>
      <c r="S122" s="26">
        <f t="shared" si="139"/>
        <v>4.3587043809352206</v>
      </c>
      <c r="T122"/>
      <c r="W122" s="26">
        <f t="shared" si="140"/>
        <v>2.0239381208299507</v>
      </c>
      <c r="X122" s="26">
        <f t="shared" si="141"/>
        <v>0.10746412722704325</v>
      </c>
      <c r="Y122" s="26">
        <f t="shared" si="142"/>
        <v>0.34531576502681344</v>
      </c>
      <c r="Z122" s="26">
        <f t="shared" si="143"/>
        <v>0.41489673600414934</v>
      </c>
      <c r="AA122" s="26">
        <f t="shared" si="144"/>
        <v>4.3389730546368366</v>
      </c>
    </row>
    <row r="123" spans="1:27" ht="12.75" customHeight="1" x14ac:dyDescent="0.25">
      <c r="A123" s="1" t="s">
        <v>49</v>
      </c>
      <c r="B123" s="1" t="s">
        <v>86</v>
      </c>
      <c r="C123" s="1">
        <v>45</v>
      </c>
      <c r="D123" s="1">
        <v>45</v>
      </c>
      <c r="E123" s="1">
        <v>24</v>
      </c>
      <c r="F123" s="1" t="s">
        <v>71</v>
      </c>
      <c r="G123" s="1" t="s">
        <v>73</v>
      </c>
      <c r="H123" s="1">
        <v>10</v>
      </c>
      <c r="I123" s="39">
        <v>3424.8898925799999</v>
      </c>
      <c r="J123" s="24">
        <v>3914.8830566400002</v>
      </c>
      <c r="K123" s="24">
        <v>261.77276611000002</v>
      </c>
      <c r="L123" s="24">
        <v>438.78863525000003</v>
      </c>
      <c r="M123" s="24">
        <v>1246.4553222699999</v>
      </c>
      <c r="O123" s="26">
        <f t="shared" si="145"/>
        <v>2.024619267320777</v>
      </c>
      <c r="P123" s="26">
        <f t="shared" si="146"/>
        <v>0.13537829310820651</v>
      </c>
      <c r="Q123" s="26">
        <f t="shared" si="147"/>
        <v>0.22692374519380981</v>
      </c>
      <c r="R123" s="26">
        <f t="shared" si="148"/>
        <v>0.64461630776993917</v>
      </c>
      <c r="S123" s="26">
        <f t="shared" si="139"/>
        <v>5.6716697274141481</v>
      </c>
      <c r="T123"/>
      <c r="W123" s="26">
        <f t="shared" si="140"/>
        <v>2.0208891428567122</v>
      </c>
      <c r="X123" s="26">
        <f t="shared" si="141"/>
        <v>0.13264106438574666</v>
      </c>
      <c r="Y123" s="26">
        <f t="shared" si="142"/>
        <v>0.18792693922342987</v>
      </c>
      <c r="Z123" s="26">
        <f t="shared" si="143"/>
        <v>0.64259541862708247</v>
      </c>
      <c r="AA123" s="26">
        <f t="shared" si="144"/>
        <v>5.6648939565667611</v>
      </c>
    </row>
    <row r="124" spans="1:27" ht="12.75" customHeight="1" x14ac:dyDescent="0.25">
      <c r="A124" s="1" t="s">
        <v>49</v>
      </c>
      <c r="B124" s="1" t="s">
        <v>86</v>
      </c>
      <c r="C124" s="1">
        <v>45</v>
      </c>
      <c r="D124" s="1">
        <v>25</v>
      </c>
      <c r="E124" s="1">
        <v>24</v>
      </c>
      <c r="F124" s="1" t="s">
        <v>67</v>
      </c>
      <c r="G124" s="1" t="s">
        <v>73</v>
      </c>
      <c r="H124" s="1">
        <v>10</v>
      </c>
      <c r="I124" s="39">
        <v>4146.1098632800004</v>
      </c>
      <c r="J124" s="24">
        <v>9281.5761718800004</v>
      </c>
      <c r="K124" s="24">
        <v>403.50219727000001</v>
      </c>
      <c r="L124" s="24">
        <v>1055.17700195</v>
      </c>
      <c r="M124" s="24">
        <v>8916.0527343800004</v>
      </c>
      <c r="O124" s="26">
        <f t="shared" si="145"/>
        <v>4.8000560110783628</v>
      </c>
      <c r="P124" s="26">
        <f t="shared" si="146"/>
        <v>0.20867502583851358</v>
      </c>
      <c r="Q124" s="26">
        <f t="shared" si="147"/>
        <v>0.54569489245874891</v>
      </c>
      <c r="R124" s="26">
        <f t="shared" si="148"/>
        <v>4.61102206459441</v>
      </c>
      <c r="S124" s="26">
        <f t="shared" si="139"/>
        <v>3.7569143686820357</v>
      </c>
      <c r="T124"/>
      <c r="W124" s="26">
        <f t="shared" si="140"/>
        <v>4.7733739585144281</v>
      </c>
      <c r="X124" s="26">
        <f t="shared" si="141"/>
        <v>0.18909528222518812</v>
      </c>
      <c r="Y124" s="26">
        <f t="shared" si="142"/>
        <v>0.26674580195217701</v>
      </c>
      <c r="Z124" s="26">
        <f t="shared" si="143"/>
        <v>4.6062486906358959</v>
      </c>
      <c r="AA124" s="26">
        <f t="shared" si="144"/>
        <v>3.6161313061596587</v>
      </c>
    </row>
    <row r="125" spans="1:27" ht="12.75" customHeight="1" x14ac:dyDescent="0.25">
      <c r="A125" s="1" t="s">
        <v>49</v>
      </c>
      <c r="B125" s="1" t="s">
        <v>86</v>
      </c>
      <c r="C125" s="1">
        <v>45</v>
      </c>
      <c r="D125" s="1">
        <v>25</v>
      </c>
      <c r="E125" s="1">
        <v>24</v>
      </c>
      <c r="F125" s="1" t="s">
        <v>70</v>
      </c>
      <c r="G125" s="1" t="s">
        <v>73</v>
      </c>
      <c r="H125" s="1">
        <v>10</v>
      </c>
      <c r="I125" s="39">
        <v>4887.7299804699996</v>
      </c>
      <c r="J125" s="24">
        <v>8141.8784179699996</v>
      </c>
      <c r="K125" s="24">
        <v>428.73040771000001</v>
      </c>
      <c r="L125" s="24">
        <v>647.57611083999996</v>
      </c>
      <c r="M125" s="24">
        <v>9070.80859375</v>
      </c>
      <c r="O125" s="26">
        <f t="shared" si="145"/>
        <v>4.2106504022505984</v>
      </c>
      <c r="P125" s="26">
        <f t="shared" si="146"/>
        <v>0.221722036489372</v>
      </c>
      <c r="Q125" s="26">
        <f t="shared" si="147"/>
        <v>0.33490018784586212</v>
      </c>
      <c r="R125" s="26">
        <f t="shared" si="148"/>
        <v>4.6910555394334255</v>
      </c>
      <c r="S125" s="26">
        <f t="shared" si="139"/>
        <v>4.6509200093337686</v>
      </c>
      <c r="T125"/>
      <c r="W125" s="26">
        <f t="shared" si="140"/>
        <v>4.1835052295036297</v>
      </c>
      <c r="X125" s="26">
        <f t="shared" si="141"/>
        <v>0.20180244741534839</v>
      </c>
      <c r="Y125" s="26">
        <f t="shared" si="142"/>
        <v>5.1109380100969493E-2</v>
      </c>
      <c r="Z125" s="26">
        <f t="shared" si="143"/>
        <v>4.6868720342039216</v>
      </c>
      <c r="AA125" s="26">
        <f t="shared" si="144"/>
        <v>4.5487708847396817</v>
      </c>
    </row>
    <row r="126" spans="1:27" ht="12.75" customHeight="1" x14ac:dyDescent="0.25">
      <c r="A126" s="1" t="s">
        <v>49</v>
      </c>
      <c r="B126" s="1" t="s">
        <v>86</v>
      </c>
      <c r="C126" s="1">
        <v>45</v>
      </c>
      <c r="D126" s="1">
        <v>25</v>
      </c>
      <c r="E126" s="1">
        <v>24</v>
      </c>
      <c r="F126" s="1" t="s">
        <v>71</v>
      </c>
      <c r="G126" s="1" t="s">
        <v>73</v>
      </c>
      <c r="H126" s="1">
        <v>10</v>
      </c>
      <c r="I126" s="39">
        <v>5632.9501953099998</v>
      </c>
      <c r="J126" s="24">
        <v>6893.91015625</v>
      </c>
      <c r="K126" s="24">
        <v>286.20910644999998</v>
      </c>
      <c r="L126" s="24">
        <v>702.35540771000001</v>
      </c>
      <c r="M126" s="24">
        <v>8841.6005859399993</v>
      </c>
      <c r="O126" s="26">
        <f t="shared" si="145"/>
        <v>3.5652516633539966</v>
      </c>
      <c r="P126" s="26">
        <f t="shared" si="146"/>
        <v>0.1480157805527571</v>
      </c>
      <c r="Q126" s="26">
        <f t="shared" si="147"/>
        <v>0.36322982586791697</v>
      </c>
      <c r="R126" s="26">
        <f t="shared" si="148"/>
        <v>4.5725184229672635</v>
      </c>
      <c r="S126" s="26">
        <f t="shared" si="139"/>
        <v>3.6309549781923121</v>
      </c>
      <c r="T126"/>
      <c r="W126" s="26">
        <f t="shared" si="140"/>
        <v>3.5387924152302501</v>
      </c>
      <c r="X126" s="26">
        <f t="shared" si="141"/>
        <v>0.12859953462403992</v>
      </c>
      <c r="Y126" s="26">
        <f t="shared" si="142"/>
        <v>8.6610057507850169E-2</v>
      </c>
      <c r="Z126" s="26">
        <f t="shared" si="143"/>
        <v>4.5689796305520334</v>
      </c>
      <c r="AA126" s="26">
        <f t="shared" si="144"/>
        <v>3.4256650468443448</v>
      </c>
    </row>
    <row r="127" spans="1:27" ht="12.75" customHeight="1" x14ac:dyDescent="0.25">
      <c r="C127" s="1"/>
      <c r="D127" s="1"/>
      <c r="E127" s="1"/>
      <c r="F127" s="1"/>
      <c r="Q127"/>
      <c r="R127"/>
      <c r="S127"/>
      <c r="T127"/>
      <c r="AA127"/>
    </row>
    <row r="128" spans="1:27" ht="12.75" customHeight="1" x14ac:dyDescent="0.25">
      <c r="Q128"/>
      <c r="R128"/>
      <c r="S128"/>
      <c r="T128"/>
      <c r="AA128"/>
    </row>
    <row r="129" spans="1:27" ht="12.75" customHeight="1" x14ac:dyDescent="0.25">
      <c r="M129" s="36" t="s">
        <v>170</v>
      </c>
      <c r="N129" s="26">
        <f>AVERAGE(M130,M143,M150)/$N$3</f>
        <v>206.32126746031744</v>
      </c>
      <c r="Q129"/>
      <c r="R129"/>
      <c r="S129"/>
      <c r="T129"/>
      <c r="AA129"/>
    </row>
    <row r="130" spans="1:27" ht="12.75" customHeight="1" x14ac:dyDescent="0.25">
      <c r="A130" s="1" t="s">
        <v>64</v>
      </c>
      <c r="B130" s="1" t="s">
        <v>86</v>
      </c>
      <c r="G130" s="1" t="s">
        <v>116</v>
      </c>
      <c r="H130" s="1"/>
      <c r="I130" s="39">
        <v>640.81799316000001</v>
      </c>
      <c r="J130" s="24">
        <v>1434.3979492200001</v>
      </c>
      <c r="K130" s="24">
        <v>1034.3574218799999</v>
      </c>
      <c r="L130" s="25">
        <v>15369.3467</v>
      </c>
      <c r="M130" s="25">
        <v>243956.17199999999</v>
      </c>
      <c r="Q130"/>
      <c r="R130"/>
      <c r="S130"/>
      <c r="T130" s="46">
        <f>J130/$M130</f>
        <v>5.8797362553303228E-3</v>
      </c>
      <c r="U130" s="46">
        <f t="shared" ref="U130" si="149">K130/$M130</f>
        <v>4.2399313507837794E-3</v>
      </c>
      <c r="V130" s="46">
        <f t="shared" ref="V130" si="150">L130/$M130</f>
        <v>6.300044214499316E-2</v>
      </c>
      <c r="AA130"/>
    </row>
    <row r="131" spans="1:27" ht="12.75" customHeight="1" x14ac:dyDescent="0.25">
      <c r="A131" s="1" t="s">
        <v>64</v>
      </c>
      <c r="B131" s="1" t="s">
        <v>86</v>
      </c>
      <c r="C131" s="1">
        <v>25</v>
      </c>
      <c r="D131" s="1">
        <v>25</v>
      </c>
      <c r="E131" s="1">
        <v>24</v>
      </c>
      <c r="F131" s="1" t="s">
        <v>67</v>
      </c>
      <c r="G131" s="1" t="s">
        <v>68</v>
      </c>
      <c r="H131" s="1">
        <v>10</v>
      </c>
      <c r="I131" s="39">
        <v>1378.8399658200001</v>
      </c>
      <c r="J131" s="24">
        <v>6281.58203125</v>
      </c>
      <c r="K131" s="24">
        <v>405.39590454</v>
      </c>
      <c r="L131" s="24">
        <v>493.24822998000002</v>
      </c>
      <c r="M131" s="24">
        <v>934.78247069999998</v>
      </c>
      <c r="O131" s="26">
        <f t="shared" ref="O131:O142" si="151">J131/$N$129/$H131</f>
        <v>3.0445635142572787</v>
      </c>
      <c r="P131" s="26">
        <f t="shared" ref="P131:R131" si="152">K131/$N$129/$H131</f>
        <v>0.19648769587845388</v>
      </c>
      <c r="Q131" s="26">
        <f t="shared" si="152"/>
        <v>0.23906804957703565</v>
      </c>
      <c r="R131" s="26">
        <f t="shared" si="152"/>
        <v>0.45307131068288448</v>
      </c>
      <c r="S131" s="26">
        <f t="shared" ref="S131:S142" si="153">P131/(O131+P131+Q131)*100</f>
        <v>5.6460046686638847</v>
      </c>
      <c r="T131"/>
      <c r="W131" s="26">
        <f t="shared" ref="W131:W142" si="154">O131-(T$4*$R131)</f>
        <v>3.0419417804296147</v>
      </c>
      <c r="X131" s="26">
        <f t="shared" ref="X131:X142" si="155">P131-(U$4*$R131)</f>
        <v>0.19456382304127098</v>
      </c>
      <c r="Y131" s="26">
        <f t="shared" ref="Y131:Y142" si="156">Q131-(V$4*$R131)</f>
        <v>0.21165897881590323</v>
      </c>
      <c r="Z131" s="26">
        <f t="shared" ref="Z131:Z142" si="157">R131-(0.001*W131)</f>
        <v>0.45002936890245487</v>
      </c>
      <c r="AA131" s="26">
        <f t="shared" ref="AA131:AA142" si="158">X131/(W131+X131+Y131)*100</f>
        <v>5.6425329591500573</v>
      </c>
    </row>
    <row r="132" spans="1:27" ht="12.75" customHeight="1" x14ac:dyDescent="0.25">
      <c r="A132" s="1" t="s">
        <v>64</v>
      </c>
      <c r="B132" s="1" t="s">
        <v>86</v>
      </c>
      <c r="C132" s="1">
        <v>25</v>
      </c>
      <c r="D132" s="1">
        <v>25</v>
      </c>
      <c r="E132" s="1">
        <v>24</v>
      </c>
      <c r="F132" s="1" t="s">
        <v>70</v>
      </c>
      <c r="G132" s="1" t="s">
        <v>68</v>
      </c>
      <c r="H132" s="1">
        <v>10</v>
      </c>
      <c r="I132" s="39">
        <v>2116.8601074200001</v>
      </c>
      <c r="J132" s="25">
        <v>82619.296900000001</v>
      </c>
      <c r="K132" s="24">
        <v>5529.89453125</v>
      </c>
      <c r="L132" s="24">
        <v>4931.9575195300004</v>
      </c>
      <c r="M132" s="25">
        <v>10923.9424</v>
      </c>
      <c r="O132" s="26">
        <f t="shared" si="151"/>
        <v>40.044004147992396</v>
      </c>
      <c r="P132" s="26">
        <f t="shared" ref="P132:P142" si="159">K132/$N$129/$H132</f>
        <v>2.6802348586354947</v>
      </c>
      <c r="Q132" s="26">
        <f t="shared" ref="Q132:Q142" si="160">L132/$N$129/$H132</f>
        <v>2.3904261447398207</v>
      </c>
      <c r="R132" s="26">
        <f t="shared" ref="R132:R142" si="161">M132/$N$129/$H132</f>
        <v>5.2946274198810084</v>
      </c>
      <c r="S132" s="26">
        <f t="shared" si="153"/>
        <v>5.9409392702856838</v>
      </c>
      <c r="T132"/>
      <c r="W132" s="26">
        <f t="shared" si="154"/>
        <v>40.013366357683722</v>
      </c>
      <c r="X132" s="26">
        <f t="shared" si="155"/>
        <v>2.6577523274402179</v>
      </c>
      <c r="Y132" s="26">
        <f t="shared" si="156"/>
        <v>2.0701215609280155</v>
      </c>
      <c r="Z132" s="26">
        <f t="shared" si="157"/>
        <v>5.2546140535233246</v>
      </c>
      <c r="AA132" s="26">
        <f t="shared" si="158"/>
        <v>5.9402741471270293</v>
      </c>
    </row>
    <row r="133" spans="1:27" ht="12.75" customHeight="1" x14ac:dyDescent="0.25">
      <c r="A133" s="1" t="s">
        <v>64</v>
      </c>
      <c r="B133" s="1" t="s">
        <v>86</v>
      </c>
      <c r="C133" s="1">
        <v>25</v>
      </c>
      <c r="D133" s="1">
        <v>25</v>
      </c>
      <c r="E133" s="1">
        <v>24</v>
      </c>
      <c r="F133" s="1" t="s">
        <v>71</v>
      </c>
      <c r="G133" s="1" t="s">
        <v>68</v>
      </c>
      <c r="H133" s="1">
        <v>10</v>
      </c>
      <c r="I133" s="39">
        <v>2853.6799316400002</v>
      </c>
      <c r="J133" s="25">
        <v>103598.773</v>
      </c>
      <c r="K133" s="24">
        <v>6899.4907226599998</v>
      </c>
      <c r="L133" s="24">
        <v>5450.7416992199996</v>
      </c>
      <c r="M133" s="25">
        <v>10464.804700000001</v>
      </c>
      <c r="O133" s="26">
        <f t="shared" si="151"/>
        <v>50.212357783196317</v>
      </c>
      <c r="P133" s="26">
        <f t="shared" si="159"/>
        <v>3.3440521220077351</v>
      </c>
      <c r="Q133" s="26">
        <f t="shared" si="160"/>
        <v>2.6418709841768306</v>
      </c>
      <c r="R133" s="26">
        <f t="shared" si="161"/>
        <v>5.0720920963771885</v>
      </c>
      <c r="S133" s="26">
        <f t="shared" si="153"/>
        <v>5.9504526990604454</v>
      </c>
      <c r="T133"/>
      <c r="W133" s="26">
        <f t="shared" si="154"/>
        <v>50.183007711557359</v>
      </c>
      <c r="X133" s="26">
        <f t="shared" si="155"/>
        <v>3.3225145406561318</v>
      </c>
      <c r="Y133" s="26">
        <f t="shared" si="156"/>
        <v>2.3350289310637233</v>
      </c>
      <c r="Z133" s="26">
        <f t="shared" si="157"/>
        <v>5.0219090886656312</v>
      </c>
      <c r="AA133" s="26">
        <f t="shared" si="158"/>
        <v>5.9500031254188945</v>
      </c>
    </row>
    <row r="134" spans="1:27" ht="12.75" customHeight="1" x14ac:dyDescent="0.25">
      <c r="A134" s="1" t="s">
        <v>64</v>
      </c>
      <c r="B134" s="1" t="s">
        <v>86</v>
      </c>
      <c r="C134" s="1">
        <v>25</v>
      </c>
      <c r="D134" s="1">
        <v>45</v>
      </c>
      <c r="E134" s="1">
        <v>24</v>
      </c>
      <c r="F134" s="1" t="s">
        <v>67</v>
      </c>
      <c r="G134" s="1" t="s">
        <v>68</v>
      </c>
      <c r="H134" s="1">
        <v>10</v>
      </c>
      <c r="I134" s="39">
        <v>3594.1000976599998</v>
      </c>
      <c r="J134" s="24">
        <v>7444.0449218800004</v>
      </c>
      <c r="K134" s="24">
        <v>565.70190430000002</v>
      </c>
      <c r="L134" s="24">
        <v>590.36468506000006</v>
      </c>
      <c r="M134" s="24">
        <v>795.85339354999996</v>
      </c>
      <c r="O134" s="26">
        <f t="shared" si="151"/>
        <v>3.6079872005011517</v>
      </c>
      <c r="P134" s="26">
        <f t="shared" si="159"/>
        <v>0.27418496952031551</v>
      </c>
      <c r="Q134" s="26">
        <f t="shared" si="160"/>
        <v>0.2861385509729612</v>
      </c>
      <c r="R134" s="26">
        <f t="shared" si="161"/>
        <v>0.3857350254515422</v>
      </c>
      <c r="S134" s="26">
        <f t="shared" si="153"/>
        <v>6.5778438286602485</v>
      </c>
      <c r="T134"/>
      <c r="W134" s="26">
        <f t="shared" si="154"/>
        <v>3.6057551135406758</v>
      </c>
      <c r="X134" s="26">
        <f t="shared" si="155"/>
        <v>0.27254702617603765</v>
      </c>
      <c r="Y134" s="26">
        <f t="shared" si="156"/>
        <v>0.26280306634094358</v>
      </c>
      <c r="Z134" s="26">
        <f t="shared" si="157"/>
        <v>0.38212927033800154</v>
      </c>
      <c r="AA134" s="26">
        <f t="shared" si="158"/>
        <v>6.5815045166530108</v>
      </c>
    </row>
    <row r="135" spans="1:27" ht="12.75" customHeight="1" x14ac:dyDescent="0.25">
      <c r="A135" s="1" t="s">
        <v>64</v>
      </c>
      <c r="B135" s="1" t="s">
        <v>86</v>
      </c>
      <c r="C135" s="1">
        <v>25</v>
      </c>
      <c r="D135" s="1">
        <v>45</v>
      </c>
      <c r="E135" s="1">
        <v>24</v>
      </c>
      <c r="F135" s="1" t="s">
        <v>70</v>
      </c>
      <c r="G135" s="1" t="s">
        <v>68</v>
      </c>
      <c r="H135" s="1">
        <v>10</v>
      </c>
      <c r="I135" s="39">
        <v>4326.1201171900002</v>
      </c>
      <c r="J135" s="25">
        <v>44784.664100000002</v>
      </c>
      <c r="K135" s="24">
        <v>4206.6665039099998</v>
      </c>
      <c r="L135" s="24">
        <v>2674.7927246099998</v>
      </c>
      <c r="M135" s="24">
        <v>7857.6386718800004</v>
      </c>
      <c r="O135" s="26">
        <f t="shared" si="151"/>
        <v>21.706276163999238</v>
      </c>
      <c r="P135" s="26">
        <f t="shared" si="159"/>
        <v>2.0388913637897672</v>
      </c>
      <c r="Q135" s="26">
        <f t="shared" si="160"/>
        <v>1.2964212354523525</v>
      </c>
      <c r="R135" s="26">
        <f t="shared" si="161"/>
        <v>3.8084482363851757</v>
      </c>
      <c r="S135" s="26">
        <f t="shared" si="153"/>
        <v>8.1420207921578189</v>
      </c>
      <c r="W135" s="26">
        <f t="shared" si="154"/>
        <v>21.684238269882332</v>
      </c>
      <c r="X135" s="26">
        <f t="shared" si="155"/>
        <v>2.0227195825689366</v>
      </c>
      <c r="Y135" s="26">
        <f t="shared" si="156"/>
        <v>1.066024773041486</v>
      </c>
      <c r="Z135" s="26">
        <f t="shared" si="157"/>
        <v>3.7867639981152932</v>
      </c>
      <c r="AA135" s="26">
        <f t="shared" si="158"/>
        <v>8.1650224082725007</v>
      </c>
    </row>
    <row r="136" spans="1:27" ht="12.75" customHeight="1" x14ac:dyDescent="0.25">
      <c r="A136" s="1" t="s">
        <v>64</v>
      </c>
      <c r="B136" s="1" t="s">
        <v>86</v>
      </c>
      <c r="C136" s="1">
        <v>25</v>
      </c>
      <c r="D136" s="1">
        <v>45</v>
      </c>
      <c r="E136" s="1">
        <v>24</v>
      </c>
      <c r="F136" s="1" t="s">
        <v>71</v>
      </c>
      <c r="G136" s="1" t="s">
        <v>68</v>
      </c>
      <c r="H136" s="1">
        <v>10</v>
      </c>
      <c r="I136" s="39">
        <v>5061.7402343800004</v>
      </c>
      <c r="J136" s="25">
        <v>90958.820300000007</v>
      </c>
      <c r="K136" s="24">
        <v>9644.6455078100007</v>
      </c>
      <c r="L136" s="24">
        <v>5514.5615234400002</v>
      </c>
      <c r="M136" s="25">
        <v>13579.493200000001</v>
      </c>
      <c r="O136" s="26">
        <f t="shared" si="151"/>
        <v>44.086012760412331</v>
      </c>
      <c r="P136" s="26">
        <f t="shared" si="159"/>
        <v>4.6745765119269596</v>
      </c>
      <c r="Q136" s="26">
        <f t="shared" si="160"/>
        <v>2.6728032409458886</v>
      </c>
      <c r="R136" s="26">
        <f t="shared" si="161"/>
        <v>6.5817224599067554</v>
      </c>
      <c r="S136" s="26">
        <f t="shared" si="153"/>
        <v>9.0886023330456425</v>
      </c>
      <c r="W136" s="26">
        <f t="shared" si="154"/>
        <v>44.047927090429333</v>
      </c>
      <c r="X136" s="26">
        <f t="shared" si="155"/>
        <v>4.6466286000554131</v>
      </c>
      <c r="Y136" s="26">
        <f t="shared" si="156"/>
        <v>2.2746343602859866</v>
      </c>
      <c r="Z136" s="26">
        <f t="shared" si="157"/>
        <v>6.5376745328163262</v>
      </c>
      <c r="AA136" s="26">
        <f t="shared" si="158"/>
        <v>9.1165439266876263</v>
      </c>
    </row>
    <row r="137" spans="1:27" ht="12.75" customHeight="1" x14ac:dyDescent="0.25">
      <c r="A137" s="1" t="s">
        <v>64</v>
      </c>
      <c r="B137" s="1" t="s">
        <v>86</v>
      </c>
      <c r="C137" s="1">
        <v>25</v>
      </c>
      <c r="D137" s="1">
        <v>25</v>
      </c>
      <c r="E137" s="1">
        <v>24</v>
      </c>
      <c r="F137" s="1" t="s">
        <v>67</v>
      </c>
      <c r="G137" s="1" t="s">
        <v>75</v>
      </c>
      <c r="H137" s="1">
        <v>10</v>
      </c>
      <c r="I137" s="39">
        <v>5805.7597656199996</v>
      </c>
      <c r="J137" s="25">
        <v>844837.625</v>
      </c>
      <c r="K137" s="25">
        <v>55745.285199999998</v>
      </c>
      <c r="L137" s="25">
        <v>47037.441400000003</v>
      </c>
      <c r="M137" s="25">
        <v>131367.109</v>
      </c>
      <c r="O137" s="26">
        <f t="shared" si="151"/>
        <v>409.4767521542542</v>
      </c>
      <c r="P137" s="26">
        <f t="shared" si="159"/>
        <v>27.018681053188907</v>
      </c>
      <c r="Q137" s="26">
        <f t="shared" si="160"/>
        <v>22.79815453782383</v>
      </c>
      <c r="R137" s="26">
        <f t="shared" si="161"/>
        <v>63.671142881703325</v>
      </c>
      <c r="S137" s="26">
        <f t="shared" si="153"/>
        <v>5.8826601925420272</v>
      </c>
      <c r="W137" s="26">
        <f t="shared" si="154"/>
        <v>409.10831393006521</v>
      </c>
      <c r="X137" s="26">
        <f t="shared" si="155"/>
        <v>26.748314822941683</v>
      </c>
      <c r="Y137" s="26">
        <f t="shared" si="156"/>
        <v>18.946295416449747</v>
      </c>
      <c r="Z137" s="26">
        <f t="shared" si="157"/>
        <v>63.262034567773263</v>
      </c>
      <c r="AA137" s="26">
        <f t="shared" si="158"/>
        <v>5.8812978988181337</v>
      </c>
    </row>
    <row r="138" spans="1:27" ht="12.75" customHeight="1" x14ac:dyDescent="0.25">
      <c r="A138" s="1" t="s">
        <v>64</v>
      </c>
      <c r="B138" s="1" t="s">
        <v>86</v>
      </c>
      <c r="C138" s="1">
        <v>25</v>
      </c>
      <c r="D138" s="1">
        <v>25</v>
      </c>
      <c r="E138" s="1">
        <v>24</v>
      </c>
      <c r="F138" s="1" t="s">
        <v>70</v>
      </c>
      <c r="G138" s="1" t="s">
        <v>75</v>
      </c>
      <c r="H138" s="1">
        <v>10</v>
      </c>
      <c r="I138" s="39">
        <v>6723.7797851599998</v>
      </c>
      <c r="J138" s="25">
        <v>1075101.3799999999</v>
      </c>
      <c r="K138" s="25">
        <v>70462.656199999998</v>
      </c>
      <c r="L138" s="25">
        <v>59676.531199999998</v>
      </c>
      <c r="M138" s="25">
        <v>195469.18799999999</v>
      </c>
      <c r="O138" s="26">
        <f t="shared" si="151"/>
        <v>521.08122116241759</v>
      </c>
      <c r="P138" s="26">
        <f t="shared" si="159"/>
        <v>34.151911272817451</v>
      </c>
      <c r="Q138" s="26">
        <f t="shared" si="160"/>
        <v>28.924081329365531</v>
      </c>
      <c r="R138" s="26">
        <f t="shared" si="161"/>
        <v>94.740203182202407</v>
      </c>
      <c r="S138" s="26">
        <f t="shared" si="153"/>
        <v>5.8463561637329606</v>
      </c>
      <c r="W138" s="26">
        <f t="shared" si="154"/>
        <v>520.53299930491755</v>
      </c>
      <c r="X138" s="26">
        <f t="shared" si="155"/>
        <v>33.74961675715565</v>
      </c>
      <c r="Y138" s="26">
        <f t="shared" si="156"/>
        <v>23.192663621563305</v>
      </c>
      <c r="Z138" s="26">
        <f t="shared" si="157"/>
        <v>94.219670182897488</v>
      </c>
      <c r="AA138" s="26">
        <f t="shared" si="158"/>
        <v>5.8443396530575313</v>
      </c>
    </row>
    <row r="139" spans="1:27" ht="12.75" customHeight="1" x14ac:dyDescent="0.25">
      <c r="A139" s="1" t="s">
        <v>64</v>
      </c>
      <c r="B139" s="1" t="s">
        <v>86</v>
      </c>
      <c r="C139" s="1">
        <v>25</v>
      </c>
      <c r="D139" s="1">
        <v>25</v>
      </c>
      <c r="E139" s="1">
        <v>24</v>
      </c>
      <c r="F139" s="1" t="s">
        <v>71</v>
      </c>
      <c r="G139" s="1" t="s">
        <v>75</v>
      </c>
      <c r="H139" s="1">
        <v>10</v>
      </c>
      <c r="I139" s="39">
        <v>7641.8100585900002</v>
      </c>
      <c r="J139" s="25">
        <v>1130414.8799999999</v>
      </c>
      <c r="K139" s="25">
        <v>77169.601599999995</v>
      </c>
      <c r="L139" s="25">
        <v>63133.824200000003</v>
      </c>
      <c r="M139" s="25">
        <v>193095.15599999999</v>
      </c>
      <c r="O139" s="26">
        <f t="shared" si="151"/>
        <v>547.89062412938927</v>
      </c>
      <c r="P139" s="26">
        <f t="shared" si="159"/>
        <v>37.402640333644868</v>
      </c>
      <c r="Q139" s="26">
        <f t="shared" si="160"/>
        <v>30.599765587492222</v>
      </c>
      <c r="R139" s="26">
        <f t="shared" si="161"/>
        <v>93.589554958089195</v>
      </c>
      <c r="S139" s="26">
        <f t="shared" si="153"/>
        <v>6.0729117734254023</v>
      </c>
      <c r="W139" s="26">
        <f t="shared" si="154"/>
        <v>547.34906059101422</v>
      </c>
      <c r="X139" s="26">
        <f t="shared" si="155"/>
        <v>37.005231805710224</v>
      </c>
      <c r="Y139" s="26">
        <f t="shared" si="156"/>
        <v>24.937957669257898</v>
      </c>
      <c r="Z139" s="26">
        <f t="shared" si="157"/>
        <v>93.042205897498178</v>
      </c>
      <c r="AA139" s="26">
        <f t="shared" si="158"/>
        <v>6.0734781710587651</v>
      </c>
    </row>
    <row r="140" spans="1:27" ht="12.75" customHeight="1" x14ac:dyDescent="0.25">
      <c r="A140" s="1" t="s">
        <v>64</v>
      </c>
      <c r="B140" s="1" t="s">
        <v>86</v>
      </c>
      <c r="C140" s="1">
        <v>25</v>
      </c>
      <c r="D140" s="1">
        <v>45</v>
      </c>
      <c r="E140" s="1">
        <v>24</v>
      </c>
      <c r="F140" s="1" t="s">
        <v>67</v>
      </c>
      <c r="G140" s="1" t="s">
        <v>75</v>
      </c>
      <c r="H140" s="1">
        <v>10</v>
      </c>
      <c r="I140" s="39">
        <v>8550.23046875</v>
      </c>
      <c r="J140" s="25">
        <v>347353.96899999998</v>
      </c>
      <c r="K140" s="25">
        <v>28669.333999999999</v>
      </c>
      <c r="L140" s="25">
        <v>18722.287100000001</v>
      </c>
      <c r="M140" s="25">
        <v>46483.984400000001</v>
      </c>
      <c r="O140" s="26">
        <f t="shared" si="151"/>
        <v>168.35587202216462</v>
      </c>
      <c r="P140" s="26">
        <f t="shared" si="159"/>
        <v>13.895481717857361</v>
      </c>
      <c r="Q140" s="26">
        <f t="shared" si="160"/>
        <v>9.074336994173871</v>
      </c>
      <c r="R140" s="26">
        <f t="shared" si="161"/>
        <v>22.529904440869355</v>
      </c>
      <c r="S140" s="26">
        <f t="shared" si="153"/>
        <v>7.2627369928913605</v>
      </c>
      <c r="W140" s="26">
        <f t="shared" si="154"/>
        <v>168.22550090571139</v>
      </c>
      <c r="X140" s="26">
        <f t="shared" si="155"/>
        <v>13.799813177042486</v>
      </c>
      <c r="Y140" s="26">
        <f t="shared" si="156"/>
        <v>7.7113644763806191</v>
      </c>
      <c r="Z140" s="26">
        <f t="shared" si="157"/>
        <v>22.361678939963642</v>
      </c>
      <c r="AA140" s="26">
        <f t="shared" si="158"/>
        <v>7.2731394276734695</v>
      </c>
    </row>
    <row r="141" spans="1:27" ht="12.75" customHeight="1" x14ac:dyDescent="0.25">
      <c r="A141" s="1" t="s">
        <v>64</v>
      </c>
      <c r="B141" s="1" t="s">
        <v>86</v>
      </c>
      <c r="C141" s="1">
        <v>25</v>
      </c>
      <c r="D141" s="1">
        <v>45</v>
      </c>
      <c r="E141" s="1">
        <v>24</v>
      </c>
      <c r="F141" s="1" t="s">
        <v>70</v>
      </c>
      <c r="G141" s="1" t="s">
        <v>75</v>
      </c>
      <c r="H141" s="1">
        <v>10</v>
      </c>
      <c r="I141" s="39">
        <v>9477.8603515600007</v>
      </c>
      <c r="J141" s="25">
        <v>267381.34399999998</v>
      </c>
      <c r="K141" s="25">
        <v>20458.581999999999</v>
      </c>
      <c r="L141" s="25">
        <v>13916.2559</v>
      </c>
      <c r="M141" s="25">
        <v>35887.75</v>
      </c>
      <c r="O141" s="26">
        <f t="shared" si="151"/>
        <v>129.59465947999107</v>
      </c>
      <c r="P141" s="26">
        <f t="shared" si="159"/>
        <v>9.9158861574630812</v>
      </c>
      <c r="Q141" s="26">
        <f t="shared" si="160"/>
        <v>6.7449449449880721</v>
      </c>
      <c r="R141" s="26">
        <f t="shared" si="161"/>
        <v>17.394110864941457</v>
      </c>
      <c r="S141" s="26">
        <f t="shared" si="153"/>
        <v>6.7798385674099739</v>
      </c>
      <c r="W141" s="26">
        <f t="shared" si="154"/>
        <v>129.49400704894657</v>
      </c>
      <c r="X141" s="26">
        <f t="shared" si="155"/>
        <v>9.8420256930483934</v>
      </c>
      <c r="Y141" s="26">
        <f t="shared" si="156"/>
        <v>5.6926681746810335</v>
      </c>
      <c r="Z141" s="26">
        <f t="shared" si="157"/>
        <v>17.264616857892509</v>
      </c>
      <c r="AA141" s="26">
        <f t="shared" si="158"/>
        <v>6.7862606717431593</v>
      </c>
    </row>
    <row r="142" spans="1:27" ht="12.75" customHeight="1" x14ac:dyDescent="0.25">
      <c r="A142" s="1" t="s">
        <v>64</v>
      </c>
      <c r="B142" s="1" t="s">
        <v>86</v>
      </c>
      <c r="C142" s="1">
        <v>25</v>
      </c>
      <c r="D142" s="1">
        <v>45</v>
      </c>
      <c r="E142" s="1">
        <v>24</v>
      </c>
      <c r="F142" s="1" t="s">
        <v>71</v>
      </c>
      <c r="G142" s="1" t="s">
        <v>75</v>
      </c>
      <c r="H142" s="1">
        <v>10</v>
      </c>
      <c r="I142" s="40">
        <v>10392.299800000001</v>
      </c>
      <c r="J142" s="25">
        <v>539116.5</v>
      </c>
      <c r="K142" s="25">
        <v>56386.527300000002</v>
      </c>
      <c r="L142" s="25">
        <v>34736.984400000001</v>
      </c>
      <c r="M142" s="25">
        <v>164000.234</v>
      </c>
      <c r="O142" s="26">
        <f t="shared" si="151"/>
        <v>261.29952895122182</v>
      </c>
      <c r="P142" s="26">
        <f t="shared" si="159"/>
        <v>27.329478920947906</v>
      </c>
      <c r="Q142" s="26">
        <f t="shared" si="160"/>
        <v>16.83635663331755</v>
      </c>
      <c r="R142" s="26">
        <f t="shared" si="161"/>
        <v>79.487798819160886</v>
      </c>
      <c r="S142" s="26">
        <f t="shared" si="153"/>
        <v>8.9468339447227141</v>
      </c>
      <c r="W142" s="26">
        <f t="shared" si="154"/>
        <v>260.83956636666392</v>
      </c>
      <c r="X142" s="26">
        <f t="shared" si="155"/>
        <v>26.991950559672613</v>
      </c>
      <c r="Y142" s="26">
        <f t="shared" si="156"/>
        <v>12.027650694296057</v>
      </c>
      <c r="Z142" s="26">
        <f t="shared" si="157"/>
        <v>79.226959252794217</v>
      </c>
      <c r="AA142" s="26">
        <f t="shared" si="158"/>
        <v>9.0015425487412593</v>
      </c>
    </row>
    <row r="143" spans="1:27" ht="12.75" customHeight="1" x14ac:dyDescent="0.25">
      <c r="A143" s="1" t="s">
        <v>64</v>
      </c>
      <c r="B143" s="1" t="s">
        <v>86</v>
      </c>
      <c r="C143" s="1"/>
      <c r="D143" s="1"/>
      <c r="E143" s="1"/>
      <c r="F143" s="1"/>
      <c r="G143" s="1" t="s">
        <v>116</v>
      </c>
      <c r="H143" s="1"/>
      <c r="I143" s="40">
        <v>11975.0996</v>
      </c>
      <c r="J143" s="24">
        <v>1523.7514648399999</v>
      </c>
      <c r="K143" s="24">
        <v>1191.9283447299999</v>
      </c>
      <c r="L143" s="25">
        <v>17417.5723</v>
      </c>
      <c r="M143" s="25">
        <v>264088.59399999998</v>
      </c>
      <c r="O143" s="26"/>
      <c r="P143" s="26"/>
      <c r="T143" s="46">
        <f>J143/$M143</f>
        <v>5.769849586309661E-3</v>
      </c>
      <c r="U143" s="46">
        <f t="shared" ref="U143" si="162">K143/$M143</f>
        <v>4.513365483440758E-3</v>
      </c>
      <c r="V143" s="46">
        <f t="shared" ref="V143" si="163">L143/$M143</f>
        <v>6.5953519749512551E-2</v>
      </c>
    </row>
    <row r="144" spans="1:27" ht="12.75" customHeight="1" x14ac:dyDescent="0.25">
      <c r="A144" s="1" t="s">
        <v>64</v>
      </c>
      <c r="B144" s="1" t="s">
        <v>86</v>
      </c>
      <c r="C144" s="1">
        <v>25</v>
      </c>
      <c r="D144" s="1">
        <v>25</v>
      </c>
      <c r="E144" s="1">
        <v>24</v>
      </c>
      <c r="F144" s="1" t="s">
        <v>67</v>
      </c>
      <c r="G144" s="1" t="s">
        <v>79</v>
      </c>
      <c r="H144" s="1">
        <v>10</v>
      </c>
      <c r="I144" s="40">
        <v>12714.299800000001</v>
      </c>
      <c r="J144" s="25">
        <v>1329386</v>
      </c>
      <c r="K144" s="25">
        <v>86246.609400000001</v>
      </c>
      <c r="L144" s="25">
        <v>75973.343800000002</v>
      </c>
      <c r="M144" s="25">
        <v>181384.18799999999</v>
      </c>
      <c r="O144" s="26">
        <f t="shared" ref="O144:R149" si="164">J144/$N$129/$H144</f>
        <v>644.32814724525963</v>
      </c>
      <c r="P144" s="26">
        <f t="shared" si="164"/>
        <v>41.80209362885391</v>
      </c>
      <c r="Q144" s="26">
        <f t="shared" si="164"/>
        <v>36.822836896643359</v>
      </c>
      <c r="R144" s="26">
        <f t="shared" si="164"/>
        <v>87.913471176637813</v>
      </c>
      <c r="S144" s="26">
        <f t="shared" ref="S144:S149" si="165">P144/(O144+P144+Q144)*100</f>
        <v>5.7821309451716658</v>
      </c>
      <c r="W144" s="26">
        <f t="shared" ref="W144:W149" si="166">O144-(T$4*$R144)</f>
        <v>643.81942882531871</v>
      </c>
      <c r="X144" s="26">
        <f t="shared" ref="X144:X149" si="167">P144-(U$4*$R144)</f>
        <v>41.428787407004926</v>
      </c>
      <c r="Y144" s="26">
        <f t="shared" ref="Y144:Y149" si="168">Q144-(V$4*$R144)</f>
        <v>31.504410204153452</v>
      </c>
      <c r="Z144" s="26">
        <f t="shared" ref="Z144:Z149" si="169">R144-(0.001*W144)</f>
        <v>87.269651747812489</v>
      </c>
      <c r="AA144" s="26">
        <f t="shared" ref="AA144:AA149" si="170">X144/(W144+X144+Y144)*100</f>
        <v>5.7800677498705459</v>
      </c>
    </row>
    <row r="145" spans="1:27" ht="12.75" customHeight="1" x14ac:dyDescent="0.25">
      <c r="A145" s="1" t="s">
        <v>64</v>
      </c>
      <c r="B145" s="1" t="s">
        <v>86</v>
      </c>
      <c r="C145" s="1">
        <v>25</v>
      </c>
      <c r="D145" s="1">
        <v>25</v>
      </c>
      <c r="E145" s="1">
        <v>24</v>
      </c>
      <c r="F145" s="1" t="s">
        <v>70</v>
      </c>
      <c r="G145" s="1" t="s">
        <v>79</v>
      </c>
      <c r="H145" s="1">
        <v>10</v>
      </c>
      <c r="I145" s="40">
        <v>13632.4004</v>
      </c>
      <c r="J145" s="25">
        <v>1071263.3799999999</v>
      </c>
      <c r="K145" s="25">
        <v>69184.421900000001</v>
      </c>
      <c r="L145" s="25">
        <v>62316.738299999997</v>
      </c>
      <c r="M145" s="25">
        <v>173130.21900000001</v>
      </c>
      <c r="O145" s="26">
        <f t="shared" si="164"/>
        <v>519.22101545156511</v>
      </c>
      <c r="P145" s="26">
        <f t="shared" si="164"/>
        <v>33.532375383117746</v>
      </c>
      <c r="Q145" s="26">
        <f t="shared" si="164"/>
        <v>30.203739569400238</v>
      </c>
      <c r="R145" s="26">
        <f t="shared" si="164"/>
        <v>83.912929157096613</v>
      </c>
      <c r="S145" s="26">
        <f t="shared" si="165"/>
        <v>5.7521168597550929</v>
      </c>
      <c r="W145" s="26">
        <f t="shared" si="166"/>
        <v>518.73544649197254</v>
      </c>
      <c r="X145" s="26">
        <f t="shared" si="167"/>
        <v>33.176056628680463</v>
      </c>
      <c r="Y145" s="26">
        <f t="shared" si="168"/>
        <v>25.127330273975744</v>
      </c>
      <c r="Z145" s="26">
        <f t="shared" si="169"/>
        <v>83.39419371060464</v>
      </c>
      <c r="AA145" s="26">
        <f t="shared" si="170"/>
        <v>5.7493629039679934</v>
      </c>
    </row>
    <row r="146" spans="1:27" ht="12.75" customHeight="1" x14ac:dyDescent="0.25">
      <c r="A146" s="1" t="s">
        <v>64</v>
      </c>
      <c r="B146" s="1" t="s">
        <v>86</v>
      </c>
      <c r="C146" s="1">
        <v>25</v>
      </c>
      <c r="D146" s="1">
        <v>25</v>
      </c>
      <c r="E146" s="1">
        <v>24</v>
      </c>
      <c r="F146" s="1" t="s">
        <v>71</v>
      </c>
      <c r="G146" s="1" t="s">
        <v>79</v>
      </c>
      <c r="H146" s="1">
        <v>10</v>
      </c>
      <c r="I146" s="40">
        <v>14549.200199999999</v>
      </c>
      <c r="J146" s="25">
        <v>1127024.25</v>
      </c>
      <c r="K146" s="25">
        <v>76078.523400000005</v>
      </c>
      <c r="L146" s="25">
        <v>65336.160199999998</v>
      </c>
      <c r="M146" s="25">
        <v>175875.016</v>
      </c>
      <c r="O146" s="26">
        <f t="shared" si="164"/>
        <v>546.2472501613363</v>
      </c>
      <c r="P146" s="26">
        <f t="shared" si="164"/>
        <v>36.873815451251275</v>
      </c>
      <c r="Q146" s="26">
        <f t="shared" si="164"/>
        <v>31.667196021159743</v>
      </c>
      <c r="R146" s="26">
        <f t="shared" si="164"/>
        <v>85.243280135348499</v>
      </c>
      <c r="S146" s="26">
        <f t="shared" si="165"/>
        <v>5.9978073350428422</v>
      </c>
      <c r="W146" s="26">
        <f t="shared" si="166"/>
        <v>545.75398301808013</v>
      </c>
      <c r="X146" s="26">
        <f t="shared" si="167"/>
        <v>36.511847638816654</v>
      </c>
      <c r="Y146" s="26">
        <f t="shared" si="168"/>
        <v>26.510305611084473</v>
      </c>
      <c r="Z146" s="26">
        <f t="shared" si="169"/>
        <v>84.697526152330425</v>
      </c>
      <c r="AA146" s="26">
        <f t="shared" si="170"/>
        <v>5.9975819457456945</v>
      </c>
    </row>
    <row r="147" spans="1:27" ht="12.75" customHeight="1" x14ac:dyDescent="0.25">
      <c r="A147" s="1" t="s">
        <v>64</v>
      </c>
      <c r="B147" s="1" t="s">
        <v>86</v>
      </c>
      <c r="C147" s="1">
        <v>25</v>
      </c>
      <c r="D147" s="1">
        <v>45</v>
      </c>
      <c r="E147" s="1">
        <v>24</v>
      </c>
      <c r="F147" s="1" t="s">
        <v>67</v>
      </c>
      <c r="G147" s="1" t="s">
        <v>79</v>
      </c>
      <c r="H147" s="1">
        <v>10</v>
      </c>
      <c r="I147" s="40">
        <v>15464.799800000001</v>
      </c>
      <c r="J147" s="25">
        <v>742167.56200000003</v>
      </c>
      <c r="K147" s="25">
        <v>71569.804699999993</v>
      </c>
      <c r="L147" s="25">
        <v>48181.273399999998</v>
      </c>
      <c r="M147" s="25">
        <v>192845.45300000001</v>
      </c>
      <c r="O147" s="26">
        <f t="shared" si="164"/>
        <v>359.71452247051747</v>
      </c>
      <c r="P147" s="26">
        <f t="shared" si="164"/>
        <v>34.688525124422902</v>
      </c>
      <c r="Q147" s="26">
        <f t="shared" si="164"/>
        <v>23.352548185206786</v>
      </c>
      <c r="R147" s="26">
        <f t="shared" si="164"/>
        <v>93.468528656208804</v>
      </c>
      <c r="S147" s="26">
        <f t="shared" si="165"/>
        <v>8.3035452965370897</v>
      </c>
      <c r="W147" s="26">
        <f t="shared" si="166"/>
        <v>359.17365926063866</v>
      </c>
      <c r="X147" s="26">
        <f t="shared" si="167"/>
        <v>34.291630509440331</v>
      </c>
      <c r="Y147" s="26">
        <f t="shared" si="168"/>
        <v>17.698061892495822</v>
      </c>
      <c r="Z147" s="26">
        <f t="shared" si="169"/>
        <v>93.10935499694817</v>
      </c>
      <c r="AA147" s="26">
        <f t="shared" si="170"/>
        <v>8.3401476252149269</v>
      </c>
    </row>
    <row r="148" spans="1:27" ht="12.75" customHeight="1" x14ac:dyDescent="0.25">
      <c r="A148" s="1" t="s">
        <v>64</v>
      </c>
      <c r="B148" s="1" t="s">
        <v>86</v>
      </c>
      <c r="C148" s="1">
        <v>25</v>
      </c>
      <c r="D148" s="1">
        <v>45</v>
      </c>
      <c r="E148" s="1">
        <v>24</v>
      </c>
      <c r="F148" s="1" t="s">
        <v>70</v>
      </c>
      <c r="G148" s="1" t="s">
        <v>79</v>
      </c>
      <c r="H148" s="1">
        <v>10</v>
      </c>
      <c r="I148" s="40">
        <v>16385.199199999999</v>
      </c>
      <c r="J148" s="25">
        <v>631918.5</v>
      </c>
      <c r="K148" s="25">
        <v>65054.101600000002</v>
      </c>
      <c r="L148" s="25">
        <v>41343.773399999998</v>
      </c>
      <c r="M148" s="25">
        <v>165562.84400000001</v>
      </c>
      <c r="O148" s="26">
        <f t="shared" si="164"/>
        <v>306.27889590758707</v>
      </c>
      <c r="P148" s="26">
        <f t="shared" si="164"/>
        <v>31.530487574438787</v>
      </c>
      <c r="Q148" s="26">
        <f t="shared" si="164"/>
        <v>20.038541789179249</v>
      </c>
      <c r="R148" s="26">
        <f t="shared" si="164"/>
        <v>80.245166209946518</v>
      </c>
      <c r="S148" s="26">
        <f t="shared" si="165"/>
        <v>8.8111416464249501</v>
      </c>
      <c r="W148" s="26">
        <f t="shared" si="166"/>
        <v>305.814550755293</v>
      </c>
      <c r="X148" s="26">
        <f t="shared" si="167"/>
        <v>31.189743210480156</v>
      </c>
      <c r="Y148" s="26">
        <f t="shared" si="168"/>
        <v>15.184018037560154</v>
      </c>
      <c r="Z148" s="26">
        <f t="shared" si="169"/>
        <v>79.939351659191232</v>
      </c>
      <c r="AA148" s="26">
        <f t="shared" si="170"/>
        <v>8.8559847523233408</v>
      </c>
    </row>
    <row r="149" spans="1:27" ht="12.75" customHeight="1" x14ac:dyDescent="0.25">
      <c r="A149" s="1" t="s">
        <v>64</v>
      </c>
      <c r="B149" s="1" t="s">
        <v>86</v>
      </c>
      <c r="C149" s="1">
        <v>25</v>
      </c>
      <c r="D149" s="1">
        <v>45</v>
      </c>
      <c r="E149" s="1">
        <v>24</v>
      </c>
      <c r="F149" s="1" t="s">
        <v>71</v>
      </c>
      <c r="G149" s="1" t="s">
        <v>79</v>
      </c>
      <c r="H149" s="1">
        <v>10</v>
      </c>
      <c r="I149" s="40">
        <v>17303.300800000001</v>
      </c>
      <c r="J149" s="25">
        <v>156611.391</v>
      </c>
      <c r="K149" s="25">
        <v>16172.854499999999</v>
      </c>
      <c r="L149" s="25">
        <v>10299.107400000001</v>
      </c>
      <c r="M149" s="25">
        <v>27884.043000000001</v>
      </c>
      <c r="N149" s="35" t="s">
        <v>184</v>
      </c>
      <c r="O149" s="26">
        <f t="shared" si="164"/>
        <v>75.906566941830974</v>
      </c>
      <c r="P149" s="26">
        <f t="shared" si="164"/>
        <v>7.8386754303506718</v>
      </c>
      <c r="Q149" s="26">
        <f t="shared" si="164"/>
        <v>4.9917817618975544</v>
      </c>
      <c r="R149" s="26">
        <f t="shared" si="164"/>
        <v>13.51486608396444</v>
      </c>
      <c r="S149" s="26">
        <f t="shared" si="165"/>
        <v>8.8336018779564309</v>
      </c>
      <c r="W149" s="26">
        <f t="shared" si="166"/>
        <v>75.82836207484155</v>
      </c>
      <c r="X149" s="26">
        <f t="shared" si="167"/>
        <v>7.7812873699194913</v>
      </c>
      <c r="Y149" s="26">
        <f t="shared" si="168"/>
        <v>4.1741843725058372</v>
      </c>
      <c r="Z149" s="26">
        <f t="shared" si="169"/>
        <v>13.4390377218896</v>
      </c>
      <c r="AA149" s="26">
        <f t="shared" si="170"/>
        <v>8.8641462004464522</v>
      </c>
    </row>
    <row r="150" spans="1:27" ht="12.75" customHeight="1" x14ac:dyDescent="0.25">
      <c r="A150" s="1" t="s">
        <v>64</v>
      </c>
      <c r="B150" s="1" t="s">
        <v>86</v>
      </c>
      <c r="C150" s="1"/>
      <c r="D150" s="1"/>
      <c r="E150" s="1"/>
      <c r="F150" s="1"/>
      <c r="G150" s="1" t="s">
        <v>116</v>
      </c>
      <c r="H150" s="1"/>
      <c r="I150" s="40">
        <v>18227.300800000001</v>
      </c>
      <c r="J150" s="24">
        <v>1506.48046875</v>
      </c>
      <c r="K150" s="24">
        <v>1440.2436523399999</v>
      </c>
      <c r="L150" s="25">
        <v>16489.041000000001</v>
      </c>
      <c r="M150" s="25">
        <v>271849.625</v>
      </c>
      <c r="O150" s="26"/>
      <c r="P150" s="26"/>
      <c r="T150" s="46">
        <f>J150/$M150</f>
        <v>5.5415948017217241E-3</v>
      </c>
      <c r="U150" s="46">
        <f t="shared" ref="U150" si="171">K150/$M150</f>
        <v>5.2979423912760592E-3</v>
      </c>
      <c r="V150" s="46">
        <f t="shared" ref="V150" si="172">L150/$M150</f>
        <v>6.0655007340915043E-2</v>
      </c>
    </row>
    <row r="151" spans="1:27" ht="12.75" customHeight="1" x14ac:dyDescent="0.25">
      <c r="C151" s="1"/>
      <c r="D151" s="1"/>
      <c r="E151" s="1"/>
      <c r="F151" s="1"/>
    </row>
    <row r="152" spans="1:27" ht="12.75" customHeight="1" x14ac:dyDescent="0.25"/>
    <row r="153" spans="1:27" ht="12.75" customHeight="1" x14ac:dyDescent="0.25">
      <c r="M153" s="36" t="s">
        <v>170</v>
      </c>
      <c r="N153" s="26">
        <f>AVERAGE(M154,M161,M174)/$N$3</f>
        <v>193.17320582010581</v>
      </c>
    </row>
    <row r="154" spans="1:27" ht="12.75" customHeight="1" x14ac:dyDescent="0.25">
      <c r="A154" s="1" t="s">
        <v>90</v>
      </c>
      <c r="B154" s="1" t="s">
        <v>86</v>
      </c>
      <c r="G154" s="1" t="s">
        <v>116</v>
      </c>
      <c r="H154" s="1"/>
      <c r="I154" s="39">
        <v>1110.0300293</v>
      </c>
      <c r="J154" s="24">
        <v>1233.67028809</v>
      </c>
      <c r="K154" s="24">
        <v>1188.2760009799999</v>
      </c>
      <c r="L154" s="25">
        <v>14788.7305</v>
      </c>
      <c r="M154" s="25">
        <v>225424.15599999999</v>
      </c>
      <c r="T154" s="46">
        <f>J154/$M154</f>
        <v>5.4726623356637968E-3</v>
      </c>
      <c r="U154" s="46">
        <f t="shared" ref="U154" si="173">K154/$M154</f>
        <v>5.2712895639276565E-3</v>
      </c>
      <c r="V154" s="46">
        <f t="shared" ref="V154" si="174">L154/$M154</f>
        <v>6.5604018497467512E-2</v>
      </c>
    </row>
    <row r="155" spans="1:27" ht="12.75" customHeight="1" x14ac:dyDescent="0.25">
      <c r="A155" s="1" t="s">
        <v>90</v>
      </c>
      <c r="B155" s="1" t="s">
        <v>86</v>
      </c>
      <c r="C155" s="1">
        <v>45</v>
      </c>
      <c r="D155" s="1" t="s">
        <v>66</v>
      </c>
      <c r="E155" s="1">
        <v>0</v>
      </c>
      <c r="F155" s="1" t="s">
        <v>67</v>
      </c>
      <c r="G155" s="1" t="s">
        <v>68</v>
      </c>
      <c r="H155" s="1">
        <v>6.5</v>
      </c>
      <c r="I155" s="39">
        <v>1837.25</v>
      </c>
      <c r="J155" s="25">
        <v>18200.581999999999</v>
      </c>
      <c r="K155" s="24">
        <v>1092.4431152300001</v>
      </c>
      <c r="L155" s="24">
        <v>1785.3758544899999</v>
      </c>
      <c r="M155" s="24">
        <v>368.84460448999999</v>
      </c>
      <c r="O155" s="26">
        <f t="shared" ref="O155:O160" si="175">J155/$N$153/$H155</f>
        <v>14.495227361237385</v>
      </c>
      <c r="P155" s="26">
        <f t="shared" ref="P155:R155" si="176">K155/$N$153/$H155</f>
        <v>0.87003873472163151</v>
      </c>
      <c r="Q155" s="26">
        <f t="shared" si="176"/>
        <v>1.4219011752534079</v>
      </c>
      <c r="R155" s="26">
        <f t="shared" si="176"/>
        <v>0.2937535955195405</v>
      </c>
      <c r="S155" s="26">
        <f t="shared" ref="S155:S160" si="177">P155/(O155+P155+Q155)*100</f>
        <v>5.1827608593239116</v>
      </c>
      <c r="W155" s="26">
        <f t="shared" ref="W155:W160" si="178">O155-(T$4*$R155)</f>
        <v>14.493527532269599</v>
      </c>
      <c r="X155" s="26">
        <f t="shared" ref="X155:X160" si="179">P155-(U$4*$R155)</f>
        <v>0.86879137133772388</v>
      </c>
      <c r="Y155" s="26">
        <f t="shared" ref="Y155:Y160" si="180">Q155-(V$4*$R155)</f>
        <v>1.4041302131640259</v>
      </c>
      <c r="Z155" s="26">
        <f t="shared" ref="Z155:Z160" si="181">R155-(0.001*W155)</f>
        <v>0.27926006798727088</v>
      </c>
      <c r="AA155" s="26">
        <f t="shared" ref="AA155:AA160" si="182">X155/(W155+X155+Y155)*100</f>
        <v>5.1817255119849959</v>
      </c>
    </row>
    <row r="156" spans="1:27" ht="12.75" customHeight="1" x14ac:dyDescent="0.25">
      <c r="A156" s="1" t="s">
        <v>90</v>
      </c>
      <c r="B156" s="1" t="s">
        <v>86</v>
      </c>
      <c r="C156" s="1">
        <v>45</v>
      </c>
      <c r="D156" s="1" t="s">
        <v>66</v>
      </c>
      <c r="E156" s="1">
        <v>0</v>
      </c>
      <c r="F156" s="1" t="s">
        <v>70</v>
      </c>
      <c r="G156" s="1" t="s">
        <v>68</v>
      </c>
      <c r="H156" s="1">
        <v>10</v>
      </c>
      <c r="I156" s="39">
        <v>2588.4699707</v>
      </c>
      <c r="J156" s="25">
        <v>22086.732400000001</v>
      </c>
      <c r="K156" s="24">
        <v>765.76202393000005</v>
      </c>
      <c r="L156" s="24">
        <v>1665.9935302700001</v>
      </c>
      <c r="M156" s="24">
        <v>44.616168979999998</v>
      </c>
      <c r="O156" s="26">
        <f t="shared" si="175"/>
        <v>11.433641796351642</v>
      </c>
      <c r="P156" s="26">
        <f t="shared" ref="P156:R160" si="183">K156/$N$153/$H156</f>
        <v>0.39641213214793491</v>
      </c>
      <c r="Q156" s="26">
        <f t="shared" si="183"/>
        <v>0.86243509973193222</v>
      </c>
      <c r="R156" s="26">
        <f t="shared" si="183"/>
        <v>2.3096458326393975E-2</v>
      </c>
      <c r="S156" s="26">
        <f t="shared" si="177"/>
        <v>3.1232024803504475</v>
      </c>
      <c r="W156" s="26">
        <f t="shared" si="178"/>
        <v>11.433508146825252</v>
      </c>
      <c r="X156" s="26">
        <f t="shared" si="179"/>
        <v>0.39631405785419449</v>
      </c>
      <c r="Y156" s="26">
        <f t="shared" si="180"/>
        <v>0.86103785288431012</v>
      </c>
      <c r="Z156" s="26">
        <f t="shared" si="181"/>
        <v>1.1662950179568723E-2</v>
      </c>
      <c r="AA156" s="26">
        <f t="shared" si="182"/>
        <v>3.1228305729995909</v>
      </c>
    </row>
    <row r="157" spans="1:27" ht="12.75" customHeight="1" x14ac:dyDescent="0.25">
      <c r="A157" s="1" t="s">
        <v>90</v>
      </c>
      <c r="B157" s="1" t="s">
        <v>86</v>
      </c>
      <c r="C157" s="1">
        <v>45</v>
      </c>
      <c r="D157" s="1" t="s">
        <v>66</v>
      </c>
      <c r="E157" s="1">
        <v>0</v>
      </c>
      <c r="F157" s="1" t="s">
        <v>71</v>
      </c>
      <c r="G157" s="1" t="s">
        <v>68</v>
      </c>
      <c r="H157" s="1">
        <v>10</v>
      </c>
      <c r="I157" s="39">
        <v>3321.6899414099998</v>
      </c>
      <c r="J157" s="24">
        <v>9013.9160156199996</v>
      </c>
      <c r="K157" s="24">
        <v>334.40899658000001</v>
      </c>
      <c r="L157" s="24">
        <v>768.58569336000005</v>
      </c>
      <c r="M157" s="24">
        <v>108.32288361000001</v>
      </c>
      <c r="O157" s="26">
        <f t="shared" si="175"/>
        <v>4.6662351423697377</v>
      </c>
      <c r="P157" s="26">
        <f t="shared" si="183"/>
        <v>0.17311355120928171</v>
      </c>
      <c r="Q157" s="26">
        <f t="shared" si="183"/>
        <v>0.39787386148975135</v>
      </c>
      <c r="R157" s="26">
        <f t="shared" si="183"/>
        <v>5.6075522042573864E-2</v>
      </c>
      <c r="S157" s="26">
        <f t="shared" si="177"/>
        <v>3.3054457661291523</v>
      </c>
      <c r="W157" s="26">
        <f t="shared" si="178"/>
        <v>4.6659106568206052</v>
      </c>
      <c r="X157" s="26">
        <f t="shared" si="179"/>
        <v>0.17287543819893472</v>
      </c>
      <c r="Y157" s="26">
        <f t="shared" si="180"/>
        <v>0.39448150819923783</v>
      </c>
      <c r="Z157" s="26">
        <f t="shared" si="181"/>
        <v>5.1409611385753257E-2</v>
      </c>
      <c r="AA157" s="26">
        <f t="shared" si="182"/>
        <v>3.3033938125504188</v>
      </c>
    </row>
    <row r="158" spans="1:27" ht="12.75" customHeight="1" x14ac:dyDescent="0.25">
      <c r="A158" s="1" t="s">
        <v>90</v>
      </c>
      <c r="B158" s="1" t="s">
        <v>86</v>
      </c>
      <c r="C158" s="1">
        <v>45</v>
      </c>
      <c r="D158" s="1" t="s">
        <v>66</v>
      </c>
      <c r="E158" s="1">
        <v>0</v>
      </c>
      <c r="F158" s="1" t="s">
        <v>67</v>
      </c>
      <c r="G158" s="1" t="s">
        <v>75</v>
      </c>
      <c r="H158" s="1">
        <v>10</v>
      </c>
      <c r="I158" s="39">
        <v>4060.9099121099998</v>
      </c>
      <c r="J158" s="25">
        <v>529606.56200000003</v>
      </c>
      <c r="K158" s="25">
        <v>15779.6543</v>
      </c>
      <c r="L158" s="25">
        <v>24653.248</v>
      </c>
      <c r="M158" s="24">
        <v>548.12591553000004</v>
      </c>
      <c r="O158" s="26">
        <f t="shared" si="175"/>
        <v>274.16150172151754</v>
      </c>
      <c r="P158" s="26">
        <f t="shared" si="183"/>
        <v>8.1686558096959558</v>
      </c>
      <c r="Q158" s="26">
        <f t="shared" si="183"/>
        <v>12.762250279657597</v>
      </c>
      <c r="R158" s="26">
        <f t="shared" si="183"/>
        <v>0.283748418008058</v>
      </c>
      <c r="S158" s="26">
        <f t="shared" si="177"/>
        <v>2.7681687476457757</v>
      </c>
      <c r="W158" s="26">
        <f t="shared" si="178"/>
        <v>274.15985978831964</v>
      </c>
      <c r="X158" s="26">
        <f t="shared" si="179"/>
        <v>8.1674509312118673</v>
      </c>
      <c r="Y158" s="26">
        <f t="shared" si="180"/>
        <v>12.745084592305158</v>
      </c>
      <c r="Z158" s="26">
        <f t="shared" si="181"/>
        <v>9.5885582197383634E-3</v>
      </c>
      <c r="AA158" s="26">
        <f t="shared" si="182"/>
        <v>2.7679481581394256</v>
      </c>
    </row>
    <row r="159" spans="1:27" ht="12.75" customHeight="1" x14ac:dyDescent="0.25">
      <c r="A159" s="1" t="s">
        <v>90</v>
      </c>
      <c r="B159" s="1" t="s">
        <v>86</v>
      </c>
      <c r="C159" s="1">
        <v>45</v>
      </c>
      <c r="D159" s="1" t="s">
        <v>66</v>
      </c>
      <c r="E159" s="1">
        <v>0</v>
      </c>
      <c r="F159" s="1" t="s">
        <v>70</v>
      </c>
      <c r="G159" s="1" t="s">
        <v>75</v>
      </c>
      <c r="H159" s="1">
        <v>10</v>
      </c>
      <c r="I159" s="39">
        <v>4975.33984375</v>
      </c>
      <c r="J159" s="25">
        <v>646537.31200000003</v>
      </c>
      <c r="K159" s="25">
        <v>19000.529299999998</v>
      </c>
      <c r="L159" s="25">
        <v>30124.398399999998</v>
      </c>
      <c r="M159" s="24">
        <v>694.67883300999995</v>
      </c>
      <c r="O159" s="26">
        <f t="shared" si="175"/>
        <v>334.69305914097288</v>
      </c>
      <c r="P159" s="26">
        <f t="shared" si="183"/>
        <v>9.8360066135126427</v>
      </c>
      <c r="Q159" s="26">
        <f t="shared" si="183"/>
        <v>15.594501458993026</v>
      </c>
      <c r="R159" s="26">
        <f t="shared" si="183"/>
        <v>0.35961448693714054</v>
      </c>
      <c r="S159" s="26">
        <f t="shared" si="177"/>
        <v>2.731286566336252</v>
      </c>
      <c r="W159" s="26">
        <f t="shared" si="178"/>
        <v>334.69097820262368</v>
      </c>
      <c r="X159" s="26">
        <f t="shared" si="179"/>
        <v>9.8344795855879816</v>
      </c>
      <c r="Y159" s="26">
        <f t="shared" si="180"/>
        <v>15.572746166422565</v>
      </c>
      <c r="Z159" s="26">
        <f t="shared" si="181"/>
        <v>2.4923508734516875E-2</v>
      </c>
      <c r="AA159" s="26">
        <f t="shared" si="182"/>
        <v>2.73105488380246</v>
      </c>
    </row>
    <row r="160" spans="1:27" ht="12.75" customHeight="1" x14ac:dyDescent="0.25">
      <c r="A160" s="1" t="s">
        <v>90</v>
      </c>
      <c r="B160" s="1" t="s">
        <v>86</v>
      </c>
      <c r="C160" s="1">
        <v>45</v>
      </c>
      <c r="D160" s="1" t="s">
        <v>66</v>
      </c>
      <c r="E160" s="1">
        <v>0</v>
      </c>
      <c r="F160" s="1" t="s">
        <v>71</v>
      </c>
      <c r="G160" s="1" t="s">
        <v>75</v>
      </c>
      <c r="H160" s="1">
        <v>10</v>
      </c>
      <c r="I160" s="39">
        <v>5886.16015625</v>
      </c>
      <c r="J160" s="25">
        <v>639830.375</v>
      </c>
      <c r="K160" s="25">
        <v>19113.9941</v>
      </c>
      <c r="L160" s="25">
        <v>29701.375</v>
      </c>
      <c r="M160" s="24">
        <v>713.28344727000001</v>
      </c>
      <c r="O160" s="26">
        <f t="shared" si="175"/>
        <v>331.2210781426113</v>
      </c>
      <c r="P160" s="26">
        <f t="shared" si="183"/>
        <v>9.8947439521193594</v>
      </c>
      <c r="Q160" s="26">
        <f t="shared" si="183"/>
        <v>15.375514877389184</v>
      </c>
      <c r="R160" s="26">
        <f t="shared" si="183"/>
        <v>0.36924554015749539</v>
      </c>
      <c r="S160" s="26">
        <f t="shared" si="177"/>
        <v>2.7755916977284634</v>
      </c>
      <c r="W160" s="26">
        <f t="shared" si="178"/>
        <v>331.21894147339276</v>
      </c>
      <c r="X160" s="26">
        <f t="shared" si="179"/>
        <v>9.8931760279356595</v>
      </c>
      <c r="Y160" s="26">
        <f t="shared" si="180"/>
        <v>15.353176943161667</v>
      </c>
      <c r="Z160" s="26">
        <f t="shared" si="181"/>
        <v>3.802659868410263E-2</v>
      </c>
      <c r="AA160" s="26">
        <f t="shared" si="182"/>
        <v>2.7753546227699473</v>
      </c>
    </row>
    <row r="161" spans="1:27" ht="12.75" customHeight="1" x14ac:dyDescent="0.25">
      <c r="A161" s="1" t="s">
        <v>90</v>
      </c>
      <c r="B161" s="1" t="s">
        <v>86</v>
      </c>
      <c r="C161" s="1"/>
      <c r="D161" s="1"/>
      <c r="E161" s="1"/>
      <c r="F161" s="1"/>
      <c r="G161" s="1" t="s">
        <v>116</v>
      </c>
      <c r="H161" s="1"/>
      <c r="I161" s="39">
        <v>7481</v>
      </c>
      <c r="J161" s="24">
        <v>1615.2019043</v>
      </c>
      <c r="K161" s="24">
        <v>1567.0994873</v>
      </c>
      <c r="L161" s="25">
        <v>17284.421900000001</v>
      </c>
      <c r="M161" s="25">
        <v>267823.53100000002</v>
      </c>
      <c r="O161" s="26"/>
      <c r="P161" s="26"/>
      <c r="T161" s="46">
        <f>J161/$M161</f>
        <v>6.0308438854090084E-3</v>
      </c>
      <c r="U161" s="46">
        <f t="shared" ref="U161" si="184">K161/$M161</f>
        <v>5.8512389910205459E-3</v>
      </c>
      <c r="V161" s="46">
        <f t="shared" ref="V161" si="185">L161/$M161</f>
        <v>6.4536606755438528E-2</v>
      </c>
    </row>
    <row r="162" spans="1:27" ht="12.75" customHeight="1" x14ac:dyDescent="0.25">
      <c r="A162" s="1" t="s">
        <v>90</v>
      </c>
      <c r="B162" s="1" t="s">
        <v>86</v>
      </c>
      <c r="C162" s="1">
        <v>45</v>
      </c>
      <c r="D162" s="1">
        <v>45</v>
      </c>
      <c r="E162" s="1">
        <v>24</v>
      </c>
      <c r="F162" s="1" t="s">
        <v>67</v>
      </c>
      <c r="G162" s="1" t="s">
        <v>68</v>
      </c>
      <c r="H162" s="1">
        <v>10</v>
      </c>
      <c r="I162" s="39">
        <v>8217.8203125</v>
      </c>
      <c r="J162" s="24">
        <v>7489.7529296900002</v>
      </c>
      <c r="K162" s="24">
        <v>845.42419433999999</v>
      </c>
      <c r="L162" s="24">
        <v>739.93475341999999</v>
      </c>
      <c r="M162" s="24">
        <v>909.31494140999996</v>
      </c>
      <c r="O162" s="26">
        <f t="shared" ref="O162:O173" si="186">J162/$N$153/$H162</f>
        <v>3.8772214282476094</v>
      </c>
      <c r="P162" s="26">
        <f t="shared" ref="P162:P173" si="187">K162/$N$153/$H162</f>
        <v>0.4376508588501184</v>
      </c>
      <c r="Q162" s="26">
        <f t="shared" ref="Q162:Q173" si="188">L162/$N$153/$H162</f>
        <v>0.38304212547420813</v>
      </c>
      <c r="R162" s="26">
        <f t="shared" ref="R162:R173" si="189">M162/$N$153/$H162</f>
        <v>0.47072519066480023</v>
      </c>
      <c r="S162" s="26">
        <f t="shared" ref="S162:S173" si="190">P162/(O162+P162+Q162)*100</f>
        <v>9.3158542369127701</v>
      </c>
      <c r="W162" s="26">
        <f t="shared" ref="W162:W173" si="191">O162-(T$4*$R162)</f>
        <v>3.8744975388138703</v>
      </c>
      <c r="X162" s="26">
        <f t="shared" ref="X162:X173" si="192">P162-(U$4*$R162)</f>
        <v>0.43565202249313789</v>
      </c>
      <c r="Y162" s="26">
        <f t="shared" ref="Y162:Y173" si="193">Q162-(V$4*$R162)</f>
        <v>0.35456506291085021</v>
      </c>
      <c r="Z162" s="26">
        <f t="shared" ref="Z162:Z173" si="194">R162-(0.001*W162)</f>
        <v>0.46685069312598637</v>
      </c>
      <c r="AA162" s="26">
        <f t="shared" ref="AA162:AA173" si="195">X162/(W162+X162+Y162)*100</f>
        <v>9.3393070656746673</v>
      </c>
    </row>
    <row r="163" spans="1:27" ht="12.75" customHeight="1" x14ac:dyDescent="0.25">
      <c r="A163" s="1" t="s">
        <v>90</v>
      </c>
      <c r="B163" s="1" t="s">
        <v>86</v>
      </c>
      <c r="C163" s="1">
        <v>45</v>
      </c>
      <c r="D163" s="1">
        <v>45</v>
      </c>
      <c r="E163" s="1">
        <v>24</v>
      </c>
      <c r="F163" s="1" t="s">
        <v>70</v>
      </c>
      <c r="G163" s="1" t="s">
        <v>68</v>
      </c>
      <c r="H163" s="1">
        <v>10</v>
      </c>
      <c r="I163" s="39">
        <v>8937.83984375</v>
      </c>
      <c r="J163" s="24">
        <v>8128.78125</v>
      </c>
      <c r="K163" s="24">
        <v>829.66735840000001</v>
      </c>
      <c r="L163" s="24">
        <v>529.34661864999998</v>
      </c>
      <c r="M163" s="24">
        <v>1138.3432617200001</v>
      </c>
      <c r="O163" s="26">
        <f t="shared" si="186"/>
        <v>4.2080273066286411</v>
      </c>
      <c r="P163" s="26">
        <f t="shared" si="187"/>
        <v>0.42949401542397903</v>
      </c>
      <c r="Q163" s="26">
        <f t="shared" si="188"/>
        <v>0.27402693681180534</v>
      </c>
      <c r="R163" s="26">
        <f t="shared" si="189"/>
        <v>0.58928631270948206</v>
      </c>
      <c r="S163" s="26">
        <f t="shared" si="190"/>
        <v>8.7445748832625778</v>
      </c>
      <c r="W163" s="26">
        <f t="shared" si="191"/>
        <v>4.2046173536614555</v>
      </c>
      <c r="X163" s="26">
        <f t="shared" si="192"/>
        <v>0.42699173398700907</v>
      </c>
      <c r="Y163" s="26">
        <f t="shared" si="193"/>
        <v>0.23837738261850083</v>
      </c>
      <c r="Z163" s="26">
        <f t="shared" si="194"/>
        <v>0.58508169535582055</v>
      </c>
      <c r="AA163" s="26">
        <f t="shared" si="195"/>
        <v>8.76782177104492</v>
      </c>
    </row>
    <row r="164" spans="1:27" ht="12.75" customHeight="1" x14ac:dyDescent="0.25">
      <c r="A164" s="1" t="s">
        <v>90</v>
      </c>
      <c r="B164" s="1" t="s">
        <v>86</v>
      </c>
      <c r="C164" s="1">
        <v>45</v>
      </c>
      <c r="D164" s="1">
        <v>45</v>
      </c>
      <c r="E164" s="1">
        <v>24</v>
      </c>
      <c r="F164" s="1" t="s">
        <v>71</v>
      </c>
      <c r="G164" s="1" t="s">
        <v>68</v>
      </c>
      <c r="H164" s="1">
        <v>10</v>
      </c>
      <c r="I164" s="39">
        <v>9684.2597656199996</v>
      </c>
      <c r="J164" s="24">
        <v>5014.5209960900002</v>
      </c>
      <c r="K164" s="24">
        <v>539.28308104999996</v>
      </c>
      <c r="L164" s="24">
        <v>332.22900391000002</v>
      </c>
      <c r="M164" s="24">
        <v>972.14398193</v>
      </c>
      <c r="O164" s="26">
        <f t="shared" si="186"/>
        <v>2.5958677730698403</v>
      </c>
      <c r="P164" s="26">
        <f t="shared" si="187"/>
        <v>0.27917074666774022</v>
      </c>
      <c r="Q164" s="26">
        <f t="shared" si="188"/>
        <v>0.1719850341042593</v>
      </c>
      <c r="R164" s="26">
        <f t="shared" si="189"/>
        <v>0.50324990870385888</v>
      </c>
      <c r="S164" s="26">
        <f t="shared" si="190"/>
        <v>9.1620803625146845</v>
      </c>
      <c r="W164" s="26">
        <f t="shared" si="191"/>
        <v>2.5929556767214113</v>
      </c>
      <c r="X164" s="26">
        <f t="shared" si="192"/>
        <v>0.27703380087832169</v>
      </c>
      <c r="Y164" s="26">
        <f t="shared" si="193"/>
        <v>0.1415403512630366</v>
      </c>
      <c r="Z164" s="26">
        <f t="shared" si="194"/>
        <v>0.50065695302713742</v>
      </c>
      <c r="AA164" s="26">
        <f t="shared" si="195"/>
        <v>9.1991053259112743</v>
      </c>
    </row>
    <row r="165" spans="1:27" ht="12.75" customHeight="1" x14ac:dyDescent="0.25">
      <c r="A165" s="1" t="s">
        <v>90</v>
      </c>
      <c r="B165" s="1" t="s">
        <v>86</v>
      </c>
      <c r="C165" s="1">
        <v>45</v>
      </c>
      <c r="D165" s="1">
        <v>25</v>
      </c>
      <c r="E165" s="1">
        <v>24</v>
      </c>
      <c r="F165" s="1" t="s">
        <v>67</v>
      </c>
      <c r="G165" s="1" t="s">
        <v>68</v>
      </c>
      <c r="H165" s="1">
        <v>10</v>
      </c>
      <c r="I165" s="40">
        <v>10423.5</v>
      </c>
      <c r="J165" s="24">
        <v>7848.2797851599998</v>
      </c>
      <c r="K165" s="24">
        <v>382.89675903</v>
      </c>
      <c r="L165" s="24">
        <v>531.27093506000006</v>
      </c>
      <c r="M165" s="24">
        <v>1537.22814941</v>
      </c>
      <c r="O165" s="26">
        <f t="shared" si="186"/>
        <v>4.062820074782409</v>
      </c>
      <c r="P165" s="26">
        <f t="shared" si="187"/>
        <v>0.19821421785926971</v>
      </c>
      <c r="Q165" s="26">
        <f t="shared" si="188"/>
        <v>0.27502309795218216</v>
      </c>
      <c r="R165" s="26">
        <f t="shared" si="189"/>
        <v>0.79577710732903451</v>
      </c>
      <c r="S165" s="26">
        <f t="shared" si="190"/>
        <v>4.3697466939085512</v>
      </c>
      <c r="W165" s="26">
        <f t="shared" si="191"/>
        <v>4.0582152461111329</v>
      </c>
      <c r="X165" s="26">
        <f t="shared" si="192"/>
        <v>0.19483511632460229</v>
      </c>
      <c r="Y165" s="26">
        <f t="shared" si="193"/>
        <v>0.22688164531419516</v>
      </c>
      <c r="Z165" s="26">
        <f t="shared" si="194"/>
        <v>0.79171889208292334</v>
      </c>
      <c r="AA165" s="26">
        <f t="shared" si="195"/>
        <v>4.3490641373028165</v>
      </c>
    </row>
    <row r="166" spans="1:27" ht="12.75" customHeight="1" x14ac:dyDescent="0.25">
      <c r="A166" s="1" t="s">
        <v>90</v>
      </c>
      <c r="B166" s="1" t="s">
        <v>86</v>
      </c>
      <c r="C166" s="1">
        <v>45</v>
      </c>
      <c r="D166" s="1">
        <v>25</v>
      </c>
      <c r="E166" s="1">
        <v>24</v>
      </c>
      <c r="F166" s="1" t="s">
        <v>70</v>
      </c>
      <c r="G166" s="1" t="s">
        <v>68</v>
      </c>
      <c r="H166" s="1">
        <v>10</v>
      </c>
      <c r="I166" s="40">
        <v>11159.0996</v>
      </c>
      <c r="J166" s="25">
        <v>13526.502899999999</v>
      </c>
      <c r="K166" s="24">
        <v>607.44842529000005</v>
      </c>
      <c r="L166" s="24">
        <v>1007.3853149399999</v>
      </c>
      <c r="M166" s="24">
        <v>4171.1044921900002</v>
      </c>
      <c r="O166" s="26">
        <f t="shared" si="186"/>
        <v>7.0022666148620374</v>
      </c>
      <c r="P166" s="26">
        <f t="shared" si="187"/>
        <v>0.31445790978677007</v>
      </c>
      <c r="Q166" s="26">
        <f t="shared" si="188"/>
        <v>0.52149329440550685</v>
      </c>
      <c r="R166" s="26">
        <f t="shared" si="189"/>
        <v>2.1592562356056648</v>
      </c>
      <c r="S166" s="26">
        <f t="shared" si="190"/>
        <v>4.01185469766276</v>
      </c>
      <c r="W166" s="26">
        <f t="shared" si="191"/>
        <v>6.9897719038044137</v>
      </c>
      <c r="X166" s="26">
        <f t="shared" si="192"/>
        <v>0.3052890784742372</v>
      </c>
      <c r="Y166" s="26">
        <f t="shared" si="193"/>
        <v>0.39086660152590441</v>
      </c>
      <c r="Z166" s="26">
        <f t="shared" si="194"/>
        <v>2.1522664637018605</v>
      </c>
      <c r="AA166" s="26">
        <f t="shared" si="195"/>
        <v>3.9720524965331285</v>
      </c>
    </row>
    <row r="167" spans="1:27" ht="12.75" customHeight="1" x14ac:dyDescent="0.25">
      <c r="A167" s="1" t="s">
        <v>90</v>
      </c>
      <c r="B167" s="1" t="s">
        <v>86</v>
      </c>
      <c r="C167" s="1">
        <v>45</v>
      </c>
      <c r="D167" s="1">
        <v>25</v>
      </c>
      <c r="E167" s="1">
        <v>24</v>
      </c>
      <c r="F167" s="1" t="s">
        <v>71</v>
      </c>
      <c r="G167" s="1" t="s">
        <v>68</v>
      </c>
      <c r="H167" s="1">
        <v>10</v>
      </c>
      <c r="I167" s="40">
        <v>11905.5</v>
      </c>
      <c r="J167" s="25">
        <v>11029.8467</v>
      </c>
      <c r="K167" s="24">
        <v>469.07498169000002</v>
      </c>
      <c r="L167" s="24">
        <v>1033.6899414100001</v>
      </c>
      <c r="M167" s="24">
        <v>8760.5332031199996</v>
      </c>
      <c r="O167" s="26">
        <f t="shared" si="186"/>
        <v>5.7098222567531645</v>
      </c>
      <c r="P167" s="26">
        <f t="shared" si="187"/>
        <v>0.24282611022505374</v>
      </c>
      <c r="Q167" s="26">
        <f t="shared" si="188"/>
        <v>0.53511041400463821</v>
      </c>
      <c r="R167" s="26">
        <f t="shared" si="189"/>
        <v>4.535066427006611</v>
      </c>
      <c r="S167" s="26">
        <f t="shared" si="190"/>
        <v>3.7428350594173452</v>
      </c>
      <c r="W167" s="26">
        <f t="shared" si="191"/>
        <v>5.6835797276367979</v>
      </c>
      <c r="X167" s="26">
        <f t="shared" si="192"/>
        <v>0.22356889638693259</v>
      </c>
      <c r="Y167" s="26">
        <f t="shared" si="193"/>
        <v>0.26075634727525726</v>
      </c>
      <c r="Z167" s="26">
        <f t="shared" si="194"/>
        <v>4.5293828472789741</v>
      </c>
      <c r="AA167" s="26">
        <f t="shared" si="195"/>
        <v>3.6247136982048538</v>
      </c>
    </row>
    <row r="168" spans="1:27" ht="12.75" customHeight="1" x14ac:dyDescent="0.25">
      <c r="A168" s="1" t="s">
        <v>90</v>
      </c>
      <c r="B168" s="1" t="s">
        <v>86</v>
      </c>
      <c r="C168" s="1">
        <v>45</v>
      </c>
      <c r="D168" s="1">
        <v>45</v>
      </c>
      <c r="E168" s="1">
        <v>24</v>
      </c>
      <c r="F168" s="1" t="s">
        <v>67</v>
      </c>
      <c r="G168" s="1" t="s">
        <v>75</v>
      </c>
      <c r="H168" s="1">
        <v>10</v>
      </c>
      <c r="I168" s="40">
        <v>12639.9004</v>
      </c>
      <c r="J168" s="25">
        <v>394707.5</v>
      </c>
      <c r="K168" s="25">
        <v>40710.609400000001</v>
      </c>
      <c r="L168" s="25">
        <v>25563.6914</v>
      </c>
      <c r="M168" s="25">
        <v>124133.30499999999</v>
      </c>
      <c r="O168" s="26">
        <f t="shared" si="186"/>
        <v>204.32828576007313</v>
      </c>
      <c r="P168" s="26">
        <f t="shared" si="187"/>
        <v>21.074666761969102</v>
      </c>
      <c r="Q168" s="26">
        <f t="shared" si="188"/>
        <v>13.23355963963574</v>
      </c>
      <c r="R168" s="26">
        <f t="shared" si="189"/>
        <v>64.260105055977675</v>
      </c>
      <c r="S168" s="26">
        <f t="shared" si="190"/>
        <v>8.8312834323068152</v>
      </c>
      <c r="W168" s="26">
        <f t="shared" si="191"/>
        <v>203.95643945857026</v>
      </c>
      <c r="X168" s="26">
        <f t="shared" si="192"/>
        <v>20.801799626671176</v>
      </c>
      <c r="Y168" s="26">
        <f t="shared" si="193"/>
        <v>9.346070573196311</v>
      </c>
      <c r="Z168" s="26">
        <f t="shared" si="194"/>
        <v>64.05614861651911</v>
      </c>
      <c r="AA168" s="26">
        <f t="shared" si="195"/>
        <v>8.8856970027682802</v>
      </c>
    </row>
    <row r="169" spans="1:27" ht="12.75" customHeight="1" x14ac:dyDescent="0.25">
      <c r="A169" s="1" t="s">
        <v>90</v>
      </c>
      <c r="B169" s="1" t="s">
        <v>86</v>
      </c>
      <c r="C169" s="1">
        <v>45</v>
      </c>
      <c r="D169" s="1">
        <v>45</v>
      </c>
      <c r="E169" s="1">
        <v>24</v>
      </c>
      <c r="F169" s="1" t="s">
        <v>70</v>
      </c>
      <c r="G169" s="1" t="s">
        <v>75</v>
      </c>
      <c r="H169" s="1">
        <v>10</v>
      </c>
      <c r="I169" s="40">
        <v>13542.4004</v>
      </c>
      <c r="J169" s="25">
        <v>274672.34399999998</v>
      </c>
      <c r="K169" s="25">
        <v>26624.5098</v>
      </c>
      <c r="L169" s="25">
        <v>15684.3467</v>
      </c>
      <c r="M169" s="25">
        <v>60694.367200000001</v>
      </c>
      <c r="N169" s="35" t="s">
        <v>87</v>
      </c>
      <c r="O169" s="26">
        <f t="shared" si="186"/>
        <v>142.18967006003459</v>
      </c>
      <c r="P169" s="26">
        <f t="shared" si="187"/>
        <v>13.78271364652627</v>
      </c>
      <c r="Q169" s="26">
        <f t="shared" si="188"/>
        <v>8.119317911308146</v>
      </c>
      <c r="R169" s="26">
        <f t="shared" si="189"/>
        <v>31.41966140817798</v>
      </c>
      <c r="S169" s="26">
        <f t="shared" si="190"/>
        <v>8.3993971118801429</v>
      </c>
      <c r="W169" s="26">
        <f t="shared" si="191"/>
        <v>142.00785764502334</v>
      </c>
      <c r="X169" s="26">
        <f t="shared" si="192"/>
        <v>13.6492966066224</v>
      </c>
      <c r="Y169" s="26">
        <f t="shared" si="193"/>
        <v>6.2185493070688569</v>
      </c>
      <c r="Z169" s="26">
        <f t="shared" si="194"/>
        <v>31.277653550532957</v>
      </c>
      <c r="AA169" s="26">
        <f t="shared" si="195"/>
        <v>8.4319612557987167</v>
      </c>
    </row>
    <row r="170" spans="1:27" ht="12.75" customHeight="1" x14ac:dyDescent="0.25">
      <c r="A170" s="1" t="s">
        <v>90</v>
      </c>
      <c r="B170" s="1" t="s">
        <v>86</v>
      </c>
      <c r="C170" s="1">
        <v>45</v>
      </c>
      <c r="D170" s="1">
        <v>45</v>
      </c>
      <c r="E170" s="1">
        <v>24</v>
      </c>
      <c r="F170" s="1" t="s">
        <v>71</v>
      </c>
      <c r="G170" s="1" t="s">
        <v>75</v>
      </c>
      <c r="H170" s="1">
        <v>10</v>
      </c>
      <c r="I170" s="40">
        <v>14461.5996</v>
      </c>
      <c r="J170" s="25">
        <v>398435.31199999998</v>
      </c>
      <c r="K170" s="25">
        <v>43050.191400000003</v>
      </c>
      <c r="L170" s="25">
        <v>27427.039100000002</v>
      </c>
      <c r="M170" s="25">
        <v>152306.68799999999</v>
      </c>
      <c r="O170" s="26">
        <f t="shared" si="186"/>
        <v>206.25806271033585</v>
      </c>
      <c r="P170" s="26">
        <f t="shared" si="187"/>
        <v>22.28579849738108</v>
      </c>
      <c r="Q170" s="26">
        <f t="shared" si="188"/>
        <v>14.198159099529397</v>
      </c>
      <c r="R170" s="26">
        <f t="shared" si="189"/>
        <v>78.844624104772009</v>
      </c>
      <c r="S170" s="26">
        <f t="shared" si="190"/>
        <v>9.1808573024041049</v>
      </c>
      <c r="W170" s="26">
        <f t="shared" si="191"/>
        <v>205.80182190834518</v>
      </c>
      <c r="X170" s="26">
        <f t="shared" si="192"/>
        <v>21.951001243402587</v>
      </c>
      <c r="Y170" s="26">
        <f t="shared" si="193"/>
        <v>9.4283627556263525</v>
      </c>
      <c r="Z170" s="26">
        <f t="shared" si="194"/>
        <v>78.638822282863657</v>
      </c>
      <c r="AA170" s="26">
        <f t="shared" si="195"/>
        <v>9.2549504546178749</v>
      </c>
    </row>
    <row r="171" spans="1:27" ht="12.75" customHeight="1" x14ac:dyDescent="0.25">
      <c r="A171" s="1" t="s">
        <v>90</v>
      </c>
      <c r="B171" s="1" t="s">
        <v>86</v>
      </c>
      <c r="C171" s="1">
        <v>45</v>
      </c>
      <c r="D171" s="1">
        <v>25</v>
      </c>
      <c r="E171" s="1">
        <v>24</v>
      </c>
      <c r="F171" s="1" t="s">
        <v>67</v>
      </c>
      <c r="G171" s="1" t="s">
        <v>75</v>
      </c>
      <c r="H171" s="1">
        <v>10</v>
      </c>
      <c r="I171" s="40">
        <v>15395.200199999999</v>
      </c>
      <c r="J171" s="25">
        <v>360571.375</v>
      </c>
      <c r="K171" s="25">
        <v>21168.726600000002</v>
      </c>
      <c r="L171" s="25">
        <v>21128.6973</v>
      </c>
      <c r="M171" s="25">
        <v>67334.757800000007</v>
      </c>
      <c r="O171" s="26">
        <f t="shared" si="186"/>
        <v>186.65703324082386</v>
      </c>
      <c r="P171" s="26">
        <f t="shared" si="187"/>
        <v>10.958417607726384</v>
      </c>
      <c r="Q171" s="26">
        <f t="shared" si="188"/>
        <v>10.937695634495126</v>
      </c>
      <c r="R171" s="26">
        <f t="shared" si="189"/>
        <v>34.857193322507712</v>
      </c>
      <c r="S171" s="26">
        <f t="shared" si="190"/>
        <v>5.2544964161532146</v>
      </c>
      <c r="W171" s="26">
        <f t="shared" si="191"/>
        <v>186.45532926902902</v>
      </c>
      <c r="X171" s="26">
        <f t="shared" si="192"/>
        <v>10.810403805412285</v>
      </c>
      <c r="Y171" s="26">
        <f t="shared" si="193"/>
        <v>8.8289695779477135</v>
      </c>
      <c r="Z171" s="26">
        <f t="shared" si="194"/>
        <v>34.670737993238681</v>
      </c>
      <c r="AA171" s="26">
        <f t="shared" si="195"/>
        <v>5.2453574333959105</v>
      </c>
    </row>
    <row r="172" spans="1:27" ht="12.75" customHeight="1" x14ac:dyDescent="0.25">
      <c r="A172" s="1" t="s">
        <v>90</v>
      </c>
      <c r="B172" s="1" t="s">
        <v>86</v>
      </c>
      <c r="C172" s="1">
        <v>45</v>
      </c>
      <c r="D172" s="1">
        <v>25</v>
      </c>
      <c r="E172" s="1">
        <v>24</v>
      </c>
      <c r="F172" s="1" t="s">
        <v>70</v>
      </c>
      <c r="G172" s="1" t="s">
        <v>75</v>
      </c>
      <c r="H172" s="1">
        <v>10</v>
      </c>
      <c r="I172" s="40">
        <v>16308.4004</v>
      </c>
      <c r="J172" s="25">
        <v>301716.5</v>
      </c>
      <c r="K172" s="25">
        <v>17113.835899999998</v>
      </c>
      <c r="L172" s="25">
        <v>18375.890599999999</v>
      </c>
      <c r="M172" s="25">
        <v>67187.960900000005</v>
      </c>
      <c r="O172" s="26">
        <f t="shared" si="186"/>
        <v>156.18962201257665</v>
      </c>
      <c r="P172" s="26">
        <f t="shared" si="187"/>
        <v>8.8593217818921559</v>
      </c>
      <c r="Q172" s="26">
        <f t="shared" si="188"/>
        <v>9.5126498118547058</v>
      </c>
      <c r="R172" s="26">
        <f t="shared" si="189"/>
        <v>34.781200951113981</v>
      </c>
      <c r="S172" s="26">
        <f t="shared" si="190"/>
        <v>5.0751838356104608</v>
      </c>
      <c r="W172" s="26">
        <f t="shared" si="191"/>
        <v>155.9883577767925</v>
      </c>
      <c r="X172" s="26">
        <f t="shared" si="192"/>
        <v>8.7116306653357078</v>
      </c>
      <c r="Y172" s="26">
        <f t="shared" si="193"/>
        <v>7.4085210013383822</v>
      </c>
      <c r="Z172" s="26">
        <f t="shared" si="194"/>
        <v>34.625212593337189</v>
      </c>
      <c r="AA172" s="26">
        <f t="shared" si="195"/>
        <v>5.0617082754977112</v>
      </c>
    </row>
    <row r="173" spans="1:27" ht="12.75" customHeight="1" x14ac:dyDescent="0.25">
      <c r="A173" s="1" t="s">
        <v>90</v>
      </c>
      <c r="B173" s="1" t="s">
        <v>86</v>
      </c>
      <c r="C173" s="1">
        <v>45</v>
      </c>
      <c r="D173" s="1">
        <v>25</v>
      </c>
      <c r="E173" s="1">
        <v>24</v>
      </c>
      <c r="F173" s="1" t="s">
        <v>71</v>
      </c>
      <c r="G173" s="1" t="s">
        <v>75</v>
      </c>
      <c r="H173" s="1">
        <v>10</v>
      </c>
      <c r="I173" s="40">
        <v>17230.099600000001</v>
      </c>
      <c r="J173" s="25">
        <v>203075.79699999999</v>
      </c>
      <c r="K173" s="25">
        <v>10699.704100000001</v>
      </c>
      <c r="L173" s="25">
        <v>11515.761699999999</v>
      </c>
      <c r="M173" s="25">
        <v>49706.292999999998</v>
      </c>
      <c r="O173" s="26">
        <f t="shared" si="186"/>
        <v>105.12627573676862</v>
      </c>
      <c r="P173" s="26">
        <f t="shared" si="187"/>
        <v>5.538917291647679</v>
      </c>
      <c r="Q173" s="26">
        <f t="shared" si="188"/>
        <v>5.9613659415706701</v>
      </c>
      <c r="R173" s="26">
        <f t="shared" si="189"/>
        <v>25.731463527239594</v>
      </c>
      <c r="S173" s="26">
        <f t="shared" si="190"/>
        <v>4.7492761002003672</v>
      </c>
      <c r="W173" s="26">
        <f t="shared" si="191"/>
        <v>104.97737853940914</v>
      </c>
      <c r="X173" s="26">
        <f t="shared" si="192"/>
        <v>5.4296539978266587</v>
      </c>
      <c r="Y173" s="26">
        <f t="shared" si="193"/>
        <v>4.4047114194765813</v>
      </c>
      <c r="Z173" s="26">
        <f t="shared" si="194"/>
        <v>25.626486148700184</v>
      </c>
      <c r="AA173" s="26">
        <f t="shared" si="195"/>
        <v>4.7291799694931971</v>
      </c>
    </row>
    <row r="174" spans="1:27" ht="12.75" customHeight="1" x14ac:dyDescent="0.25">
      <c r="A174" s="1" t="s">
        <v>90</v>
      </c>
      <c r="B174" s="1" t="s">
        <v>86</v>
      </c>
      <c r="C174" s="1"/>
      <c r="D174" s="1"/>
      <c r="E174" s="1"/>
      <c r="F174" s="1"/>
      <c r="G174" s="1" t="s">
        <v>116</v>
      </c>
      <c r="H174" s="1"/>
      <c r="I174" s="40">
        <v>19644.5</v>
      </c>
      <c r="J174" s="24">
        <v>1258.24609375</v>
      </c>
      <c r="K174" s="24">
        <v>1382.8830566399999</v>
      </c>
      <c r="L174" s="25">
        <v>16071.830099999999</v>
      </c>
      <c r="M174" s="25">
        <v>236947.03099999999</v>
      </c>
      <c r="O174" s="26"/>
      <c r="P174" s="26"/>
      <c r="T174" s="46">
        <f>J174/$M174</f>
        <v>5.3102420757911925E-3</v>
      </c>
      <c r="U174" s="46">
        <f t="shared" ref="U174" si="196">K174/$M174</f>
        <v>5.8362539965314021E-3</v>
      </c>
      <c r="V174" s="46">
        <f t="shared" ref="V174" si="197">L174/$M174</f>
        <v>6.7828788705100937E-2</v>
      </c>
    </row>
    <row r="175" spans="1:27" ht="12.75" customHeight="1" x14ac:dyDescent="0.25">
      <c r="A175" s="1" t="s">
        <v>90</v>
      </c>
      <c r="B175" s="1" t="s">
        <v>86</v>
      </c>
      <c r="C175" s="1">
        <v>45</v>
      </c>
      <c r="D175" s="1">
        <v>45</v>
      </c>
      <c r="E175" s="1">
        <v>24</v>
      </c>
      <c r="F175" s="1" t="s">
        <v>67</v>
      </c>
      <c r="G175" s="1" t="s">
        <v>79</v>
      </c>
      <c r="H175" s="1">
        <v>10</v>
      </c>
      <c r="I175" s="40">
        <v>20365.800800000001</v>
      </c>
      <c r="J175" s="25">
        <v>423264.18800000002</v>
      </c>
      <c r="K175" s="25">
        <v>49081.523399999998</v>
      </c>
      <c r="L175" s="25">
        <v>31283.847699999998</v>
      </c>
      <c r="M175" s="25">
        <v>150849.59400000001</v>
      </c>
      <c r="O175" s="26">
        <f t="shared" ref="O175:R180" si="198">J175/$N$153/$H175</f>
        <v>219.11123036088574</v>
      </c>
      <c r="P175" s="26">
        <f t="shared" si="198"/>
        <v>25.408038962560671</v>
      </c>
      <c r="Q175" s="26">
        <f t="shared" si="198"/>
        <v>16.194713737439006</v>
      </c>
      <c r="R175" s="26">
        <f t="shared" si="198"/>
        <v>78.090330053578953</v>
      </c>
      <c r="S175" s="26">
        <f t="shared" ref="S175:S180" si="199">P175/(O175+P175+Q175)*100</f>
        <v>9.7455605043735023</v>
      </c>
      <c r="W175" s="26">
        <f t="shared" ref="W175:W180" si="200">O175-(T$4*$R175)</f>
        <v>218.65935434250284</v>
      </c>
      <c r="X175" s="26">
        <f t="shared" ref="X175:X180" si="201">P175-(U$4*$R175)</f>
        <v>25.076444660969852</v>
      </c>
      <c r="Y175" s="26">
        <f t="shared" ref="Y175:Y180" si="202">Q175-(V$4*$R175)</f>
        <v>11.470549280915215</v>
      </c>
      <c r="Z175" s="26">
        <f t="shared" ref="Z175:Z180" si="203">R175-(0.001*W175)</f>
        <v>77.871670699236446</v>
      </c>
      <c r="AA175" s="26">
        <f t="shared" ref="AA175:AA180" si="204">X175/(W175+X175+Y175)*100</f>
        <v>9.825948621397945</v>
      </c>
    </row>
    <row r="176" spans="1:27" ht="12.75" customHeight="1" x14ac:dyDescent="0.25">
      <c r="A176" s="1" t="s">
        <v>90</v>
      </c>
      <c r="B176" s="1" t="s">
        <v>86</v>
      </c>
      <c r="C176" s="1">
        <v>45</v>
      </c>
      <c r="D176" s="1">
        <v>45</v>
      </c>
      <c r="E176" s="1">
        <v>24</v>
      </c>
      <c r="F176" s="1" t="s">
        <v>67</v>
      </c>
      <c r="G176" s="1" t="s">
        <v>79</v>
      </c>
      <c r="H176" s="1">
        <v>10</v>
      </c>
      <c r="I176" s="40">
        <v>21297</v>
      </c>
      <c r="J176" s="26">
        <v>538523</v>
      </c>
      <c r="K176" s="25">
        <v>58115.835899999998</v>
      </c>
      <c r="L176" s="25">
        <v>36693.742200000001</v>
      </c>
      <c r="M176" s="25">
        <v>152969.96900000001</v>
      </c>
      <c r="N176" s="1" t="s">
        <v>92</v>
      </c>
      <c r="O176" s="26">
        <f t="shared" si="198"/>
        <v>278.77727540614723</v>
      </c>
      <c r="P176" s="26">
        <f t="shared" si="198"/>
        <v>30.084832755801994</v>
      </c>
      <c r="Q176" s="26">
        <f t="shared" si="198"/>
        <v>18.995254566604522</v>
      </c>
      <c r="R176" s="26">
        <f t="shared" si="198"/>
        <v>79.187984871180632</v>
      </c>
      <c r="S176" s="26">
        <f t="shared" si="199"/>
        <v>9.1761955581611989</v>
      </c>
      <c r="W176" s="26">
        <f t="shared" si="200"/>
        <v>278.31904771927736</v>
      </c>
      <c r="X176" s="26">
        <f t="shared" si="201"/>
        <v>29.748577491933506</v>
      </c>
      <c r="Y176" s="26">
        <f t="shared" si="202"/>
        <v>14.204686217674485</v>
      </c>
      <c r="Z176" s="26">
        <f t="shared" si="203"/>
        <v>78.909665823461353</v>
      </c>
      <c r="AA176" s="26">
        <f t="shared" si="204"/>
        <v>9.2308822188399553</v>
      </c>
    </row>
    <row r="177" spans="1:27" ht="12.75" customHeight="1" x14ac:dyDescent="0.25">
      <c r="A177" s="1" t="s">
        <v>90</v>
      </c>
      <c r="B177" s="1" t="s">
        <v>86</v>
      </c>
      <c r="C177" s="1">
        <v>45</v>
      </c>
      <c r="D177" s="1">
        <v>45</v>
      </c>
      <c r="E177" s="1">
        <v>24</v>
      </c>
      <c r="F177" s="1" t="s">
        <v>71</v>
      </c>
      <c r="G177" s="1" t="s">
        <v>79</v>
      </c>
      <c r="H177" s="1">
        <v>10</v>
      </c>
      <c r="I177" s="40">
        <v>22215</v>
      </c>
      <c r="J177" s="25">
        <v>388134.5</v>
      </c>
      <c r="K177" s="25">
        <v>43144.6875</v>
      </c>
      <c r="L177" s="25">
        <v>28654.095700000002</v>
      </c>
      <c r="M177" s="25">
        <v>153097.46900000001</v>
      </c>
      <c r="O177" s="26">
        <f t="shared" si="198"/>
        <v>200.92563994690525</v>
      </c>
      <c r="P177" s="26">
        <f t="shared" si="198"/>
        <v>22.334716306452385</v>
      </c>
      <c r="Q177" s="26">
        <f t="shared" si="198"/>
        <v>14.833369658256007</v>
      </c>
      <c r="R177" s="26">
        <f t="shared" si="198"/>
        <v>79.253987813699865</v>
      </c>
      <c r="S177" s="26">
        <f t="shared" si="199"/>
        <v>9.3806404267635308</v>
      </c>
      <c r="W177" s="26">
        <f t="shared" si="200"/>
        <v>200.46703032866378</v>
      </c>
      <c r="X177" s="26">
        <f t="shared" si="201"/>
        <v>21.998180774852763</v>
      </c>
      <c r="Y177" s="26">
        <f t="shared" si="202"/>
        <v>10.038808385299891</v>
      </c>
      <c r="Z177" s="26">
        <f t="shared" si="203"/>
        <v>79.053520783371198</v>
      </c>
      <c r="AA177" s="26">
        <f t="shared" si="204"/>
        <v>9.461419558774935</v>
      </c>
    </row>
    <row r="178" spans="1:27" ht="12.75" customHeight="1" x14ac:dyDescent="0.25">
      <c r="A178" s="1" t="s">
        <v>90</v>
      </c>
      <c r="B178" s="1" t="s">
        <v>86</v>
      </c>
      <c r="C178" s="1">
        <v>45</v>
      </c>
      <c r="D178" s="1">
        <v>25</v>
      </c>
      <c r="E178" s="1">
        <v>24</v>
      </c>
      <c r="F178" s="1" t="s">
        <v>67</v>
      </c>
      <c r="G178" s="1" t="s">
        <v>79</v>
      </c>
      <c r="H178" s="1">
        <v>10</v>
      </c>
      <c r="I178" s="40">
        <v>23125.800800000001</v>
      </c>
      <c r="J178" s="25">
        <v>430277.90600000002</v>
      </c>
      <c r="K178" s="25">
        <v>26550.9355</v>
      </c>
      <c r="L178" s="25">
        <v>26240.703099999999</v>
      </c>
      <c r="M178" s="25">
        <v>78314.523400000005</v>
      </c>
      <c r="O178" s="26">
        <f t="shared" si="198"/>
        <v>222.74202272167082</v>
      </c>
      <c r="P178" s="26">
        <f t="shared" si="198"/>
        <v>13.744626428535739</v>
      </c>
      <c r="Q178" s="26">
        <f t="shared" si="198"/>
        <v>13.584028379400028</v>
      </c>
      <c r="R178" s="26">
        <f t="shared" si="198"/>
        <v>40.541090089342447</v>
      </c>
      <c r="S178" s="26">
        <f t="shared" si="199"/>
        <v>5.4962967127197357</v>
      </c>
      <c r="W178" s="26">
        <f t="shared" si="200"/>
        <v>222.50742842096923</v>
      </c>
      <c r="X178" s="26">
        <f t="shared" si="201"/>
        <v>13.572477143922876</v>
      </c>
      <c r="Y178" s="26">
        <f t="shared" si="202"/>
        <v>11.131448441558891</v>
      </c>
      <c r="Z178" s="26">
        <f t="shared" si="203"/>
        <v>40.318582660921479</v>
      </c>
      <c r="AA178" s="26">
        <f t="shared" si="204"/>
        <v>5.4902321127081812</v>
      </c>
    </row>
    <row r="179" spans="1:27" ht="12.75" customHeight="1" x14ac:dyDescent="0.25">
      <c r="A179" s="1" t="s">
        <v>90</v>
      </c>
      <c r="B179" s="1" t="s">
        <v>86</v>
      </c>
      <c r="C179" s="1">
        <v>45</v>
      </c>
      <c r="D179" s="1">
        <v>25</v>
      </c>
      <c r="E179" s="1">
        <v>24</v>
      </c>
      <c r="F179" s="1" t="s">
        <v>70</v>
      </c>
      <c r="G179" s="1" t="s">
        <v>79</v>
      </c>
      <c r="H179" s="1">
        <v>10</v>
      </c>
      <c r="I179" s="40">
        <v>24048.699199999999</v>
      </c>
      <c r="J179" s="25">
        <v>327582.25</v>
      </c>
      <c r="K179" s="25">
        <v>18804.8711</v>
      </c>
      <c r="L179" s="25">
        <v>20385.988300000001</v>
      </c>
      <c r="M179" s="25">
        <v>72886.375</v>
      </c>
      <c r="O179" s="26">
        <f t="shared" si="198"/>
        <v>169.57954836917898</v>
      </c>
      <c r="P179" s="26">
        <f t="shared" si="198"/>
        <v>9.734720206234087</v>
      </c>
      <c r="Q179" s="26">
        <f t="shared" si="198"/>
        <v>10.553217364412653</v>
      </c>
      <c r="R179" s="26">
        <f t="shared" si="198"/>
        <v>37.731099761255741</v>
      </c>
      <c r="S179" s="26">
        <f t="shared" si="199"/>
        <v>5.1271128166300635</v>
      </c>
      <c r="W179" s="26">
        <f t="shared" si="200"/>
        <v>169.36121430505574</v>
      </c>
      <c r="X179" s="26">
        <f t="shared" si="201"/>
        <v>9.5745029595531879</v>
      </c>
      <c r="Y179" s="26">
        <f t="shared" si="202"/>
        <v>8.2706310278537067</v>
      </c>
      <c r="Z179" s="26">
        <f t="shared" si="203"/>
        <v>37.561738546950686</v>
      </c>
      <c r="AA179" s="26">
        <f t="shared" si="204"/>
        <v>5.1144114752964702</v>
      </c>
    </row>
    <row r="180" spans="1:27" ht="12.75" customHeight="1" x14ac:dyDescent="0.25">
      <c r="C180" s="1">
        <v>45</v>
      </c>
      <c r="D180" s="1">
        <v>25</v>
      </c>
      <c r="E180" s="1">
        <v>24</v>
      </c>
      <c r="F180" s="1" t="s">
        <v>71</v>
      </c>
      <c r="G180" s="1" t="s">
        <v>79</v>
      </c>
      <c r="H180" s="1">
        <v>10</v>
      </c>
      <c r="I180" s="40">
        <v>24958.300800000001</v>
      </c>
      <c r="J180" s="25">
        <v>297199.40600000002</v>
      </c>
      <c r="K180" s="25">
        <v>17312.099600000001</v>
      </c>
      <c r="L180" s="25">
        <v>19236.285199999998</v>
      </c>
      <c r="M180" s="25">
        <v>77602.765599999999</v>
      </c>
      <c r="O180" s="26">
        <f t="shared" si="198"/>
        <v>153.85125734092205</v>
      </c>
      <c r="P180" s="26">
        <f t="shared" si="198"/>
        <v>8.9619569787137259</v>
      </c>
      <c r="Q180" s="26">
        <f t="shared" si="198"/>
        <v>9.9580504026598557</v>
      </c>
      <c r="R180" s="26">
        <f t="shared" si="198"/>
        <v>40.172634331216841</v>
      </c>
      <c r="S180" s="26">
        <f t="shared" si="199"/>
        <v>5.1871802832020437</v>
      </c>
      <c r="W180" s="26">
        <f t="shared" si="200"/>
        <v>153.61879513930134</v>
      </c>
      <c r="X180" s="26">
        <f t="shared" si="201"/>
        <v>8.7913722646398647</v>
      </c>
      <c r="Y180" s="26">
        <f t="shared" si="202"/>
        <v>7.5277606202725913</v>
      </c>
      <c r="Z180" s="26">
        <f t="shared" si="203"/>
        <v>40.019015536077539</v>
      </c>
      <c r="AA180" s="26">
        <f t="shared" si="204"/>
        <v>5.173284367329237</v>
      </c>
    </row>
    <row r="181" spans="1:27" ht="12.75" customHeight="1" x14ac:dyDescent="0.25"/>
    <row r="182" spans="1:27" ht="12.75" customHeight="1" x14ac:dyDescent="0.25"/>
    <row r="183" spans="1:27" ht="12.75" customHeight="1" x14ac:dyDescent="0.25"/>
    <row r="184" spans="1:27" ht="12.75" customHeight="1" x14ac:dyDescent="0.25"/>
    <row r="185" spans="1:27" ht="12.75" customHeight="1" x14ac:dyDescent="0.25"/>
    <row r="186" spans="1:27" ht="12.75" customHeight="1" x14ac:dyDescent="0.25"/>
    <row r="187" spans="1:27" ht="12.75" customHeight="1" x14ac:dyDescent="0.25"/>
    <row r="188" spans="1:27" ht="12.75" customHeight="1" x14ac:dyDescent="0.25"/>
    <row r="189" spans="1:27" ht="12.75" customHeight="1" x14ac:dyDescent="0.25"/>
    <row r="190" spans="1:27" ht="12.75" customHeight="1" x14ac:dyDescent="0.25"/>
    <row r="191" spans="1:27" ht="12.75" customHeight="1" x14ac:dyDescent="0.25"/>
    <row r="192" spans="1:27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spans="1:8" ht="12.75" customHeight="1" x14ac:dyDescent="0.25"/>
    <row r="226" spans="1:8" ht="12.75" customHeight="1" x14ac:dyDescent="0.25"/>
    <row r="227" spans="1:8" ht="12.75" customHeight="1" x14ac:dyDescent="0.25"/>
    <row r="228" spans="1:8" ht="12.75" customHeight="1" x14ac:dyDescent="0.25"/>
    <row r="229" spans="1:8" ht="12.75" customHeight="1" x14ac:dyDescent="0.25"/>
    <row r="230" spans="1:8" ht="12.75" customHeight="1" x14ac:dyDescent="0.25"/>
    <row r="231" spans="1:8" ht="12.75" customHeight="1" x14ac:dyDescent="0.25"/>
    <row r="232" spans="1:8" ht="12.75" customHeight="1" x14ac:dyDescent="0.25">
      <c r="A232" s="6"/>
      <c r="B232" s="6"/>
      <c r="G232" s="6"/>
      <c r="H232" s="6"/>
    </row>
    <row r="233" spans="1:8" ht="12.75" customHeight="1" x14ac:dyDescent="0.25">
      <c r="C233" s="6"/>
      <c r="D233" s="6"/>
      <c r="E233" s="6"/>
      <c r="F233" s="6"/>
    </row>
    <row r="234" spans="1:8" ht="12.75" customHeight="1" x14ac:dyDescent="0.25"/>
    <row r="235" spans="1:8" ht="12.75" customHeight="1" x14ac:dyDescent="0.25"/>
    <row r="236" spans="1:8" ht="12.75" customHeight="1" x14ac:dyDescent="0.25"/>
    <row r="237" spans="1:8" ht="12.75" customHeight="1" x14ac:dyDescent="0.25"/>
    <row r="238" spans="1:8" ht="12.75" customHeight="1" x14ac:dyDescent="0.25"/>
    <row r="239" spans="1:8" ht="12.75" customHeight="1" x14ac:dyDescent="0.25"/>
    <row r="240" spans="1:8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spans="1:8" ht="12.75" customHeight="1" x14ac:dyDescent="0.25"/>
    <row r="290" spans="1:8" ht="12.75" customHeight="1" x14ac:dyDescent="0.25"/>
    <row r="291" spans="1:8" ht="12.75" customHeight="1" x14ac:dyDescent="0.25"/>
    <row r="292" spans="1:8" ht="12.75" customHeight="1" x14ac:dyDescent="0.25"/>
    <row r="293" spans="1:8" ht="12.75" customHeight="1" x14ac:dyDescent="0.25"/>
    <row r="294" spans="1:8" ht="12.75" customHeight="1" x14ac:dyDescent="0.25"/>
    <row r="295" spans="1:8" ht="12.75" customHeight="1" x14ac:dyDescent="0.25"/>
    <row r="296" spans="1:8" ht="12.75" customHeight="1" x14ac:dyDescent="0.25"/>
    <row r="297" spans="1:8" ht="12.75" customHeight="1" x14ac:dyDescent="0.25"/>
    <row r="298" spans="1:8" ht="12.75" customHeight="1" x14ac:dyDescent="0.25"/>
    <row r="299" spans="1:8" ht="12.75" customHeight="1" x14ac:dyDescent="0.25"/>
    <row r="300" spans="1:8" ht="12.75" customHeight="1" x14ac:dyDescent="0.25"/>
    <row r="301" spans="1:8" ht="12.75" customHeight="1" x14ac:dyDescent="0.25">
      <c r="A301" s="1"/>
      <c r="B301" s="1"/>
      <c r="G301" s="1"/>
      <c r="H301" s="1"/>
    </row>
    <row r="302" spans="1:8" ht="12.75" customHeight="1" x14ac:dyDescent="0.25">
      <c r="C302" s="1"/>
      <c r="D302" s="1"/>
      <c r="E302" s="1"/>
      <c r="F302" s="1"/>
    </row>
    <row r="303" spans="1:8" ht="12.75" customHeight="1" x14ac:dyDescent="0.25"/>
    <row r="304" spans="1:8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spans="1:8" ht="12.75" customHeight="1" x14ac:dyDescent="0.25"/>
    <row r="338" spans="1:8" ht="12.75" customHeight="1" x14ac:dyDescent="0.25"/>
    <row r="339" spans="1:8" ht="12.75" customHeight="1" x14ac:dyDescent="0.25"/>
    <row r="340" spans="1:8" ht="12.75" customHeight="1" x14ac:dyDescent="0.25"/>
    <row r="341" spans="1:8" ht="12.75" customHeight="1" x14ac:dyDescent="0.25">
      <c r="A341" s="1"/>
      <c r="B341" s="1"/>
      <c r="G341" s="1"/>
      <c r="H341" s="1"/>
    </row>
    <row r="342" spans="1:8" ht="12.75" customHeight="1" x14ac:dyDescent="0.25">
      <c r="C342" s="1"/>
      <c r="D342" s="1"/>
      <c r="E342" s="1"/>
      <c r="F342" s="1"/>
    </row>
    <row r="343" spans="1:8" ht="12.75" customHeight="1" x14ac:dyDescent="0.25"/>
    <row r="344" spans="1:8" ht="12.75" customHeight="1" x14ac:dyDescent="0.25"/>
    <row r="345" spans="1:8" ht="12.75" customHeight="1" x14ac:dyDescent="0.25"/>
    <row r="346" spans="1:8" ht="12.75" customHeight="1" x14ac:dyDescent="0.25"/>
    <row r="347" spans="1:8" ht="12.75" customHeight="1" x14ac:dyDescent="0.25"/>
    <row r="348" spans="1:8" ht="12.75" customHeight="1" x14ac:dyDescent="0.25"/>
    <row r="349" spans="1:8" ht="12.75" customHeight="1" x14ac:dyDescent="0.25"/>
    <row r="350" spans="1:8" ht="12.75" customHeight="1" x14ac:dyDescent="0.25"/>
    <row r="351" spans="1:8" ht="12.75" customHeight="1" x14ac:dyDescent="0.25"/>
    <row r="352" spans="1:8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1:8" ht="12.75" customHeight="1" x14ac:dyDescent="0.25"/>
    <row r="434" spans="1:8" ht="12.75" customHeight="1" x14ac:dyDescent="0.25"/>
    <row r="435" spans="1:8" ht="12.75" customHeight="1" x14ac:dyDescent="0.25"/>
    <row r="436" spans="1:8" ht="12.75" customHeight="1" x14ac:dyDescent="0.25"/>
    <row r="437" spans="1:8" ht="12.75" customHeight="1" x14ac:dyDescent="0.25">
      <c r="A437" s="6"/>
      <c r="B437" s="6"/>
      <c r="G437" s="6"/>
      <c r="H437" s="6"/>
    </row>
    <row r="438" spans="1:8" ht="12.75" customHeight="1" x14ac:dyDescent="0.25">
      <c r="C438" s="6"/>
      <c r="D438" s="6"/>
      <c r="E438" s="6"/>
      <c r="F438" s="6"/>
    </row>
    <row r="439" spans="1:8" ht="12.75" customHeight="1" x14ac:dyDescent="0.25"/>
    <row r="440" spans="1:8" ht="12.75" customHeight="1" x14ac:dyDescent="0.25"/>
    <row r="441" spans="1:8" ht="12.75" customHeight="1" x14ac:dyDescent="0.25"/>
    <row r="442" spans="1:8" ht="12.75" customHeight="1" x14ac:dyDescent="0.25"/>
    <row r="443" spans="1:8" ht="12.75" customHeight="1" x14ac:dyDescent="0.25"/>
    <row r="444" spans="1:8" ht="12.75" customHeight="1" x14ac:dyDescent="0.25"/>
    <row r="445" spans="1:8" ht="12.75" customHeight="1" x14ac:dyDescent="0.25"/>
    <row r="446" spans="1:8" ht="12.75" customHeight="1" x14ac:dyDescent="0.25"/>
    <row r="447" spans="1:8" ht="12.75" customHeight="1" x14ac:dyDescent="0.25"/>
    <row r="448" spans="1: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spans="15:15" ht="12.75" customHeight="1" x14ac:dyDescent="0.25"/>
    <row r="466" spans="15:15" ht="12.75" customHeight="1" x14ac:dyDescent="0.25"/>
    <row r="467" spans="15:15" ht="12.75" customHeight="1" x14ac:dyDescent="0.25"/>
    <row r="468" spans="15:15" ht="12.75" customHeight="1" x14ac:dyDescent="0.25"/>
    <row r="469" spans="15:15" ht="12.75" customHeight="1" x14ac:dyDescent="0.25"/>
    <row r="470" spans="15:15" ht="12.75" customHeight="1" x14ac:dyDescent="0.25"/>
    <row r="471" spans="15:15" ht="12.75" customHeight="1" x14ac:dyDescent="0.25"/>
    <row r="472" spans="15:15" ht="12.75" customHeight="1" x14ac:dyDescent="0.25"/>
    <row r="473" spans="15:15" ht="12.75" customHeight="1" x14ac:dyDescent="0.25"/>
    <row r="474" spans="15:15" ht="12.75" customHeight="1" x14ac:dyDescent="0.25"/>
    <row r="475" spans="15:15" ht="12.75" customHeight="1" x14ac:dyDescent="0.25"/>
    <row r="476" spans="15:15" ht="12.75" customHeight="1" x14ac:dyDescent="0.25"/>
    <row r="477" spans="15:15" ht="12.75" customHeight="1" x14ac:dyDescent="0.25"/>
    <row r="478" spans="15:15" ht="12.75" customHeight="1" x14ac:dyDescent="0.25"/>
    <row r="479" spans="15:15" ht="12.75" customHeight="1" x14ac:dyDescent="0.25">
      <c r="O479" s="7"/>
    </row>
    <row r="480" spans="15:15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</sheetData>
  <autoFilter ref="B3:G1001" xr:uid="{E7CE5579-305B-F248-BC23-BD86DD169635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0741-A287-436A-BF6B-EBA8EEF9F146}">
  <dimension ref="B2:I30"/>
  <sheetViews>
    <sheetView zoomScale="85" zoomScaleNormal="85" workbookViewId="0">
      <pane xSplit="5856" ySplit="672" activePane="bottomRight"/>
      <selection activeCell="C30" sqref="C30"/>
      <selection pane="topRight" activeCell="G1" sqref="G1"/>
      <selection pane="bottomLeft" activeCell="DQ40" sqref="DQ40"/>
      <selection pane="bottomRight" activeCell="F27" sqref="F27"/>
    </sheetView>
  </sheetViews>
  <sheetFormatPr defaultRowHeight="13.2" x14ac:dyDescent="0.25"/>
  <cols>
    <col min="2" max="2" width="15.5546875" bestFit="1" customWidth="1"/>
  </cols>
  <sheetData>
    <row r="2" spans="2:9" x14ac:dyDescent="0.25">
      <c r="B2" s="34" t="s">
        <v>56</v>
      </c>
      <c r="C2" s="34" t="s">
        <v>173</v>
      </c>
      <c r="D2" s="34" t="s">
        <v>172</v>
      </c>
      <c r="E2" s="34" t="s">
        <v>175</v>
      </c>
      <c r="F2" s="34" t="s">
        <v>174</v>
      </c>
      <c r="G2" s="34" t="s">
        <v>117</v>
      </c>
      <c r="H2" s="34" t="s">
        <v>207</v>
      </c>
      <c r="I2" s="34" t="s">
        <v>208</v>
      </c>
    </row>
    <row r="3" spans="2:9" x14ac:dyDescent="0.25">
      <c r="B3" t="s">
        <v>209</v>
      </c>
      <c r="C3">
        <v>25</v>
      </c>
      <c r="D3">
        <v>45</v>
      </c>
      <c r="E3">
        <v>24</v>
      </c>
      <c r="F3" t="s">
        <v>67</v>
      </c>
      <c r="G3" t="s">
        <v>75</v>
      </c>
      <c r="H3">
        <v>12595.734033333332</v>
      </c>
      <c r="I3">
        <v>1290.8780517566665</v>
      </c>
    </row>
    <row r="4" spans="2:9" x14ac:dyDescent="0.25">
      <c r="B4" t="s">
        <v>209</v>
      </c>
      <c r="C4">
        <v>25</v>
      </c>
      <c r="D4">
        <v>25</v>
      </c>
      <c r="E4">
        <v>24</v>
      </c>
      <c r="F4" t="s">
        <v>67</v>
      </c>
      <c r="G4" t="s">
        <v>75</v>
      </c>
      <c r="H4">
        <v>10861.768050000001</v>
      </c>
      <c r="I4">
        <v>1209.6561279299999</v>
      </c>
    </row>
    <row r="5" spans="2:9" x14ac:dyDescent="0.25">
      <c r="B5" t="s">
        <v>209</v>
      </c>
      <c r="C5">
        <v>25</v>
      </c>
      <c r="D5">
        <v>45</v>
      </c>
      <c r="E5">
        <v>24</v>
      </c>
      <c r="F5" t="s">
        <v>70</v>
      </c>
      <c r="G5" t="s">
        <v>75</v>
      </c>
      <c r="H5">
        <v>13250.49215</v>
      </c>
      <c r="I5">
        <v>1193.6931152350001</v>
      </c>
    </row>
    <row r="6" spans="2:9" x14ac:dyDescent="0.25">
      <c r="B6" t="s">
        <v>209</v>
      </c>
      <c r="C6">
        <v>25</v>
      </c>
      <c r="D6">
        <v>25</v>
      </c>
      <c r="E6">
        <v>24</v>
      </c>
      <c r="F6" t="s">
        <v>70</v>
      </c>
      <c r="G6" t="s">
        <v>75</v>
      </c>
      <c r="H6">
        <v>11289.922849999999</v>
      </c>
      <c r="I6">
        <v>1218.9013061549999</v>
      </c>
    </row>
    <row r="7" spans="2:9" x14ac:dyDescent="0.25">
      <c r="B7" t="s">
        <v>209</v>
      </c>
      <c r="C7">
        <v>25</v>
      </c>
      <c r="D7">
        <v>45</v>
      </c>
      <c r="E7">
        <v>24</v>
      </c>
      <c r="F7" t="s">
        <v>71</v>
      </c>
      <c r="G7" t="s">
        <v>75</v>
      </c>
      <c r="H7">
        <v>12083.34035</v>
      </c>
      <c r="I7">
        <v>1242.9143066400002</v>
      </c>
    </row>
    <row r="8" spans="2:9" x14ac:dyDescent="0.25">
      <c r="B8" t="s">
        <v>209</v>
      </c>
      <c r="C8">
        <v>25</v>
      </c>
      <c r="D8">
        <v>25</v>
      </c>
      <c r="E8">
        <v>24</v>
      </c>
      <c r="F8" t="s">
        <v>71</v>
      </c>
      <c r="G8" t="s">
        <v>75</v>
      </c>
      <c r="H8">
        <v>11149.327150000001</v>
      </c>
      <c r="I8">
        <v>1104.6970825200001</v>
      </c>
    </row>
    <row r="10" spans="2:9" x14ac:dyDescent="0.25">
      <c r="B10" t="s">
        <v>209</v>
      </c>
      <c r="C10">
        <v>45</v>
      </c>
      <c r="D10">
        <v>45</v>
      </c>
      <c r="E10">
        <v>24</v>
      </c>
      <c r="F10" t="s">
        <v>67</v>
      </c>
      <c r="G10" t="s">
        <v>75</v>
      </c>
      <c r="H10">
        <v>15579.173799999999</v>
      </c>
      <c r="I10">
        <v>1129.2804768866665</v>
      </c>
    </row>
    <row r="11" spans="2:9" x14ac:dyDescent="0.25">
      <c r="B11" t="s">
        <v>209</v>
      </c>
      <c r="C11">
        <v>45</v>
      </c>
      <c r="D11">
        <v>45</v>
      </c>
      <c r="E11">
        <v>24</v>
      </c>
      <c r="F11" t="s">
        <v>70</v>
      </c>
      <c r="G11" t="s">
        <v>75</v>
      </c>
      <c r="H11">
        <v>14839.1567</v>
      </c>
      <c r="I11">
        <v>1396.8576660149999</v>
      </c>
    </row>
    <row r="12" spans="2:9" x14ac:dyDescent="0.25">
      <c r="B12" t="s">
        <v>209</v>
      </c>
      <c r="C12">
        <v>45</v>
      </c>
      <c r="D12">
        <v>45</v>
      </c>
      <c r="E12">
        <v>24</v>
      </c>
      <c r="F12" t="s">
        <v>71</v>
      </c>
      <c r="G12" t="s">
        <v>75</v>
      </c>
      <c r="H12">
        <v>14785.8613</v>
      </c>
      <c r="I12">
        <v>1302.5833129900002</v>
      </c>
    </row>
    <row r="13" spans="2:9" x14ac:dyDescent="0.25">
      <c r="B13" t="s">
        <v>209</v>
      </c>
      <c r="C13">
        <v>45</v>
      </c>
      <c r="D13">
        <v>25</v>
      </c>
      <c r="E13">
        <v>24</v>
      </c>
      <c r="F13" t="s">
        <v>67</v>
      </c>
      <c r="G13" t="s">
        <v>75</v>
      </c>
      <c r="H13">
        <v>11055.041499999999</v>
      </c>
      <c r="I13">
        <v>938.23379516499995</v>
      </c>
    </row>
    <row r="14" spans="2:9" x14ac:dyDescent="0.25">
      <c r="B14" t="s">
        <v>209</v>
      </c>
      <c r="C14">
        <v>45</v>
      </c>
      <c r="D14">
        <v>25</v>
      </c>
      <c r="E14">
        <v>24</v>
      </c>
      <c r="F14" t="s">
        <v>70</v>
      </c>
      <c r="G14" t="s">
        <v>75</v>
      </c>
      <c r="H14">
        <v>11210.772000000001</v>
      </c>
      <c r="I14">
        <v>937.63137816999995</v>
      </c>
    </row>
    <row r="15" spans="2:9" x14ac:dyDescent="0.25">
      <c r="B15" t="s">
        <v>209</v>
      </c>
      <c r="C15">
        <v>45</v>
      </c>
      <c r="D15">
        <v>25</v>
      </c>
      <c r="E15">
        <v>24</v>
      </c>
      <c r="F15" t="s">
        <v>71</v>
      </c>
      <c r="G15" t="s">
        <v>75</v>
      </c>
      <c r="H15">
        <v>10342.08787578</v>
      </c>
      <c r="I15">
        <v>979.09246826000003</v>
      </c>
    </row>
    <row r="18" spans="2:9" x14ac:dyDescent="0.25">
      <c r="B18" t="s">
        <v>210</v>
      </c>
      <c r="C18">
        <v>25</v>
      </c>
      <c r="D18">
        <v>25</v>
      </c>
      <c r="E18">
        <v>24</v>
      </c>
      <c r="F18" t="s">
        <v>67</v>
      </c>
      <c r="G18" t="s">
        <v>75</v>
      </c>
      <c r="H18">
        <v>11112.8148</v>
      </c>
      <c r="I18">
        <v>1424.3772379566699</v>
      </c>
    </row>
    <row r="19" spans="2:9" x14ac:dyDescent="0.25">
      <c r="B19" t="s">
        <v>210</v>
      </c>
      <c r="C19">
        <v>25</v>
      </c>
      <c r="D19">
        <v>25</v>
      </c>
      <c r="E19">
        <v>24</v>
      </c>
      <c r="F19" t="s">
        <v>70</v>
      </c>
      <c r="G19" t="s">
        <v>75</v>
      </c>
      <c r="H19">
        <v>10584.578100000001</v>
      </c>
      <c r="I19">
        <v>1452.3316040049999</v>
      </c>
    </row>
    <row r="20" spans="2:9" x14ac:dyDescent="0.25">
      <c r="B20" t="s">
        <v>210</v>
      </c>
      <c r="C20">
        <v>25</v>
      </c>
      <c r="D20">
        <v>25</v>
      </c>
      <c r="E20">
        <v>24</v>
      </c>
      <c r="F20" t="s">
        <v>71</v>
      </c>
      <c r="G20" t="s">
        <v>75</v>
      </c>
      <c r="H20">
        <v>10693.82375</v>
      </c>
      <c r="I20">
        <v>1430.6373901349998</v>
      </c>
    </row>
    <row r="21" spans="2:9" x14ac:dyDescent="0.25">
      <c r="B21" t="s">
        <v>210</v>
      </c>
      <c r="C21">
        <v>25</v>
      </c>
      <c r="D21">
        <v>45</v>
      </c>
      <c r="E21">
        <v>24</v>
      </c>
      <c r="F21" t="s">
        <v>67</v>
      </c>
      <c r="G21" t="s">
        <v>75</v>
      </c>
      <c r="H21">
        <v>11745.994650000001</v>
      </c>
      <c r="I21">
        <v>1430.6373901349998</v>
      </c>
    </row>
    <row r="22" spans="2:9" x14ac:dyDescent="0.25">
      <c r="B22" t="s">
        <v>210</v>
      </c>
      <c r="C22">
        <v>25</v>
      </c>
      <c r="D22">
        <v>45</v>
      </c>
      <c r="E22">
        <v>24</v>
      </c>
      <c r="F22" t="s">
        <v>70</v>
      </c>
      <c r="G22" t="s">
        <v>75</v>
      </c>
      <c r="H22">
        <v>12685.0054</v>
      </c>
      <c r="I22">
        <v>1407.5532836899999</v>
      </c>
    </row>
    <row r="23" spans="2:9" x14ac:dyDescent="0.25">
      <c r="B23" t="s">
        <v>210</v>
      </c>
      <c r="C23">
        <v>25</v>
      </c>
      <c r="D23">
        <v>45</v>
      </c>
      <c r="E23">
        <v>24</v>
      </c>
      <c r="F23" t="s">
        <v>71</v>
      </c>
      <c r="G23" t="s">
        <v>75</v>
      </c>
      <c r="H23">
        <v>12869.210449999999</v>
      </c>
      <c r="I23">
        <v>1419.5045166049999</v>
      </c>
    </row>
    <row r="25" spans="2:9" x14ac:dyDescent="0.25">
      <c r="B25" t="s">
        <v>210</v>
      </c>
      <c r="C25">
        <v>45</v>
      </c>
      <c r="D25">
        <v>45</v>
      </c>
      <c r="E25">
        <v>24</v>
      </c>
      <c r="F25" t="s">
        <v>67</v>
      </c>
      <c r="G25" t="s">
        <v>75</v>
      </c>
      <c r="H25">
        <v>15019.968433333333</v>
      </c>
      <c r="I25">
        <v>1447.1270345066666</v>
      </c>
    </row>
    <row r="26" spans="2:9" x14ac:dyDescent="0.25">
      <c r="B26" t="s">
        <v>210</v>
      </c>
      <c r="C26">
        <v>45</v>
      </c>
      <c r="D26">
        <v>45</v>
      </c>
      <c r="E26">
        <v>24</v>
      </c>
      <c r="F26" t="s">
        <v>70</v>
      </c>
      <c r="G26" t="s">
        <v>75</v>
      </c>
      <c r="H26">
        <v>14806.30955</v>
      </c>
      <c r="I26">
        <v>1479.7259521450001</v>
      </c>
    </row>
    <row r="27" spans="2:9" x14ac:dyDescent="0.25">
      <c r="B27" t="s">
        <v>210</v>
      </c>
      <c r="C27">
        <v>45</v>
      </c>
      <c r="D27">
        <v>45</v>
      </c>
      <c r="E27">
        <v>24</v>
      </c>
      <c r="F27" t="s">
        <v>71</v>
      </c>
      <c r="G27" t="s">
        <v>75</v>
      </c>
      <c r="H27">
        <v>15279.0664</v>
      </c>
      <c r="I27">
        <v>1523.6235351599998</v>
      </c>
    </row>
    <row r="28" spans="2:9" x14ac:dyDescent="0.25">
      <c r="B28" t="s">
        <v>210</v>
      </c>
      <c r="C28">
        <v>45</v>
      </c>
      <c r="D28">
        <v>25</v>
      </c>
      <c r="E28">
        <v>24</v>
      </c>
      <c r="F28" t="s">
        <v>67</v>
      </c>
      <c r="G28" t="s">
        <v>75</v>
      </c>
      <c r="H28">
        <v>9842.5673757799996</v>
      </c>
      <c r="I28">
        <v>1328.5277099599998</v>
      </c>
    </row>
    <row r="29" spans="2:9" x14ac:dyDescent="0.25">
      <c r="B29" t="s">
        <v>210</v>
      </c>
      <c r="C29">
        <v>45</v>
      </c>
      <c r="D29">
        <v>25</v>
      </c>
      <c r="E29">
        <v>24</v>
      </c>
      <c r="F29" t="s">
        <v>70</v>
      </c>
      <c r="G29" t="s">
        <v>75</v>
      </c>
      <c r="H29">
        <v>9871.5458796900002</v>
      </c>
      <c r="I29">
        <v>1410.9929809549999</v>
      </c>
    </row>
    <row r="30" spans="2:9" x14ac:dyDescent="0.25">
      <c r="B30" t="s">
        <v>210</v>
      </c>
      <c r="C30">
        <v>45</v>
      </c>
      <c r="D30">
        <v>25</v>
      </c>
      <c r="E30">
        <v>24</v>
      </c>
      <c r="F30" t="s">
        <v>71</v>
      </c>
      <c r="G30" t="s">
        <v>75</v>
      </c>
      <c r="H30">
        <v>9938.1342570300003</v>
      </c>
      <c r="I30">
        <v>1392.918945315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7"/>
  <sheetViews>
    <sheetView zoomScale="85" zoomScaleNormal="85" workbookViewId="0">
      <selection activeCell="E18" sqref="E18"/>
    </sheetView>
  </sheetViews>
  <sheetFormatPr defaultColWidth="12.6640625" defaultRowHeight="15" customHeight="1" x14ac:dyDescent="0.25"/>
  <sheetData>
    <row r="1" spans="1:9" ht="15" customHeight="1" x14ac:dyDescent="0.3">
      <c r="A1" s="11" t="s">
        <v>117</v>
      </c>
      <c r="B1" s="32" t="s">
        <v>185</v>
      </c>
      <c r="C1" s="32" t="s">
        <v>186</v>
      </c>
      <c r="D1" s="32" t="s">
        <v>187</v>
      </c>
      <c r="E1" s="32" t="s">
        <v>188</v>
      </c>
      <c r="F1" s="32" t="s">
        <v>189</v>
      </c>
      <c r="G1" s="11" t="s">
        <v>118</v>
      </c>
      <c r="H1" s="11" t="s">
        <v>119</v>
      </c>
      <c r="I1" s="11" t="s">
        <v>120</v>
      </c>
    </row>
    <row r="2" spans="1:9" ht="15" customHeight="1" x14ac:dyDescent="0.3">
      <c r="A2" s="11" t="s">
        <v>150</v>
      </c>
      <c r="B2" s="1" t="s">
        <v>190</v>
      </c>
      <c r="C2" s="53">
        <v>25</v>
      </c>
      <c r="D2" s="1"/>
      <c r="E2" s="53">
        <v>0</v>
      </c>
      <c r="F2" s="1" t="s">
        <v>67</v>
      </c>
      <c r="G2" s="12">
        <v>0.18717966836088878</v>
      </c>
      <c r="H2" s="12">
        <v>2.0867519619871084E-3</v>
      </c>
      <c r="I2" s="12">
        <v>0.18926642032287588</v>
      </c>
    </row>
    <row r="3" spans="1:9" ht="15" customHeight="1" x14ac:dyDescent="0.3">
      <c r="A3" s="11" t="s">
        <v>156</v>
      </c>
      <c r="B3" s="1" t="s">
        <v>190</v>
      </c>
      <c r="C3" s="53">
        <v>25</v>
      </c>
      <c r="D3" s="1"/>
      <c r="E3" s="53">
        <v>0</v>
      </c>
      <c r="F3" s="1" t="s">
        <v>70</v>
      </c>
      <c r="G3" s="12">
        <v>0.19048718914918891</v>
      </c>
      <c r="H3" s="12">
        <v>2.1256849915288895E-3</v>
      </c>
      <c r="I3" s="12">
        <v>0.19261287414071782</v>
      </c>
    </row>
    <row r="4" spans="1:9" ht="15" customHeight="1" x14ac:dyDescent="0.3">
      <c r="A4" s="11" t="s">
        <v>148</v>
      </c>
      <c r="B4" s="1" t="s">
        <v>190</v>
      </c>
      <c r="C4" s="53">
        <v>25</v>
      </c>
      <c r="D4" s="1"/>
      <c r="E4" s="53">
        <v>0</v>
      </c>
      <c r="F4" s="1" t="s">
        <v>71</v>
      </c>
      <c r="G4" s="12">
        <v>0.21248676754104107</v>
      </c>
      <c r="H4" s="12">
        <v>2.3544390566882828E-3</v>
      </c>
      <c r="I4" s="12">
        <v>0.21484120659772935</v>
      </c>
    </row>
    <row r="5" spans="1:9" ht="15" customHeight="1" x14ac:dyDescent="0.3">
      <c r="A5" s="11" t="s">
        <v>151</v>
      </c>
      <c r="B5" s="1" t="s">
        <v>190</v>
      </c>
      <c r="C5" s="53">
        <v>25</v>
      </c>
      <c r="D5" s="53">
        <v>25</v>
      </c>
      <c r="E5" s="53">
        <v>24</v>
      </c>
      <c r="F5" s="1" t="s">
        <v>67</v>
      </c>
      <c r="G5" s="12">
        <v>0.15626372319915874</v>
      </c>
      <c r="H5" s="12">
        <v>6.1812428190298144E-3</v>
      </c>
      <c r="I5" s="12">
        <v>0.16244496601818856</v>
      </c>
    </row>
    <row r="6" spans="1:9" ht="15" customHeight="1" x14ac:dyDescent="0.3">
      <c r="A6" s="11" t="s">
        <v>149</v>
      </c>
      <c r="B6" s="1" t="s">
        <v>190</v>
      </c>
      <c r="C6" s="53">
        <v>25</v>
      </c>
      <c r="D6" s="53">
        <v>25</v>
      </c>
      <c r="E6" s="53">
        <v>24</v>
      </c>
      <c r="F6" s="1" t="s">
        <v>70</v>
      </c>
      <c r="G6" s="12">
        <v>0.14994669139841482</v>
      </c>
      <c r="H6" s="12">
        <v>5.4901345640785961E-3</v>
      </c>
      <c r="I6" s="12">
        <v>0.15543682596249342</v>
      </c>
    </row>
    <row r="7" spans="1:9" ht="15" customHeight="1" x14ac:dyDescent="0.3">
      <c r="A7" s="11" t="s">
        <v>152</v>
      </c>
      <c r="B7" s="1" t="s">
        <v>190</v>
      </c>
      <c r="C7" s="53">
        <v>25</v>
      </c>
      <c r="D7" s="53">
        <v>25</v>
      </c>
      <c r="E7" s="53">
        <v>24</v>
      </c>
      <c r="F7" s="1" t="s">
        <v>71</v>
      </c>
      <c r="G7" s="12">
        <v>0.18213912387295281</v>
      </c>
      <c r="H7" s="12">
        <v>7.1342369184631263E-3</v>
      </c>
      <c r="I7" s="12">
        <v>0.18927336079141593</v>
      </c>
    </row>
    <row r="8" spans="1:9" ht="15" customHeight="1" x14ac:dyDescent="0.3">
      <c r="A8" s="11" t="s">
        <v>154</v>
      </c>
      <c r="B8" s="1" t="s">
        <v>190</v>
      </c>
      <c r="C8" s="53">
        <v>25</v>
      </c>
      <c r="D8" s="53">
        <v>45</v>
      </c>
      <c r="E8" s="53">
        <v>24</v>
      </c>
      <c r="F8" s="1" t="s">
        <v>67</v>
      </c>
      <c r="G8" s="12">
        <v>0.13531689743140349</v>
      </c>
      <c r="H8" s="12">
        <v>3.2849525812545031E-3</v>
      </c>
      <c r="I8" s="12">
        <v>0.13860185001265798</v>
      </c>
    </row>
    <row r="9" spans="1:9" ht="15" customHeight="1" x14ac:dyDescent="0.3">
      <c r="A9" s="11" t="s">
        <v>155</v>
      </c>
      <c r="B9" s="1" t="s">
        <v>190</v>
      </c>
      <c r="C9" s="53">
        <v>25</v>
      </c>
      <c r="D9" s="53">
        <v>45</v>
      </c>
      <c r="E9" s="53">
        <v>24</v>
      </c>
      <c r="F9" s="1" t="s">
        <v>70</v>
      </c>
      <c r="G9" s="12">
        <v>0.212248562832272</v>
      </c>
      <c r="H9" s="12">
        <v>4.7012541138439371E-3</v>
      </c>
      <c r="I9" s="12">
        <v>0.21694981694611595</v>
      </c>
    </row>
    <row r="10" spans="1:9" ht="15" customHeight="1" x14ac:dyDescent="0.3">
      <c r="A10" s="11" t="s">
        <v>153</v>
      </c>
      <c r="B10" s="1" t="s">
        <v>190</v>
      </c>
      <c r="C10" s="53">
        <v>25</v>
      </c>
      <c r="D10" s="53">
        <v>45</v>
      </c>
      <c r="E10" s="53">
        <v>24</v>
      </c>
      <c r="F10" s="1" t="s">
        <v>71</v>
      </c>
      <c r="G10" s="12">
        <v>0.17294234971081382</v>
      </c>
      <c r="H10" s="12">
        <v>5.2771640279644016E-3</v>
      </c>
      <c r="I10" s="12">
        <v>0.17821951373877823</v>
      </c>
    </row>
    <row r="11" spans="1:9" ht="15" customHeight="1" x14ac:dyDescent="0.3">
      <c r="A11" s="11" t="s">
        <v>147</v>
      </c>
      <c r="B11" s="1" t="s">
        <v>190</v>
      </c>
      <c r="C11" s="53">
        <v>45</v>
      </c>
      <c r="D11" s="1"/>
      <c r="E11" s="53">
        <v>0</v>
      </c>
      <c r="F11" s="1" t="s">
        <v>67</v>
      </c>
      <c r="G11" s="12">
        <v>0.30709328348036069</v>
      </c>
      <c r="H11" s="12">
        <v>3.4139578586590328E-3</v>
      </c>
      <c r="I11" s="12">
        <v>0.31050724133901975</v>
      </c>
    </row>
    <row r="12" spans="1:9" ht="15" customHeight="1" x14ac:dyDescent="0.3">
      <c r="A12" s="11" t="s">
        <v>157</v>
      </c>
      <c r="B12" s="1" t="s">
        <v>190</v>
      </c>
      <c r="C12" s="53">
        <v>45</v>
      </c>
      <c r="D12" s="1"/>
      <c r="E12" s="53">
        <v>0</v>
      </c>
      <c r="F12" s="1" t="s">
        <v>70</v>
      </c>
      <c r="G12" s="12">
        <v>0.27803772078440536</v>
      </c>
      <c r="H12" s="12">
        <v>3.0772945025413336E-3</v>
      </c>
      <c r="I12" s="12">
        <v>0.28111501528694671</v>
      </c>
    </row>
    <row r="13" spans="1:9" ht="15" customHeight="1" x14ac:dyDescent="0.3">
      <c r="A13" s="11" t="s">
        <v>142</v>
      </c>
      <c r="B13" s="1" t="s">
        <v>190</v>
      </c>
      <c r="C13" s="53">
        <v>45</v>
      </c>
      <c r="D13" s="1"/>
      <c r="E13" s="53">
        <v>0</v>
      </c>
      <c r="F13" s="1" t="s">
        <v>71</v>
      </c>
      <c r="G13" s="12">
        <v>0.34106410488598082</v>
      </c>
      <c r="H13" s="12">
        <v>3.7899417732858171E-3</v>
      </c>
      <c r="I13" s="12">
        <v>0.34485404665926667</v>
      </c>
    </row>
    <row r="14" spans="1:9" ht="15" customHeight="1" x14ac:dyDescent="0.3">
      <c r="A14" s="11" t="s">
        <v>136</v>
      </c>
      <c r="B14" s="1" t="s">
        <v>190</v>
      </c>
      <c r="C14" s="53">
        <v>45</v>
      </c>
      <c r="D14" s="53">
        <v>25</v>
      </c>
      <c r="E14" s="53">
        <v>24</v>
      </c>
      <c r="F14" s="1" t="s">
        <v>67</v>
      </c>
      <c r="G14" s="12">
        <v>0.18093044147144166</v>
      </c>
      <c r="H14" s="12">
        <v>6.7047817958754453E-3</v>
      </c>
      <c r="I14" s="12">
        <v>0.1876352232673171</v>
      </c>
    </row>
    <row r="15" spans="1:9" ht="15" customHeight="1" x14ac:dyDescent="0.3">
      <c r="A15" s="11" t="s">
        <v>137</v>
      </c>
      <c r="B15" s="1" t="s">
        <v>190</v>
      </c>
      <c r="C15" s="53">
        <v>45</v>
      </c>
      <c r="D15" s="53">
        <v>25</v>
      </c>
      <c r="E15" s="53">
        <v>24</v>
      </c>
      <c r="F15" s="1" t="s">
        <v>70</v>
      </c>
      <c r="G15" s="12">
        <v>0.22813620961617107</v>
      </c>
      <c r="H15" s="12">
        <v>9.341112149714708E-3</v>
      </c>
      <c r="I15" s="12">
        <v>0.23747732176588576</v>
      </c>
    </row>
    <row r="16" spans="1:9" ht="15" customHeight="1" x14ac:dyDescent="0.3">
      <c r="A16" s="11" t="s">
        <v>134</v>
      </c>
      <c r="B16" s="1" t="s">
        <v>190</v>
      </c>
      <c r="C16" s="53">
        <v>45</v>
      </c>
      <c r="D16" s="53">
        <v>25</v>
      </c>
      <c r="E16" s="53">
        <v>24</v>
      </c>
      <c r="F16" s="1" t="s">
        <v>71</v>
      </c>
      <c r="G16" s="12">
        <v>0.17527567135985667</v>
      </c>
      <c r="H16" s="12">
        <v>7.0405376720998622E-3</v>
      </c>
      <c r="I16" s="12">
        <v>0.18231620903195653</v>
      </c>
    </row>
    <row r="17" spans="1:9" ht="15" customHeight="1" x14ac:dyDescent="0.3">
      <c r="A17" s="11" t="s">
        <v>146</v>
      </c>
      <c r="B17" s="1" t="s">
        <v>190</v>
      </c>
      <c r="C17" s="53">
        <v>45</v>
      </c>
      <c r="D17" s="53">
        <v>45</v>
      </c>
      <c r="E17" s="53">
        <v>24</v>
      </c>
      <c r="F17" s="1" t="s">
        <v>67</v>
      </c>
      <c r="G17" s="12">
        <v>0.23998114642363344</v>
      </c>
      <c r="H17" s="12">
        <v>7.3134534867870154E-3</v>
      </c>
      <c r="I17" s="12">
        <v>0.24729459991042047</v>
      </c>
    </row>
    <row r="18" spans="1:9" ht="16.05" customHeight="1" x14ac:dyDescent="0.3">
      <c r="A18" s="11" t="s">
        <v>135</v>
      </c>
      <c r="B18" s="1" t="s">
        <v>190</v>
      </c>
      <c r="C18" s="53">
        <v>45</v>
      </c>
      <c r="D18" s="53">
        <v>45</v>
      </c>
      <c r="E18" s="53">
        <v>24</v>
      </c>
      <c r="F18" s="1" t="s">
        <v>70</v>
      </c>
      <c r="G18" s="12">
        <v>0.23280848863702749</v>
      </c>
      <c r="H18" s="12">
        <v>7.4848308698954253E-3</v>
      </c>
      <c r="I18" s="12">
        <v>0.24029331950692293</v>
      </c>
    </row>
    <row r="19" spans="1:9" ht="16.05" customHeight="1" x14ac:dyDescent="0.3">
      <c r="A19" s="11" t="s">
        <v>140</v>
      </c>
      <c r="B19" s="54" t="s">
        <v>190</v>
      </c>
      <c r="C19" s="55">
        <v>45</v>
      </c>
      <c r="D19" s="55">
        <v>45</v>
      </c>
      <c r="E19" s="55">
        <v>24</v>
      </c>
      <c r="F19" s="54" t="s">
        <v>71</v>
      </c>
      <c r="G19" s="88">
        <v>0.17061539794745964</v>
      </c>
      <c r="H19" s="88">
        <v>1.8715175945940683E-3</v>
      </c>
      <c r="I19" s="12">
        <v>0.1724869155420537</v>
      </c>
    </row>
    <row r="20" spans="1:9" ht="16.05" customHeight="1" x14ac:dyDescent="0.3">
      <c r="A20" s="11" t="s">
        <v>138</v>
      </c>
      <c r="B20" s="1" t="s">
        <v>86</v>
      </c>
      <c r="C20" s="53">
        <v>25</v>
      </c>
      <c r="D20" s="1"/>
      <c r="E20" s="53">
        <v>0</v>
      </c>
      <c r="F20" s="1" t="s">
        <v>67</v>
      </c>
      <c r="G20" s="12">
        <v>0.22798856886915542</v>
      </c>
      <c r="H20" s="12">
        <v>2.5191982629354831E-3</v>
      </c>
      <c r="I20" s="12">
        <v>0.2305077671320909</v>
      </c>
    </row>
    <row r="21" spans="1:9" ht="15" customHeight="1" x14ac:dyDescent="0.3">
      <c r="A21" s="11" t="s">
        <v>133</v>
      </c>
      <c r="B21" s="1" t="s">
        <v>86</v>
      </c>
      <c r="C21" s="53">
        <v>25</v>
      </c>
      <c r="D21" s="1"/>
      <c r="E21" s="53">
        <v>0</v>
      </c>
      <c r="F21" s="1" t="s">
        <v>70</v>
      </c>
      <c r="G21" s="12">
        <v>0.19784473720083348</v>
      </c>
      <c r="H21" s="12">
        <v>2.1640454908375688E-3</v>
      </c>
      <c r="I21" s="12">
        <v>0.20000878269167105</v>
      </c>
    </row>
    <row r="22" spans="1:9" ht="15" customHeight="1" x14ac:dyDescent="0.3">
      <c r="A22" s="11" t="s">
        <v>141</v>
      </c>
      <c r="B22" s="1" t="s">
        <v>86</v>
      </c>
      <c r="C22" s="53">
        <v>25</v>
      </c>
      <c r="D22" s="1"/>
      <c r="E22" s="53">
        <v>0</v>
      </c>
      <c r="F22" s="1" t="s">
        <v>71</v>
      </c>
      <c r="G22" s="12">
        <v>0.22016192673949875</v>
      </c>
      <c r="H22" s="12">
        <v>6.3955502327121185E-3</v>
      </c>
      <c r="I22" s="12">
        <v>0.22655747697221087</v>
      </c>
    </row>
    <row r="23" spans="1:9" ht="15" customHeight="1" x14ac:dyDescent="0.3">
      <c r="A23" s="11" t="s">
        <v>143</v>
      </c>
      <c r="B23" s="1" t="s">
        <v>86</v>
      </c>
      <c r="C23" s="53">
        <v>25</v>
      </c>
      <c r="D23" s="53">
        <v>25</v>
      </c>
      <c r="E23" s="53">
        <v>24</v>
      </c>
      <c r="F23" s="1" t="s">
        <v>67</v>
      </c>
      <c r="G23" s="12">
        <v>0.15993076863157485</v>
      </c>
      <c r="H23" s="12">
        <v>3.4559249089599034E-3</v>
      </c>
      <c r="I23" s="12">
        <v>0.16338669354053476</v>
      </c>
    </row>
    <row r="24" spans="1:9" ht="15" customHeight="1" x14ac:dyDescent="0.3">
      <c r="A24" s="11" t="s">
        <v>144</v>
      </c>
      <c r="B24" s="1" t="s">
        <v>86</v>
      </c>
      <c r="C24" s="53">
        <v>25</v>
      </c>
      <c r="D24" s="53">
        <v>25</v>
      </c>
      <c r="E24" s="53">
        <v>24</v>
      </c>
      <c r="F24" s="1" t="s">
        <v>70</v>
      </c>
      <c r="G24" s="12">
        <v>0.1478351911355183</v>
      </c>
      <c r="H24" s="12">
        <v>3.181312924772643E-3</v>
      </c>
      <c r="I24" s="12">
        <v>0.15101650406029093</v>
      </c>
    </row>
    <row r="25" spans="1:9" ht="15" customHeight="1" x14ac:dyDescent="0.3">
      <c r="A25" s="11" t="s">
        <v>127</v>
      </c>
      <c r="B25" s="1" t="s">
        <v>86</v>
      </c>
      <c r="C25" s="53">
        <v>25</v>
      </c>
      <c r="D25" s="53">
        <v>25</v>
      </c>
      <c r="E25" s="53">
        <v>24</v>
      </c>
      <c r="F25" s="1" t="s">
        <v>71</v>
      </c>
      <c r="G25" s="12">
        <v>0.15966484002258963</v>
      </c>
      <c r="H25" s="12">
        <v>3.4897616404743819E-3</v>
      </c>
      <c r="I25" s="12">
        <v>0.163154601663064</v>
      </c>
    </row>
    <row r="26" spans="1:9" ht="15" customHeight="1" x14ac:dyDescent="0.3">
      <c r="A26" s="11" t="s">
        <v>145</v>
      </c>
      <c r="B26" s="1" t="s">
        <v>86</v>
      </c>
      <c r="C26" s="53">
        <v>25</v>
      </c>
      <c r="D26" s="53">
        <v>45</v>
      </c>
      <c r="E26" s="53">
        <v>24</v>
      </c>
      <c r="F26" s="1" t="s">
        <v>67</v>
      </c>
      <c r="G26" s="12">
        <v>0.14810473797978616</v>
      </c>
      <c r="H26" s="12">
        <v>2.5679129909836223E-3</v>
      </c>
      <c r="I26" s="12">
        <v>0.15067265097076979</v>
      </c>
    </row>
    <row r="27" spans="1:9" ht="15" customHeight="1" x14ac:dyDescent="0.3">
      <c r="A27" s="11" t="s">
        <v>139</v>
      </c>
      <c r="B27" s="1" t="s">
        <v>86</v>
      </c>
      <c r="C27" s="53">
        <v>25</v>
      </c>
      <c r="D27" s="53">
        <v>45</v>
      </c>
      <c r="E27" s="53">
        <v>24</v>
      </c>
      <c r="F27" s="1" t="s">
        <v>70</v>
      </c>
      <c r="G27" s="12">
        <v>0.18226410585967168</v>
      </c>
      <c r="H27" s="12">
        <v>2.8565500185001266E-3</v>
      </c>
      <c r="I27" s="12">
        <v>0.18512065587817181</v>
      </c>
    </row>
    <row r="28" spans="1:9" ht="15" customHeight="1" x14ac:dyDescent="0.3">
      <c r="A28" s="11" t="s">
        <v>121</v>
      </c>
      <c r="B28" s="1" t="s">
        <v>86</v>
      </c>
      <c r="C28" s="53">
        <v>25</v>
      </c>
      <c r="D28" s="53">
        <v>45</v>
      </c>
      <c r="E28" s="53">
        <v>24</v>
      </c>
      <c r="F28" s="1" t="s">
        <v>71</v>
      </c>
      <c r="G28" s="12">
        <v>0.16278531966271348</v>
      </c>
      <c r="H28" s="12">
        <v>3.0498276567155458E-3</v>
      </c>
      <c r="I28" s="12">
        <v>0.16583514731942903</v>
      </c>
    </row>
    <row r="29" spans="1:9" ht="15" customHeight="1" x14ac:dyDescent="0.3">
      <c r="A29" s="11" t="s">
        <v>132</v>
      </c>
      <c r="B29" s="1" t="s">
        <v>86</v>
      </c>
      <c r="C29" s="53">
        <v>45</v>
      </c>
      <c r="D29" s="1"/>
      <c r="E29" s="53">
        <v>0</v>
      </c>
      <c r="F29" s="1" t="s">
        <v>67</v>
      </c>
      <c r="G29" s="12">
        <v>0.15525767073669453</v>
      </c>
      <c r="H29" s="12">
        <v>1.720020058031976E-3</v>
      </c>
      <c r="I29" s="12">
        <v>0.15697769079472651</v>
      </c>
    </row>
    <row r="30" spans="1:9" ht="15" customHeight="1" x14ac:dyDescent="0.3">
      <c r="A30" s="11" t="s">
        <v>126</v>
      </c>
      <c r="B30" s="1" t="s">
        <v>86</v>
      </c>
      <c r="C30" s="53">
        <v>45</v>
      </c>
      <c r="D30" s="1"/>
      <c r="E30" s="53">
        <v>0</v>
      </c>
      <c r="F30" s="1" t="s">
        <v>70</v>
      </c>
      <c r="G30" s="12">
        <v>0.19271892660318204</v>
      </c>
      <c r="H30" s="12">
        <v>2.1201924013164301E-3</v>
      </c>
      <c r="I30" s="12">
        <v>0.19483911900449846</v>
      </c>
    </row>
    <row r="31" spans="1:9" ht="15" customHeight="1" x14ac:dyDescent="0.3">
      <c r="A31" s="11" t="s">
        <v>123</v>
      </c>
      <c r="B31" s="1" t="s">
        <v>86</v>
      </c>
      <c r="C31" s="53">
        <v>45</v>
      </c>
      <c r="D31" s="1"/>
      <c r="E31" s="53">
        <v>0</v>
      </c>
      <c r="F31" s="1" t="s">
        <v>71</v>
      </c>
      <c r="G31" s="11" t="s">
        <v>124</v>
      </c>
      <c r="H31" s="11"/>
      <c r="I31" s="11"/>
    </row>
    <row r="32" spans="1:9" ht="15" customHeight="1" x14ac:dyDescent="0.3">
      <c r="A32" s="11" t="s">
        <v>125</v>
      </c>
      <c r="B32" s="1" t="s">
        <v>86</v>
      </c>
      <c r="C32" s="53">
        <v>45</v>
      </c>
      <c r="D32" s="53">
        <v>25</v>
      </c>
      <c r="E32" s="53">
        <v>24</v>
      </c>
      <c r="F32" s="1" t="s">
        <v>67</v>
      </c>
      <c r="G32" s="12">
        <v>0.34391770851590037</v>
      </c>
      <c r="H32" s="12">
        <v>5.2893059531459955E-3</v>
      </c>
      <c r="I32" s="12">
        <v>0.34920701446904634</v>
      </c>
    </row>
    <row r="33" spans="1:9" ht="15" customHeight="1" x14ac:dyDescent="0.3">
      <c r="A33" s="11" t="s">
        <v>129</v>
      </c>
      <c r="B33" s="1" t="s">
        <v>86</v>
      </c>
      <c r="C33" s="53">
        <v>45</v>
      </c>
      <c r="D33" s="53">
        <v>25</v>
      </c>
      <c r="E33" s="53">
        <v>24</v>
      </c>
      <c r="F33" s="1" t="s">
        <v>70</v>
      </c>
      <c r="G33" s="11" t="s">
        <v>124</v>
      </c>
      <c r="H33" s="11"/>
      <c r="I33" s="11"/>
    </row>
    <row r="34" spans="1:9" ht="15" customHeight="1" x14ac:dyDescent="0.3">
      <c r="A34" s="11" t="s">
        <v>130</v>
      </c>
      <c r="B34" s="1" t="s">
        <v>86</v>
      </c>
      <c r="C34" s="53">
        <v>45</v>
      </c>
      <c r="D34" s="53">
        <v>25</v>
      </c>
      <c r="E34" s="53">
        <v>24</v>
      </c>
      <c r="F34" s="1" t="s">
        <v>71</v>
      </c>
      <c r="G34" s="12">
        <v>0.30478243169558528</v>
      </c>
      <c r="H34" s="12">
        <v>5.73482502775019E-3</v>
      </c>
      <c r="I34" s="12">
        <v>0.31051725672333547</v>
      </c>
    </row>
    <row r="35" spans="1:9" ht="15" customHeight="1" x14ac:dyDescent="0.3">
      <c r="A35" s="11" t="s">
        <v>128</v>
      </c>
      <c r="B35" s="1" t="s">
        <v>86</v>
      </c>
      <c r="C35" s="53">
        <v>45</v>
      </c>
      <c r="D35" s="53">
        <v>45</v>
      </c>
      <c r="E35" s="53">
        <v>24</v>
      </c>
      <c r="F35" s="1" t="s">
        <v>67</v>
      </c>
      <c r="G35" s="12">
        <v>0.24425867850674768</v>
      </c>
      <c r="H35" s="12">
        <v>4.3229674203034028E-3</v>
      </c>
      <c r="I35" s="12">
        <v>0.24858164592705109</v>
      </c>
    </row>
    <row r="36" spans="1:9" ht="15" customHeight="1" x14ac:dyDescent="0.3">
      <c r="A36" s="11" t="s">
        <v>131</v>
      </c>
      <c r="B36" s="1" t="s">
        <v>86</v>
      </c>
      <c r="C36" s="53">
        <v>45</v>
      </c>
      <c r="D36" s="53">
        <v>45</v>
      </c>
      <c r="E36" s="53">
        <v>24</v>
      </c>
      <c r="F36" s="1" t="s">
        <v>70</v>
      </c>
      <c r="G36" s="12">
        <v>0.18646706977468794</v>
      </c>
      <c r="H36" s="12">
        <v>3.7233033436544567E-3</v>
      </c>
      <c r="I36" s="12">
        <v>0.19019037311834239</v>
      </c>
    </row>
    <row r="37" spans="1:9" ht="15" customHeight="1" x14ac:dyDescent="0.3">
      <c r="A37" s="11" t="s">
        <v>122</v>
      </c>
      <c r="B37" s="1" t="s">
        <v>86</v>
      </c>
      <c r="C37" s="53">
        <v>45</v>
      </c>
      <c r="D37" s="53">
        <v>45</v>
      </c>
      <c r="E37" s="53">
        <v>24</v>
      </c>
      <c r="F37" s="1" t="s">
        <v>71</v>
      </c>
      <c r="G37" s="12">
        <v>0.15219988705185877</v>
      </c>
      <c r="H37" s="12">
        <v>2.9596113026036492E-3</v>
      </c>
      <c r="I37" s="12">
        <v>0.15515949835446241</v>
      </c>
    </row>
  </sheetData>
  <sortState xmlns:xlrd2="http://schemas.microsoft.com/office/spreadsheetml/2017/richdata2" ref="A2:I37">
    <sortCondition ref="B2:B37"/>
    <sortCondition ref="C2:C37"/>
    <sortCondition ref="E2:E37"/>
    <sortCondition ref="D2:D37"/>
    <sortCondition ref="F2:F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38"/>
  <sheetViews>
    <sheetView topLeftCell="B1" zoomScale="55" zoomScaleNormal="55" workbookViewId="0">
      <pane xSplit="4776" ySplit="480" activePane="bottomRight"/>
      <selection activeCell="H6" sqref="H6"/>
      <selection pane="topRight" activeCell="I1" sqref="I1:I1048576"/>
      <selection pane="bottomLeft" activeCell="C3" sqref="C3"/>
      <selection pane="bottomRight" activeCell="H36" sqref="H36"/>
    </sheetView>
  </sheetViews>
  <sheetFormatPr defaultColWidth="12.6640625" defaultRowHeight="15" customHeight="1" x14ac:dyDescent="0.25"/>
  <cols>
    <col min="4" max="4" width="12.6640625" customWidth="1"/>
    <col min="9" max="9" width="12.6640625" customWidth="1"/>
  </cols>
  <sheetData>
    <row r="1" spans="1:23" ht="15" customHeight="1" x14ac:dyDescent="0.3">
      <c r="A1" s="13"/>
      <c r="B1" s="13"/>
      <c r="C1" s="13"/>
      <c r="D1" s="13"/>
      <c r="E1" s="13"/>
      <c r="F1" s="13"/>
      <c r="G1" s="13"/>
      <c r="H1" s="14"/>
      <c r="I1" s="13"/>
      <c r="J1" s="15"/>
      <c r="K1" s="15"/>
      <c r="L1" s="16" t="s">
        <v>158</v>
      </c>
      <c r="M1" s="14"/>
      <c r="N1" s="14"/>
      <c r="O1" s="14"/>
      <c r="P1" s="14"/>
      <c r="Q1" s="14"/>
      <c r="R1" s="17" t="s">
        <v>159</v>
      </c>
      <c r="S1" s="13"/>
      <c r="T1" s="13"/>
      <c r="U1" s="13"/>
      <c r="V1" s="13"/>
      <c r="W1" s="13"/>
    </row>
    <row r="2" spans="1:23" ht="15" customHeight="1" x14ac:dyDescent="0.3">
      <c r="A2" s="17" t="s">
        <v>117</v>
      </c>
      <c r="B2" s="17" t="s">
        <v>160</v>
      </c>
      <c r="C2" s="17" t="s">
        <v>56</v>
      </c>
      <c r="D2" s="17" t="s">
        <v>161</v>
      </c>
      <c r="E2" s="17" t="s">
        <v>162</v>
      </c>
      <c r="F2" s="17" t="s">
        <v>163</v>
      </c>
      <c r="G2" s="17" t="s">
        <v>164</v>
      </c>
      <c r="H2" s="17" t="s">
        <v>60</v>
      </c>
      <c r="I2" s="16" t="s">
        <v>165</v>
      </c>
      <c r="J2" s="18" t="s">
        <v>166</v>
      </c>
      <c r="K2" s="18"/>
      <c r="L2" s="13" t="s">
        <v>67</v>
      </c>
      <c r="M2" s="13" t="s">
        <v>70</v>
      </c>
      <c r="N2" s="13" t="s">
        <v>67</v>
      </c>
      <c r="O2" s="13" t="s">
        <v>70</v>
      </c>
      <c r="P2" s="13" t="s">
        <v>67</v>
      </c>
      <c r="Q2" s="13" t="s">
        <v>70</v>
      </c>
      <c r="R2" s="13" t="s">
        <v>67</v>
      </c>
      <c r="S2" s="13" t="s">
        <v>70</v>
      </c>
      <c r="T2" s="13" t="s">
        <v>67</v>
      </c>
      <c r="U2" s="13" t="s">
        <v>70</v>
      </c>
      <c r="V2" s="13" t="s">
        <v>67</v>
      </c>
      <c r="W2" s="13" t="s">
        <v>70</v>
      </c>
    </row>
    <row r="3" spans="1:23" ht="15" customHeight="1" x14ac:dyDescent="0.3">
      <c r="A3" s="13"/>
      <c r="B3" s="19">
        <v>45678</v>
      </c>
      <c r="C3" s="13" t="s">
        <v>65</v>
      </c>
      <c r="D3" s="20">
        <v>25</v>
      </c>
      <c r="E3" s="13"/>
      <c r="F3" s="13" t="s">
        <v>67</v>
      </c>
      <c r="G3" s="20">
        <v>0</v>
      </c>
      <c r="H3" s="13" t="s">
        <v>75</v>
      </c>
      <c r="I3" s="21">
        <f t="shared" ref="I3:I26" si="0">AVERAGE(L3:Q3)</f>
        <v>318666.66666666669</v>
      </c>
      <c r="J3" s="22">
        <f t="shared" ref="J3:J26" si="1">AVERAGE(R3:W3)</f>
        <v>5.8416666666666659</v>
      </c>
      <c r="K3" s="22"/>
      <c r="L3" s="21">
        <f>2.84*10^5</f>
        <v>284000</v>
      </c>
      <c r="M3" s="21">
        <f>3.23*10^5</f>
        <v>323000</v>
      </c>
      <c r="N3" s="21">
        <f>3.28*10^5</f>
        <v>328000</v>
      </c>
      <c r="O3" s="21">
        <f>3.67*10^5</f>
        <v>367000</v>
      </c>
      <c r="P3" s="21">
        <f>2.76*10^5</f>
        <v>276000</v>
      </c>
      <c r="Q3" s="21">
        <f>3.34*10^5</f>
        <v>334000</v>
      </c>
      <c r="R3" s="22">
        <v>6.49</v>
      </c>
      <c r="S3" s="22">
        <v>6.78</v>
      </c>
      <c r="T3" s="20">
        <v>4.28</v>
      </c>
      <c r="U3" s="22">
        <v>7.18</v>
      </c>
      <c r="V3" s="22">
        <v>4.7699999999999996</v>
      </c>
      <c r="W3" s="22">
        <v>5.55</v>
      </c>
    </row>
    <row r="4" spans="1:23" ht="15" customHeight="1" x14ac:dyDescent="0.3">
      <c r="A4" s="13"/>
      <c r="B4" s="19">
        <v>45679</v>
      </c>
      <c r="C4" s="13" t="s">
        <v>65</v>
      </c>
      <c r="D4" s="20">
        <v>25</v>
      </c>
      <c r="E4" s="20">
        <v>25</v>
      </c>
      <c r="F4" s="13" t="s">
        <v>67</v>
      </c>
      <c r="G4" s="20">
        <v>24</v>
      </c>
      <c r="H4" s="13" t="s">
        <v>75</v>
      </c>
      <c r="I4" s="21">
        <f t="shared" si="0"/>
        <v>164666.66666666666</v>
      </c>
      <c r="J4" s="23">
        <f t="shared" si="1"/>
        <v>5.3599999999999994</v>
      </c>
      <c r="K4" s="23"/>
      <c r="L4" s="21">
        <f>1.73*10^5</f>
        <v>173000</v>
      </c>
      <c r="M4" s="21">
        <f t="shared" ref="M4:N4" si="2">1.64*10^5</f>
        <v>164000</v>
      </c>
      <c r="N4" s="21">
        <f t="shared" si="2"/>
        <v>164000</v>
      </c>
      <c r="O4" s="21">
        <f>1.88*10^5</f>
        <v>188000</v>
      </c>
      <c r="P4" s="21">
        <f>1.41*10^5</f>
        <v>141000</v>
      </c>
      <c r="Q4" s="21">
        <f>1.58*10^5</f>
        <v>158000</v>
      </c>
      <c r="R4" s="20">
        <v>6.54</v>
      </c>
      <c r="S4" s="20">
        <v>3.36</v>
      </c>
      <c r="T4" s="20">
        <v>6.8</v>
      </c>
      <c r="U4" s="20">
        <v>4.32</v>
      </c>
      <c r="V4" s="20">
        <v>6.74</v>
      </c>
      <c r="W4" s="20">
        <v>4.4000000000000004</v>
      </c>
    </row>
    <row r="5" spans="1:23" ht="15" customHeight="1" x14ac:dyDescent="0.3">
      <c r="A5" s="13"/>
      <c r="B5" s="19">
        <v>45678</v>
      </c>
      <c r="C5" s="13" t="s">
        <v>65</v>
      </c>
      <c r="D5" s="20">
        <v>25</v>
      </c>
      <c r="E5" s="13"/>
      <c r="F5" s="13" t="s">
        <v>70</v>
      </c>
      <c r="G5" s="20">
        <v>0</v>
      </c>
      <c r="H5" s="13" t="s">
        <v>75</v>
      </c>
      <c r="I5" s="21">
        <f t="shared" si="0"/>
        <v>196500</v>
      </c>
      <c r="J5" s="22">
        <f t="shared" si="1"/>
        <v>5.2833333333333341</v>
      </c>
      <c r="K5" s="22"/>
      <c r="L5" s="21">
        <f>2.02*10^5</f>
        <v>202000</v>
      </c>
      <c r="M5" s="21">
        <f>2.23*10^5</f>
        <v>223000</v>
      </c>
      <c r="N5" s="21">
        <f>1.44*10^5</f>
        <v>144000</v>
      </c>
      <c r="O5" s="21">
        <f>1.91*10^5</f>
        <v>191000</v>
      </c>
      <c r="P5" s="21">
        <f>2.64*10^5</f>
        <v>264000</v>
      </c>
      <c r="Q5" s="21">
        <f>1.55*10^5</f>
        <v>155000</v>
      </c>
      <c r="R5" s="22">
        <v>5.45</v>
      </c>
      <c r="S5" s="22">
        <v>8.67</v>
      </c>
      <c r="T5" s="22">
        <v>4.05</v>
      </c>
      <c r="U5" s="22">
        <v>4.34</v>
      </c>
      <c r="V5" s="20">
        <v>4.1500000000000004</v>
      </c>
      <c r="W5" s="20">
        <v>5.04</v>
      </c>
    </row>
    <row r="6" spans="1:23" ht="15" customHeight="1" x14ac:dyDescent="0.3">
      <c r="A6" s="13"/>
      <c r="B6" s="19">
        <v>45679</v>
      </c>
      <c r="C6" s="13" t="s">
        <v>65</v>
      </c>
      <c r="D6" s="20">
        <v>25</v>
      </c>
      <c r="E6" s="20">
        <v>25</v>
      </c>
      <c r="F6" s="13" t="s">
        <v>70</v>
      </c>
      <c r="G6" s="20">
        <v>24</v>
      </c>
      <c r="H6" s="13" t="s">
        <v>75</v>
      </c>
      <c r="I6" s="14">
        <f t="shared" si="0"/>
        <v>170000</v>
      </c>
      <c r="J6" s="15">
        <f t="shared" si="1"/>
        <v>5.4849999999999994</v>
      </c>
      <c r="K6" s="15"/>
      <c r="L6" s="21">
        <f>1.58*10^5</f>
        <v>158000</v>
      </c>
      <c r="M6" s="21">
        <f>2.58*10^5</f>
        <v>258000</v>
      </c>
      <c r="N6" s="21">
        <f>1.2*10^5</f>
        <v>120000</v>
      </c>
      <c r="O6" s="21">
        <f>1.82*10^5</f>
        <v>182000</v>
      </c>
      <c r="P6" s="21">
        <f>1.73*10^5</f>
        <v>173000</v>
      </c>
      <c r="Q6" s="21">
        <f>1.29*10^5</f>
        <v>129000</v>
      </c>
      <c r="R6" s="20">
        <v>5.57</v>
      </c>
      <c r="S6" s="20">
        <v>4.7699999999999996</v>
      </c>
      <c r="T6" s="20">
        <v>5.67</v>
      </c>
      <c r="U6" s="20">
        <v>5.46</v>
      </c>
      <c r="V6" s="20">
        <v>6.65</v>
      </c>
      <c r="W6" s="20">
        <v>4.79</v>
      </c>
    </row>
    <row r="7" spans="1:23" ht="15" customHeight="1" x14ac:dyDescent="0.3">
      <c r="A7" s="13"/>
      <c r="B7" s="19">
        <v>45678</v>
      </c>
      <c r="C7" s="13" t="s">
        <v>65</v>
      </c>
      <c r="D7" s="20">
        <v>25</v>
      </c>
      <c r="E7" s="13"/>
      <c r="F7" s="13" t="s">
        <v>71</v>
      </c>
      <c r="G7" s="20">
        <v>0</v>
      </c>
      <c r="H7" s="13" t="s">
        <v>75</v>
      </c>
      <c r="I7" s="21">
        <f t="shared" si="0"/>
        <v>370000</v>
      </c>
      <c r="J7" s="22">
        <f t="shared" si="1"/>
        <v>4.55</v>
      </c>
      <c r="K7" s="22"/>
      <c r="L7" s="21">
        <f>3.99*10^5</f>
        <v>399000</v>
      </c>
      <c r="M7" s="21">
        <f>5.04*10^5</f>
        <v>504000</v>
      </c>
      <c r="N7" s="21">
        <f>2.55*10^5</f>
        <v>254999.99999999997</v>
      </c>
      <c r="O7" s="21">
        <f>3.2*10^5</f>
        <v>320000</v>
      </c>
      <c r="P7" s="21">
        <f>3.81*10^5</f>
        <v>381000</v>
      </c>
      <c r="Q7" s="21">
        <f>3.61*10^5</f>
        <v>361000</v>
      </c>
      <c r="R7" s="22">
        <v>4.71</v>
      </c>
      <c r="S7" s="22">
        <v>5.7</v>
      </c>
      <c r="T7" s="22">
        <v>2.87</v>
      </c>
      <c r="U7" s="22">
        <v>6.01</v>
      </c>
      <c r="V7" s="22">
        <v>3.47</v>
      </c>
      <c r="W7" s="22">
        <v>4.54</v>
      </c>
    </row>
    <row r="8" spans="1:23" ht="15" customHeight="1" x14ac:dyDescent="0.3">
      <c r="A8" s="13"/>
      <c r="B8" s="19">
        <v>45679</v>
      </c>
      <c r="C8" s="13" t="s">
        <v>65</v>
      </c>
      <c r="D8" s="20">
        <v>25</v>
      </c>
      <c r="E8" s="20">
        <v>25</v>
      </c>
      <c r="F8" s="13" t="s">
        <v>71</v>
      </c>
      <c r="G8" s="20">
        <v>24</v>
      </c>
      <c r="H8" s="13" t="s">
        <v>75</v>
      </c>
      <c r="I8" s="14">
        <f t="shared" si="0"/>
        <v>262166.66666666669</v>
      </c>
      <c r="J8" s="22">
        <f t="shared" si="1"/>
        <v>5.18</v>
      </c>
      <c r="K8" s="22"/>
      <c r="L8" s="21">
        <f>2.9*10^5</f>
        <v>290000</v>
      </c>
      <c r="M8" s="21">
        <f>1.81*10^5</f>
        <v>181000</v>
      </c>
      <c r="N8" s="21">
        <f>2.11*10^5</f>
        <v>211000</v>
      </c>
      <c r="O8" s="21">
        <f>3.84*10^5</f>
        <v>384000</v>
      </c>
      <c r="P8" s="21">
        <f>2.43*10^5</f>
        <v>243000.00000000003</v>
      </c>
      <c r="Q8" s="21">
        <f>2.64*10^5</f>
        <v>264000</v>
      </c>
      <c r="R8" s="20">
        <v>5.56</v>
      </c>
      <c r="S8" s="20">
        <v>4.03</v>
      </c>
      <c r="T8" s="20">
        <v>3.93</v>
      </c>
      <c r="U8" s="20">
        <v>6.22</v>
      </c>
      <c r="V8" s="20">
        <v>5.99</v>
      </c>
      <c r="W8" s="20">
        <v>5.35</v>
      </c>
    </row>
    <row r="9" spans="1:23" ht="15" customHeight="1" x14ac:dyDescent="0.3">
      <c r="A9" s="13"/>
      <c r="B9" s="19">
        <v>45680</v>
      </c>
      <c r="C9" s="13" t="s">
        <v>65</v>
      </c>
      <c r="D9" s="20">
        <v>45</v>
      </c>
      <c r="E9" s="13"/>
      <c r="F9" s="13" t="s">
        <v>67</v>
      </c>
      <c r="G9" s="20">
        <v>0</v>
      </c>
      <c r="H9" s="13" t="s">
        <v>75</v>
      </c>
      <c r="I9" s="21">
        <f t="shared" si="0"/>
        <v>303500</v>
      </c>
      <c r="J9" s="23">
        <f t="shared" si="1"/>
        <v>4.53</v>
      </c>
      <c r="K9" s="23"/>
      <c r="L9" s="21">
        <f>2.67*10^5</f>
        <v>267000</v>
      </c>
      <c r="M9" s="21">
        <f>4.34*10^5</f>
        <v>434000</v>
      </c>
      <c r="N9" s="21">
        <f>2.67*10^5</f>
        <v>267000</v>
      </c>
      <c r="O9" s="21">
        <f>3.17*10^5</f>
        <v>317000</v>
      </c>
      <c r="P9" s="21">
        <f>2.05*10^5</f>
        <v>204999.99999999997</v>
      </c>
      <c r="Q9" s="21">
        <f>3.31*10^5</f>
        <v>331000</v>
      </c>
      <c r="R9" s="22">
        <v>5.84</v>
      </c>
      <c r="S9" s="22">
        <v>4.2699999999999996</v>
      </c>
      <c r="T9" s="22">
        <v>4.8</v>
      </c>
      <c r="U9" s="22">
        <v>3.87</v>
      </c>
      <c r="V9" s="22">
        <v>3.88</v>
      </c>
      <c r="W9" s="22">
        <v>4.5199999999999996</v>
      </c>
    </row>
    <row r="10" spans="1:23" ht="15" customHeight="1" x14ac:dyDescent="0.3">
      <c r="A10" s="13"/>
      <c r="B10" s="19">
        <v>45681</v>
      </c>
      <c r="C10" s="13" t="s">
        <v>65</v>
      </c>
      <c r="D10" s="20">
        <v>45</v>
      </c>
      <c r="E10" s="20">
        <v>45</v>
      </c>
      <c r="F10" s="13" t="s">
        <v>67</v>
      </c>
      <c r="G10" s="20">
        <v>24</v>
      </c>
      <c r="H10" s="13" t="s">
        <v>75</v>
      </c>
      <c r="I10" s="21">
        <f t="shared" si="0"/>
        <v>140500</v>
      </c>
      <c r="J10" s="22">
        <f t="shared" si="1"/>
        <v>4.8733333333333331</v>
      </c>
      <c r="K10" s="22"/>
      <c r="L10" s="21">
        <f>1.03*10^5</f>
        <v>103000</v>
      </c>
      <c r="M10" s="21">
        <f>1.14*10^5</f>
        <v>113999.99999999999</v>
      </c>
      <c r="N10" s="21">
        <f>1.11*10^5</f>
        <v>111000.00000000001</v>
      </c>
      <c r="O10" s="21">
        <f>1.91*10^5</f>
        <v>191000</v>
      </c>
      <c r="P10" s="21">
        <f>1.32*10^5</f>
        <v>132000</v>
      </c>
      <c r="Q10" s="21">
        <f>1.92*10^5</f>
        <v>192000</v>
      </c>
      <c r="R10" s="22">
        <v>6.3</v>
      </c>
      <c r="S10" s="22">
        <v>4.72</v>
      </c>
      <c r="T10" s="22">
        <v>2.94</v>
      </c>
      <c r="U10" s="22">
        <v>4.74</v>
      </c>
      <c r="V10" s="22">
        <v>5.6</v>
      </c>
      <c r="W10" s="22">
        <v>4.9400000000000004</v>
      </c>
    </row>
    <row r="11" spans="1:23" ht="15" customHeight="1" x14ac:dyDescent="0.3">
      <c r="A11" s="13"/>
      <c r="B11" s="19">
        <v>45680</v>
      </c>
      <c r="C11" s="13" t="s">
        <v>65</v>
      </c>
      <c r="D11" s="20">
        <v>45</v>
      </c>
      <c r="E11" s="13"/>
      <c r="F11" s="13" t="s">
        <v>70</v>
      </c>
      <c r="G11" s="20">
        <v>0</v>
      </c>
      <c r="H11" s="13" t="s">
        <v>75</v>
      </c>
      <c r="I11" s="21">
        <f t="shared" si="0"/>
        <v>248000</v>
      </c>
      <c r="J11" s="15">
        <f t="shared" si="1"/>
        <v>4.53</v>
      </c>
      <c r="K11" s="15"/>
      <c r="L11" s="21">
        <f t="shared" ref="L11:M11" si="3">2.82*10^5</f>
        <v>282000</v>
      </c>
      <c r="M11" s="21">
        <f t="shared" si="3"/>
        <v>282000</v>
      </c>
      <c r="N11" s="21">
        <f>3.49*10^5</f>
        <v>349000</v>
      </c>
      <c r="O11" s="21">
        <f>1.17*10^5</f>
        <v>117000</v>
      </c>
      <c r="P11" s="21">
        <f>1.88*10^5</f>
        <v>188000</v>
      </c>
      <c r="Q11" s="21">
        <f>2.7*10^5</f>
        <v>270000</v>
      </c>
      <c r="R11" s="20">
        <v>5.84</v>
      </c>
      <c r="S11" s="20">
        <v>4.2699999999999996</v>
      </c>
      <c r="T11" s="20">
        <v>4.8</v>
      </c>
      <c r="U11" s="20">
        <v>3.87</v>
      </c>
      <c r="V11" s="20">
        <v>3.88</v>
      </c>
      <c r="W11" s="20">
        <v>4.5199999999999996</v>
      </c>
    </row>
    <row r="12" spans="1:23" ht="15" customHeight="1" x14ac:dyDescent="0.3">
      <c r="A12" s="13"/>
      <c r="B12" s="19">
        <v>45681</v>
      </c>
      <c r="C12" s="13" t="s">
        <v>65</v>
      </c>
      <c r="D12" s="20">
        <v>45</v>
      </c>
      <c r="E12" s="20">
        <v>45</v>
      </c>
      <c r="F12" s="13" t="s">
        <v>70</v>
      </c>
      <c r="G12" s="20">
        <v>24</v>
      </c>
      <c r="H12" s="13" t="s">
        <v>75</v>
      </c>
      <c r="I12" s="21">
        <f t="shared" si="0"/>
        <v>189333.33333333334</v>
      </c>
      <c r="J12" s="22">
        <f t="shared" si="1"/>
        <v>4.9799999999999995</v>
      </c>
      <c r="K12" s="22"/>
      <c r="L12" s="21">
        <f>2.23*10^5</f>
        <v>223000</v>
      </c>
      <c r="M12" s="21">
        <f>2.2*10^5</f>
        <v>220000.00000000003</v>
      </c>
      <c r="N12" s="21">
        <f>1.88*10^5</f>
        <v>188000</v>
      </c>
      <c r="O12" s="21">
        <f>1.44*10^5</f>
        <v>144000</v>
      </c>
      <c r="P12" s="21">
        <f>1.94*10^5</f>
        <v>194000</v>
      </c>
      <c r="Q12" s="21">
        <f>1.67*10^5</f>
        <v>167000</v>
      </c>
      <c r="R12" s="22">
        <v>6.31</v>
      </c>
      <c r="S12" s="22">
        <v>3.86</v>
      </c>
      <c r="T12" s="22">
        <v>3.21</v>
      </c>
      <c r="U12" s="22">
        <v>5.73</v>
      </c>
      <c r="V12" s="22">
        <v>5.73</v>
      </c>
      <c r="W12" s="22">
        <v>5.04</v>
      </c>
    </row>
    <row r="13" spans="1:23" ht="15" customHeight="1" x14ac:dyDescent="0.3">
      <c r="A13" s="13"/>
      <c r="B13" s="19">
        <v>45680</v>
      </c>
      <c r="C13" s="13" t="s">
        <v>65</v>
      </c>
      <c r="D13" s="20">
        <v>45</v>
      </c>
      <c r="E13" s="13"/>
      <c r="F13" s="13" t="s">
        <v>71</v>
      </c>
      <c r="G13" s="20">
        <v>0</v>
      </c>
      <c r="H13" s="13" t="s">
        <v>75</v>
      </c>
      <c r="I13" s="21">
        <f t="shared" si="0"/>
        <v>322333.33333333331</v>
      </c>
      <c r="J13" s="22">
        <f t="shared" si="1"/>
        <v>4.251666666666666</v>
      </c>
      <c r="K13" s="22"/>
      <c r="L13" s="21">
        <f>2.76*10^5</f>
        <v>276000</v>
      </c>
      <c r="M13" s="21">
        <f>2.4*10^5</f>
        <v>240000</v>
      </c>
      <c r="N13" s="21">
        <f>2.99*10^5</f>
        <v>299000</v>
      </c>
      <c r="O13" s="21">
        <f>5.07*10^5</f>
        <v>507000</v>
      </c>
      <c r="P13" s="21">
        <f>3.04*10^5</f>
        <v>304000</v>
      </c>
      <c r="Q13" s="21">
        <f>3.08*10^5</f>
        <v>308000</v>
      </c>
      <c r="R13" s="22">
        <v>3.6</v>
      </c>
      <c r="S13" s="22">
        <v>3.08</v>
      </c>
      <c r="T13" s="22">
        <v>3.81</v>
      </c>
      <c r="U13" s="22">
        <v>5.85</v>
      </c>
      <c r="V13" s="22">
        <v>5.75</v>
      </c>
      <c r="W13" s="22">
        <v>3.42</v>
      </c>
    </row>
    <row r="14" spans="1:23" ht="15" customHeight="1" x14ac:dyDescent="0.3">
      <c r="A14" s="13"/>
      <c r="B14" s="19">
        <v>45685</v>
      </c>
      <c r="C14" s="13" t="s">
        <v>86</v>
      </c>
      <c r="D14" s="20">
        <v>25</v>
      </c>
      <c r="E14" s="20">
        <v>25</v>
      </c>
      <c r="F14" s="13" t="s">
        <v>67</v>
      </c>
      <c r="G14" s="20">
        <v>24</v>
      </c>
      <c r="H14" s="13" t="s">
        <v>75</v>
      </c>
      <c r="I14" s="21">
        <f t="shared" si="0"/>
        <v>31500</v>
      </c>
      <c r="J14" s="23">
        <f t="shared" si="1"/>
        <v>8.6433333333333326</v>
      </c>
      <c r="K14" s="23"/>
      <c r="L14" s="21">
        <f>2.76*10^4</f>
        <v>27599.999999999996</v>
      </c>
      <c r="M14" s="21">
        <f t="shared" ref="M14:N14" si="4">3.23*10^4</f>
        <v>32300</v>
      </c>
      <c r="N14" s="21">
        <f t="shared" si="4"/>
        <v>32300</v>
      </c>
      <c r="O14" s="21">
        <f>4.11*10^4</f>
        <v>41100</v>
      </c>
      <c r="P14" s="21">
        <f>1.76*10^4</f>
        <v>17600</v>
      </c>
      <c r="Q14" s="21">
        <f>3.81*10^4</f>
        <v>38100</v>
      </c>
      <c r="R14" s="22">
        <v>8.4</v>
      </c>
      <c r="S14" s="22">
        <v>7.17</v>
      </c>
      <c r="T14" s="22">
        <v>8</v>
      </c>
      <c r="U14" s="22">
        <v>7.29</v>
      </c>
      <c r="V14" s="22">
        <v>9.5</v>
      </c>
      <c r="W14" s="22">
        <v>11.5</v>
      </c>
    </row>
    <row r="15" spans="1:23" ht="15" customHeight="1" x14ac:dyDescent="0.3">
      <c r="A15" s="13"/>
      <c r="B15" s="19">
        <v>45684</v>
      </c>
      <c r="C15" s="13" t="s">
        <v>86</v>
      </c>
      <c r="D15" s="20">
        <v>25</v>
      </c>
      <c r="E15" s="13"/>
      <c r="F15" s="13" t="s">
        <v>67</v>
      </c>
      <c r="G15" s="20">
        <v>0</v>
      </c>
      <c r="H15" s="13" t="s">
        <v>75</v>
      </c>
      <c r="I15" s="21">
        <f t="shared" si="0"/>
        <v>37633.333333333336</v>
      </c>
      <c r="J15" s="22">
        <f t="shared" si="1"/>
        <v>8.7366666666666664</v>
      </c>
      <c r="K15" s="22"/>
      <c r="L15" s="21">
        <f>2.93*10^4</f>
        <v>29300</v>
      </c>
      <c r="M15" s="21">
        <f>7.33*10^4</f>
        <v>73300</v>
      </c>
      <c r="N15" s="21">
        <f>3.52*10^4</f>
        <v>35200</v>
      </c>
      <c r="O15" s="21">
        <f>5.28*10^4</f>
        <v>52800</v>
      </c>
      <c r="P15" s="21">
        <f>8.8*10^3</f>
        <v>8800</v>
      </c>
      <c r="Q15" s="21">
        <f>2.64*10^4</f>
        <v>26400</v>
      </c>
      <c r="R15" s="22">
        <v>8.44</v>
      </c>
      <c r="S15" s="22">
        <v>8.44</v>
      </c>
      <c r="T15" s="22">
        <v>9.4</v>
      </c>
      <c r="U15" s="22">
        <v>9.2200000000000006</v>
      </c>
      <c r="V15" s="22">
        <v>6.67</v>
      </c>
      <c r="W15" s="22">
        <v>10.25</v>
      </c>
    </row>
    <row r="16" spans="1:23" ht="15" customHeight="1" x14ac:dyDescent="0.3">
      <c r="A16" s="13"/>
      <c r="B16" s="19">
        <v>45685</v>
      </c>
      <c r="C16" s="13" t="s">
        <v>86</v>
      </c>
      <c r="D16" s="20">
        <v>25</v>
      </c>
      <c r="E16" s="20">
        <v>25</v>
      </c>
      <c r="F16" s="13" t="s">
        <v>70</v>
      </c>
      <c r="G16" s="20">
        <v>24</v>
      </c>
      <c r="H16" s="13" t="s">
        <v>75</v>
      </c>
      <c r="I16" s="21">
        <f t="shared" si="0"/>
        <v>39100</v>
      </c>
      <c r="J16" s="15">
        <f t="shared" si="1"/>
        <v>10.158333333333333</v>
      </c>
      <c r="K16" s="15"/>
      <c r="L16" s="21">
        <f>2.64*10^4</f>
        <v>26400</v>
      </c>
      <c r="M16" s="21">
        <f>3.23*10^4</f>
        <v>32300</v>
      </c>
      <c r="N16" s="21">
        <f>7.04*10^4</f>
        <v>70400</v>
      </c>
      <c r="O16" s="21">
        <f>5.57*10^4</f>
        <v>55700</v>
      </c>
      <c r="P16" s="21">
        <f>2.93*10^4</f>
        <v>29300</v>
      </c>
      <c r="Q16" s="21">
        <f>2.05*10^4</f>
        <v>20500</v>
      </c>
      <c r="R16" s="22">
        <v>8.5</v>
      </c>
      <c r="S16" s="22">
        <v>12</v>
      </c>
      <c r="T16" s="22">
        <v>11.57</v>
      </c>
      <c r="U16" s="22">
        <v>11.38</v>
      </c>
      <c r="V16" s="22">
        <v>8.5</v>
      </c>
      <c r="W16" s="22">
        <v>9</v>
      </c>
    </row>
    <row r="17" spans="1:23" ht="15" customHeight="1" x14ac:dyDescent="0.3">
      <c r="A17" s="13"/>
      <c r="B17" s="19">
        <v>45684</v>
      </c>
      <c r="C17" s="13" t="s">
        <v>86</v>
      </c>
      <c r="D17" s="20">
        <v>25</v>
      </c>
      <c r="E17" s="13"/>
      <c r="F17" s="13" t="s">
        <v>70</v>
      </c>
      <c r="G17" s="20">
        <v>0</v>
      </c>
      <c r="H17" s="13" t="s">
        <v>75</v>
      </c>
      <c r="I17" s="21">
        <f t="shared" si="0"/>
        <v>54716.666666666664</v>
      </c>
      <c r="J17" s="22">
        <f t="shared" si="1"/>
        <v>10.118333333333332</v>
      </c>
      <c r="K17" s="22"/>
      <c r="L17" s="21">
        <f>5.86*10^4</f>
        <v>58600</v>
      </c>
      <c r="M17" s="21">
        <f t="shared" ref="M17:M18" si="5">2.93*10^4</f>
        <v>29300</v>
      </c>
      <c r="N17" s="21">
        <f>6.16*10^4</f>
        <v>61600</v>
      </c>
      <c r="O17" s="21">
        <f>6.45*10^4</f>
        <v>64500</v>
      </c>
      <c r="P17" s="21">
        <f>5.86*10^4</f>
        <v>58600</v>
      </c>
      <c r="Q17" s="21">
        <f>5.57*10^4</f>
        <v>55700</v>
      </c>
      <c r="R17" s="22">
        <v>7.7</v>
      </c>
      <c r="S17" s="22">
        <v>12.25</v>
      </c>
      <c r="T17" s="22">
        <v>9.3699999999999992</v>
      </c>
      <c r="U17" s="22">
        <v>12.19</v>
      </c>
      <c r="V17" s="22">
        <v>7.4</v>
      </c>
      <c r="W17" s="22">
        <v>11.8</v>
      </c>
    </row>
    <row r="18" spans="1:23" ht="15" customHeight="1" x14ac:dyDescent="0.3">
      <c r="A18" s="13"/>
      <c r="B18" s="19">
        <v>45685</v>
      </c>
      <c r="C18" s="13" t="s">
        <v>86</v>
      </c>
      <c r="D18" s="20">
        <v>25</v>
      </c>
      <c r="E18" s="20">
        <v>25</v>
      </c>
      <c r="F18" s="13" t="s">
        <v>71</v>
      </c>
      <c r="G18" s="20">
        <v>24</v>
      </c>
      <c r="H18" s="13" t="s">
        <v>75</v>
      </c>
      <c r="I18" s="21">
        <f t="shared" si="0"/>
        <v>40416.666666666664</v>
      </c>
      <c r="J18" s="22">
        <f t="shared" si="1"/>
        <v>9.3683333333333323</v>
      </c>
      <c r="K18" s="22"/>
      <c r="L18" s="21">
        <f>4.11*10^4</f>
        <v>41100</v>
      </c>
      <c r="M18" s="21">
        <f t="shared" si="5"/>
        <v>29300</v>
      </c>
      <c r="N18" s="21">
        <f t="shared" ref="N18" si="6">6.16*10^4</f>
        <v>61600</v>
      </c>
      <c r="O18" s="21">
        <f>5.28*10^4</f>
        <v>52800</v>
      </c>
      <c r="P18" s="21">
        <f>4.69*10^4</f>
        <v>46900.000000000007</v>
      </c>
      <c r="Q18" s="21">
        <f>1.08*10^4</f>
        <v>10800</v>
      </c>
      <c r="R18" s="22">
        <v>8</v>
      </c>
      <c r="S18" s="22">
        <v>9</v>
      </c>
      <c r="T18" s="22">
        <v>10.83</v>
      </c>
      <c r="U18" s="22">
        <v>9</v>
      </c>
      <c r="V18" s="22">
        <v>8.43</v>
      </c>
      <c r="W18" s="22">
        <v>10.95</v>
      </c>
    </row>
    <row r="19" spans="1:23" ht="15" customHeight="1" x14ac:dyDescent="0.3">
      <c r="A19" s="13"/>
      <c r="B19" s="19">
        <v>45684</v>
      </c>
      <c r="C19" s="13" t="s">
        <v>86</v>
      </c>
      <c r="D19" s="20">
        <v>25</v>
      </c>
      <c r="E19" s="13"/>
      <c r="F19" s="13" t="s">
        <v>71</v>
      </c>
      <c r="G19" s="20">
        <v>0</v>
      </c>
      <c r="H19" s="13" t="s">
        <v>75</v>
      </c>
      <c r="I19" s="21">
        <f t="shared" si="0"/>
        <v>48323.246414609275</v>
      </c>
      <c r="J19" s="23">
        <f t="shared" si="1"/>
        <v>9.5133333333333336</v>
      </c>
      <c r="K19" s="23"/>
      <c r="L19" s="21">
        <f>5.28*10^4</f>
        <v>52800</v>
      </c>
      <c r="M19" s="21">
        <f>8.8*10^4</f>
        <v>88000</v>
      </c>
      <c r="N19" s="21">
        <f>6.4581^4</f>
        <v>1739.4784876556323</v>
      </c>
      <c r="O19" s="21">
        <f>10^4</f>
        <v>10000</v>
      </c>
      <c r="P19" s="21">
        <f>2.64*10^4</f>
        <v>26400</v>
      </c>
      <c r="Q19" s="21">
        <f>1.11*10^5</f>
        <v>111000.00000000001</v>
      </c>
      <c r="R19" s="22">
        <v>8.82</v>
      </c>
      <c r="S19" s="22">
        <v>11.18</v>
      </c>
      <c r="T19" s="22">
        <v>10.91</v>
      </c>
      <c r="U19" s="22">
        <v>8.43</v>
      </c>
      <c r="V19" s="22">
        <v>8.6</v>
      </c>
      <c r="W19" s="22">
        <v>9.14</v>
      </c>
    </row>
    <row r="20" spans="1:23" ht="15" customHeight="1" x14ac:dyDescent="0.3">
      <c r="A20" s="13"/>
      <c r="B20" s="19">
        <v>45685</v>
      </c>
      <c r="C20" s="13" t="s">
        <v>86</v>
      </c>
      <c r="D20" s="20">
        <v>25</v>
      </c>
      <c r="E20" s="20">
        <v>45</v>
      </c>
      <c r="F20" s="13" t="s">
        <v>67</v>
      </c>
      <c r="G20" s="20">
        <v>24</v>
      </c>
      <c r="H20" s="13" t="s">
        <v>75</v>
      </c>
      <c r="I20" s="21">
        <f t="shared" si="0"/>
        <v>84733.333333333328</v>
      </c>
      <c r="J20" s="22">
        <f t="shared" si="1"/>
        <v>10.403333333333334</v>
      </c>
      <c r="K20" s="22"/>
      <c r="L20" s="21">
        <f>1.67*10^5</f>
        <v>167000</v>
      </c>
      <c r="M20" s="21">
        <f>1.26*10^5</f>
        <v>126000</v>
      </c>
      <c r="N20" s="21">
        <f>1.76*10^4</f>
        <v>17600</v>
      </c>
      <c r="O20" s="21">
        <f>4.11*10^4</f>
        <v>41100</v>
      </c>
      <c r="P20" s="21">
        <f>3.67*10^4</f>
        <v>36700</v>
      </c>
      <c r="Q20" s="21">
        <f>1.2*10^5</f>
        <v>120000</v>
      </c>
      <c r="R20" s="22">
        <v>11</v>
      </c>
      <c r="S20" s="22">
        <f>11.33</f>
        <v>11.33</v>
      </c>
      <c r="T20" s="22">
        <f>8.5</f>
        <v>8.5</v>
      </c>
      <c r="U20" s="22">
        <f>12.67</f>
        <v>12.67</v>
      </c>
      <c r="V20" s="22">
        <v>7.67</v>
      </c>
      <c r="W20" s="22">
        <v>11.25</v>
      </c>
    </row>
    <row r="21" spans="1:23" ht="15" customHeight="1" x14ac:dyDescent="0.3">
      <c r="A21" s="13"/>
      <c r="B21" s="19">
        <v>45686</v>
      </c>
      <c r="C21" s="13" t="s">
        <v>86</v>
      </c>
      <c r="D21" s="20">
        <v>45</v>
      </c>
      <c r="E21" s="13"/>
      <c r="F21" s="13" t="s">
        <v>67</v>
      </c>
      <c r="G21" s="20">
        <v>0</v>
      </c>
      <c r="H21" s="13" t="s">
        <v>75</v>
      </c>
      <c r="I21" s="21">
        <f t="shared" si="0"/>
        <v>26883.333333333332</v>
      </c>
      <c r="J21" s="15">
        <f t="shared" si="1"/>
        <v>10.283333333333333</v>
      </c>
      <c r="K21" s="15"/>
      <c r="L21" s="21">
        <f>3.52*10^4</f>
        <v>35200</v>
      </c>
      <c r="M21" s="21">
        <f>2.93*10^4</f>
        <v>29300</v>
      </c>
      <c r="N21" s="21">
        <f>4.69*10^4</f>
        <v>46900.000000000007</v>
      </c>
      <c r="O21" s="21">
        <f>2.05*10^4</f>
        <v>20500</v>
      </c>
      <c r="P21" s="21">
        <f t="shared" ref="P21:Q21" si="7">1.47*10^4</f>
        <v>14700</v>
      </c>
      <c r="Q21" s="21">
        <f t="shared" si="7"/>
        <v>14700</v>
      </c>
      <c r="R21" s="20">
        <v>10.9</v>
      </c>
      <c r="S21" s="20">
        <v>11.12</v>
      </c>
      <c r="T21" s="20">
        <v>11.18</v>
      </c>
      <c r="U21" s="20">
        <v>9.5</v>
      </c>
      <c r="V21" s="20">
        <v>9.5</v>
      </c>
      <c r="W21" s="20">
        <v>9.5</v>
      </c>
    </row>
    <row r="22" spans="1:23" ht="15" customHeight="1" x14ac:dyDescent="0.3">
      <c r="A22" s="13"/>
      <c r="B22" s="19">
        <v>45681</v>
      </c>
      <c r="C22" s="13" t="s">
        <v>86</v>
      </c>
      <c r="D22" s="20">
        <v>45</v>
      </c>
      <c r="E22" s="20">
        <v>45</v>
      </c>
      <c r="F22" s="13" t="s">
        <v>67</v>
      </c>
      <c r="G22" s="20">
        <v>24</v>
      </c>
      <c r="H22" s="13" t="s">
        <v>75</v>
      </c>
      <c r="I22" s="21">
        <f t="shared" si="0"/>
        <v>38633.333333333336</v>
      </c>
      <c r="J22" s="22">
        <f t="shared" si="1"/>
        <v>9.8616666666666664</v>
      </c>
      <c r="K22" s="22"/>
      <c r="L22" s="21">
        <f>2.93*10^4</f>
        <v>29300</v>
      </c>
      <c r="M22" s="21">
        <f>4.11*10^4</f>
        <v>41100</v>
      </c>
      <c r="N22" s="21">
        <f>4.99*10^4</f>
        <v>49900</v>
      </c>
      <c r="O22" s="21">
        <f>4.11*10^4</f>
        <v>41100</v>
      </c>
      <c r="P22" s="21">
        <f t="shared" ref="P22:Q22" si="8">3.52*10^4</f>
        <v>35200</v>
      </c>
      <c r="Q22" s="21">
        <f t="shared" si="8"/>
        <v>35200</v>
      </c>
      <c r="R22" s="20">
        <f>13</f>
        <v>13</v>
      </c>
      <c r="S22" s="20">
        <v>11.85</v>
      </c>
      <c r="T22" s="20">
        <v>8.25</v>
      </c>
      <c r="U22" s="20">
        <v>8.8800000000000008</v>
      </c>
      <c r="V22" s="20">
        <v>9.44</v>
      </c>
      <c r="W22" s="20">
        <v>7.75</v>
      </c>
    </row>
    <row r="23" spans="1:23" ht="15" customHeight="1" x14ac:dyDescent="0.3">
      <c r="A23" s="13"/>
      <c r="B23" s="19">
        <v>45686</v>
      </c>
      <c r="C23" s="13" t="s">
        <v>86</v>
      </c>
      <c r="D23" s="20">
        <v>45</v>
      </c>
      <c r="E23" s="13"/>
      <c r="F23" s="13" t="s">
        <v>70</v>
      </c>
      <c r="G23" s="20">
        <v>0</v>
      </c>
      <c r="H23" s="13" t="s">
        <v>75</v>
      </c>
      <c r="I23" s="21">
        <f t="shared" si="0"/>
        <v>62966.666666666664</v>
      </c>
      <c r="J23" s="22">
        <f t="shared" si="1"/>
        <v>10.421666666666667</v>
      </c>
      <c r="K23" s="22"/>
      <c r="L23" s="21">
        <f>1.08*10^5</f>
        <v>108000</v>
      </c>
      <c r="M23" s="21">
        <f>4.4*10^4</f>
        <v>44000</v>
      </c>
      <c r="N23" s="21">
        <f>9.38*10^4</f>
        <v>93800.000000000015</v>
      </c>
      <c r="O23" s="21">
        <f>4.4*10^4</f>
        <v>44000</v>
      </c>
      <c r="P23" s="21">
        <f>3.81*10^4</f>
        <v>38100</v>
      </c>
      <c r="Q23" s="21">
        <f>4.99*10^4</f>
        <v>49900</v>
      </c>
      <c r="R23" s="20">
        <v>10.29</v>
      </c>
      <c r="S23" s="20">
        <v>6.9</v>
      </c>
      <c r="T23" s="20">
        <v>13.14</v>
      </c>
      <c r="U23" s="20">
        <v>13.2</v>
      </c>
      <c r="V23" s="20">
        <v>9.1</v>
      </c>
      <c r="W23" s="20">
        <v>9.9</v>
      </c>
    </row>
    <row r="24" spans="1:23" ht="15" customHeight="1" x14ac:dyDescent="0.3">
      <c r="A24" s="13"/>
      <c r="B24" s="19">
        <v>45681</v>
      </c>
      <c r="C24" s="13" t="s">
        <v>86</v>
      </c>
      <c r="D24" s="20">
        <v>45</v>
      </c>
      <c r="E24" s="20">
        <v>45</v>
      </c>
      <c r="F24" s="13" t="s">
        <v>70</v>
      </c>
      <c r="G24" s="20">
        <v>24</v>
      </c>
      <c r="H24" s="13" t="s">
        <v>75</v>
      </c>
      <c r="I24" s="21">
        <f t="shared" si="0"/>
        <v>25416.666666666668</v>
      </c>
      <c r="J24" s="23">
        <f t="shared" si="1"/>
        <v>10.001666666666667</v>
      </c>
      <c r="K24" s="23"/>
      <c r="L24" s="21">
        <f>3.81*10^4</f>
        <v>38100</v>
      </c>
      <c r="M24" s="21">
        <f>4.99*10^4</f>
        <v>49900</v>
      </c>
      <c r="N24" s="21">
        <f>1.17*10^4</f>
        <v>11700</v>
      </c>
      <c r="O24" s="21">
        <f>2.35*10^4</f>
        <v>23500</v>
      </c>
      <c r="P24" s="21">
        <f>2.05*10^4</f>
        <v>20500</v>
      </c>
      <c r="Q24" s="21">
        <f>8.8*10^3</f>
        <v>8800</v>
      </c>
      <c r="R24" s="20">
        <v>7.08</v>
      </c>
      <c r="S24" s="20">
        <v>11.6</v>
      </c>
      <c r="T24" s="20">
        <v>9</v>
      </c>
      <c r="U24" s="22">
        <v>11.67</v>
      </c>
      <c r="V24" s="20">
        <v>8.33</v>
      </c>
      <c r="W24" s="20">
        <v>12.33</v>
      </c>
    </row>
    <row r="25" spans="1:23" ht="15" customHeight="1" x14ac:dyDescent="0.3">
      <c r="A25" s="13"/>
      <c r="B25" s="19">
        <v>45686</v>
      </c>
      <c r="C25" s="13" t="s">
        <v>86</v>
      </c>
      <c r="D25" s="20">
        <v>45</v>
      </c>
      <c r="E25" s="13"/>
      <c r="F25" s="13" t="s">
        <v>71</v>
      </c>
      <c r="G25" s="20">
        <v>0</v>
      </c>
      <c r="H25" s="13" t="s">
        <v>75</v>
      </c>
      <c r="I25" s="21">
        <f t="shared" si="0"/>
        <v>81000</v>
      </c>
      <c r="J25" s="22">
        <f t="shared" si="1"/>
        <v>10.781666666666666</v>
      </c>
      <c r="K25" s="22"/>
      <c r="L25" s="21">
        <f>3.52*10^4</f>
        <v>35200</v>
      </c>
      <c r="M25" s="21">
        <f>1.52*10^5</f>
        <v>152000</v>
      </c>
      <c r="N25" s="21">
        <f>3.81*10^4</f>
        <v>38100</v>
      </c>
      <c r="O25" s="21">
        <f>1.11*10^5</f>
        <v>111000.00000000001</v>
      </c>
      <c r="P25" s="21">
        <f>6.47*10^4</f>
        <v>64700</v>
      </c>
      <c r="Q25" s="21">
        <f>8.5*10^4</f>
        <v>85000</v>
      </c>
      <c r="R25" s="20">
        <v>9.89</v>
      </c>
      <c r="S25" s="20">
        <v>9.4</v>
      </c>
      <c r="T25" s="20">
        <v>13.33</v>
      </c>
      <c r="U25" s="20">
        <v>11.67</v>
      </c>
      <c r="V25" s="20">
        <v>11.4</v>
      </c>
      <c r="W25" s="20">
        <v>9</v>
      </c>
    </row>
    <row r="26" spans="1:23" ht="15" customHeight="1" x14ac:dyDescent="0.3">
      <c r="A26" s="13"/>
      <c r="B26" s="19">
        <v>45685</v>
      </c>
      <c r="C26" s="13" t="s">
        <v>86</v>
      </c>
      <c r="D26" s="20">
        <v>25</v>
      </c>
      <c r="E26" s="20">
        <v>45</v>
      </c>
      <c r="F26" s="13" t="s">
        <v>70</v>
      </c>
      <c r="G26" s="20">
        <v>24</v>
      </c>
      <c r="H26" s="13" t="s">
        <v>75</v>
      </c>
      <c r="I26" s="21">
        <f t="shared" si="0"/>
        <v>51816.666666666664</v>
      </c>
      <c r="J26" s="15">
        <f t="shared" si="1"/>
        <v>10.578333333333333</v>
      </c>
      <c r="K26" s="15"/>
      <c r="L26" s="21">
        <f>4.11*10^4</f>
        <v>41100</v>
      </c>
      <c r="M26" s="21">
        <f>8.5*10^4</f>
        <v>85000</v>
      </c>
      <c r="N26" s="21">
        <f>1.76*10^4</f>
        <v>17600</v>
      </c>
      <c r="O26" s="21">
        <f>3.23*10^4</f>
        <v>32300</v>
      </c>
      <c r="P26" s="21">
        <f>4.69*10^4</f>
        <v>46900.000000000007</v>
      </c>
      <c r="Q26" s="21">
        <f>8.8*10^4</f>
        <v>88000</v>
      </c>
      <c r="R26" s="22">
        <v>8.25</v>
      </c>
      <c r="S26" s="22">
        <v>12.21</v>
      </c>
      <c r="T26" s="22">
        <v>11.33</v>
      </c>
      <c r="U26" s="22">
        <v>9</v>
      </c>
      <c r="V26" s="22">
        <v>10.56</v>
      </c>
      <c r="W26" s="22">
        <v>12.12</v>
      </c>
    </row>
    <row r="27" spans="1:23" ht="15" customHeight="1" x14ac:dyDescent="0.3">
      <c r="A27" s="13"/>
      <c r="B27" s="19">
        <v>45681</v>
      </c>
      <c r="C27" s="13" t="s">
        <v>86</v>
      </c>
      <c r="D27" s="20">
        <v>45</v>
      </c>
      <c r="E27" s="20">
        <v>45</v>
      </c>
      <c r="F27" s="13" t="s">
        <v>71</v>
      </c>
      <c r="G27" s="20">
        <v>24</v>
      </c>
      <c r="H27" s="13" t="s">
        <v>75</v>
      </c>
      <c r="I27" s="14" t="s">
        <v>66</v>
      </c>
      <c r="J27" s="22" t="s">
        <v>66</v>
      </c>
      <c r="K27" s="22"/>
      <c r="L27" s="14" t="s">
        <v>66</v>
      </c>
      <c r="M27" s="14" t="s">
        <v>66</v>
      </c>
      <c r="N27" s="14" t="s">
        <v>66</v>
      </c>
      <c r="O27" s="14" t="s">
        <v>66</v>
      </c>
      <c r="P27" s="14" t="s">
        <v>66</v>
      </c>
      <c r="Q27" s="14" t="s">
        <v>66</v>
      </c>
      <c r="R27" s="14" t="s">
        <v>66</v>
      </c>
      <c r="S27" s="14" t="s">
        <v>66</v>
      </c>
      <c r="T27" s="14" t="s">
        <v>66</v>
      </c>
      <c r="U27" s="14" t="s">
        <v>66</v>
      </c>
      <c r="V27" s="14" t="s">
        <v>66</v>
      </c>
      <c r="W27" s="14" t="s">
        <v>66</v>
      </c>
    </row>
    <row r="28" spans="1:23" ht="15" customHeight="1" x14ac:dyDescent="0.3">
      <c r="A28" s="13"/>
      <c r="B28" s="19">
        <v>45687</v>
      </c>
      <c r="C28" s="13" t="s">
        <v>86</v>
      </c>
      <c r="D28" s="20">
        <v>45</v>
      </c>
      <c r="E28" s="20">
        <v>25</v>
      </c>
      <c r="F28" s="13" t="s">
        <v>67</v>
      </c>
      <c r="G28" s="20">
        <v>24</v>
      </c>
      <c r="H28" s="13" t="s">
        <v>75</v>
      </c>
      <c r="I28" s="21">
        <f t="shared" ref="I28:I38" si="9">AVERAGE(L28:Q28)</f>
        <v>32266.666666666668</v>
      </c>
      <c r="J28" s="22">
        <f t="shared" ref="J28:J38" si="10">AVERAGE(R28:W28)</f>
        <v>9.7433333333333341</v>
      </c>
      <c r="K28" s="22"/>
      <c r="L28" s="21">
        <f>1.76*10^4</f>
        <v>17600</v>
      </c>
      <c r="M28" s="21">
        <f>3.81*10^4</f>
        <v>38100</v>
      </c>
      <c r="N28" s="21">
        <f>1.76*10^4</f>
        <v>17600</v>
      </c>
      <c r="O28" s="21">
        <f>4.99*10^4</f>
        <v>49900</v>
      </c>
      <c r="P28" s="21">
        <f>4.11*10^4</f>
        <v>41100</v>
      </c>
      <c r="Q28" s="21">
        <f>2.93*10^4</f>
        <v>29300</v>
      </c>
      <c r="R28" s="20">
        <v>8</v>
      </c>
      <c r="S28" s="20">
        <v>12.17</v>
      </c>
      <c r="T28" s="20">
        <v>8.4</v>
      </c>
      <c r="U28" s="20">
        <v>8.27</v>
      </c>
      <c r="V28" s="20">
        <v>9.6199999999999992</v>
      </c>
      <c r="W28" s="20">
        <v>12</v>
      </c>
    </row>
    <row r="29" spans="1:23" ht="15" customHeight="1" x14ac:dyDescent="0.3">
      <c r="A29" s="13"/>
      <c r="B29" s="19">
        <v>45687</v>
      </c>
      <c r="C29" s="13" t="s">
        <v>86</v>
      </c>
      <c r="D29" s="20">
        <v>45</v>
      </c>
      <c r="E29" s="20">
        <v>25</v>
      </c>
      <c r="F29" s="13" t="s">
        <v>70</v>
      </c>
      <c r="G29" s="20">
        <v>24</v>
      </c>
      <c r="H29" s="13" t="s">
        <v>75</v>
      </c>
      <c r="I29" s="21">
        <f t="shared" si="9"/>
        <v>32250</v>
      </c>
      <c r="J29" s="23">
        <f t="shared" si="10"/>
        <v>9.4333333333333336</v>
      </c>
      <c r="K29" s="23"/>
      <c r="L29" s="21">
        <f>2.05*10^4</f>
        <v>20500</v>
      </c>
      <c r="M29" s="21">
        <f t="shared" ref="M29" si="11">2.05*10^4</f>
        <v>20500</v>
      </c>
      <c r="N29" s="21">
        <f>5.57*10^4</f>
        <v>55700</v>
      </c>
      <c r="O29" s="21">
        <f>2.05*10^4</f>
        <v>20500</v>
      </c>
      <c r="P29" s="21">
        <f>3.52*10^4</f>
        <v>35200</v>
      </c>
      <c r="Q29" s="21">
        <f>4.11*10^4</f>
        <v>41100</v>
      </c>
      <c r="R29" s="20">
        <v>9.8000000000000007</v>
      </c>
      <c r="S29" s="20">
        <v>10.14</v>
      </c>
      <c r="T29" s="20">
        <v>9.33</v>
      </c>
      <c r="U29" s="20">
        <v>8.33</v>
      </c>
      <c r="V29" s="20">
        <v>7</v>
      </c>
      <c r="W29" s="20">
        <v>12</v>
      </c>
    </row>
    <row r="30" spans="1:23" ht="15" customHeight="1" x14ac:dyDescent="0.3">
      <c r="A30" s="13"/>
      <c r="B30" s="19">
        <v>45679</v>
      </c>
      <c r="C30" s="13" t="s">
        <v>86</v>
      </c>
      <c r="D30" s="20">
        <v>25</v>
      </c>
      <c r="E30" s="20">
        <v>45</v>
      </c>
      <c r="F30" s="13" t="s">
        <v>71</v>
      </c>
      <c r="G30" s="20">
        <v>24</v>
      </c>
      <c r="H30" s="13" t="s">
        <v>75</v>
      </c>
      <c r="I30" s="21">
        <f t="shared" si="9"/>
        <v>56700.484872292574</v>
      </c>
      <c r="J30" s="22">
        <f t="shared" si="10"/>
        <v>9.3683333333333341</v>
      </c>
      <c r="K30" s="22"/>
      <c r="L30" s="21">
        <f>4.99*10^4</f>
        <v>49900</v>
      </c>
      <c r="M30" s="21">
        <f>3.52*10^4</f>
        <v>35200</v>
      </c>
      <c r="N30" s="21">
        <f>9.97*10^4</f>
        <v>99700</v>
      </c>
      <c r="O30" s="21">
        <f>9.68*10^4</f>
        <v>96800</v>
      </c>
      <c r="P30" s="21">
        <f>5.86*10^4</f>
        <v>58600</v>
      </c>
      <c r="Q30" s="21">
        <f>1.2381^5</f>
        <v>2.9092337554231897</v>
      </c>
      <c r="R30" s="22">
        <v>8.75</v>
      </c>
      <c r="S30" s="22">
        <v>12.29</v>
      </c>
      <c r="T30" s="22">
        <f>6.5</f>
        <v>6.5</v>
      </c>
      <c r="U30" s="22">
        <v>9.25</v>
      </c>
      <c r="V30" s="22">
        <v>8.67</v>
      </c>
      <c r="W30" s="22">
        <v>10.75</v>
      </c>
    </row>
    <row r="31" spans="1:23" ht="15" customHeight="1" x14ac:dyDescent="0.3">
      <c r="A31" s="13"/>
      <c r="B31" s="19">
        <v>45687</v>
      </c>
      <c r="C31" s="13" t="s">
        <v>86</v>
      </c>
      <c r="D31" s="20">
        <v>45</v>
      </c>
      <c r="E31" s="20">
        <v>25</v>
      </c>
      <c r="F31" s="13" t="s">
        <v>71</v>
      </c>
      <c r="G31" s="20">
        <v>24</v>
      </c>
      <c r="H31" s="13" t="s">
        <v>75</v>
      </c>
      <c r="I31" s="21">
        <f t="shared" si="9"/>
        <v>33716.666666666664</v>
      </c>
      <c r="J31" s="15">
        <f t="shared" si="10"/>
        <v>9.8066666666666666</v>
      </c>
      <c r="K31" s="15"/>
      <c r="L31" s="21">
        <f>5.57*10^4</f>
        <v>55700</v>
      </c>
      <c r="M31" s="21">
        <f>2.35*10^4</f>
        <v>23500</v>
      </c>
      <c r="N31" s="21">
        <f>2.93*10^4</f>
        <v>29300</v>
      </c>
      <c r="O31" s="21">
        <f>3.81*10^4</f>
        <v>38100</v>
      </c>
      <c r="P31" s="21">
        <f>1.76*10^4</f>
        <v>17600</v>
      </c>
      <c r="Q31" s="21">
        <f>3.81*10^4</f>
        <v>38100</v>
      </c>
      <c r="R31" s="20">
        <v>9.2100000000000009</v>
      </c>
      <c r="S31" s="20">
        <v>9.33</v>
      </c>
      <c r="T31" s="20">
        <v>9.33</v>
      </c>
      <c r="U31" s="20">
        <v>7</v>
      </c>
      <c r="V31" s="20">
        <v>9.33</v>
      </c>
      <c r="W31" s="20">
        <v>14.64</v>
      </c>
    </row>
    <row r="32" spans="1:23" ht="15" customHeight="1" x14ac:dyDescent="0.3">
      <c r="A32" s="13"/>
      <c r="B32" s="19">
        <v>45681</v>
      </c>
      <c r="C32" s="13" t="s">
        <v>65</v>
      </c>
      <c r="D32" s="20">
        <v>45</v>
      </c>
      <c r="E32" s="20">
        <v>25</v>
      </c>
      <c r="F32" s="13" t="s">
        <v>67</v>
      </c>
      <c r="G32" s="20">
        <v>24</v>
      </c>
      <c r="H32" s="13" t="s">
        <v>75</v>
      </c>
      <c r="I32" s="21">
        <f t="shared" si="9"/>
        <v>172500</v>
      </c>
      <c r="J32" s="22">
        <f t="shared" si="10"/>
        <v>5.8283333333333331</v>
      </c>
      <c r="K32" s="22"/>
      <c r="L32" s="21">
        <f>1.79*10^5</f>
        <v>179000</v>
      </c>
      <c r="M32" s="21">
        <f>1.96*10^5</f>
        <v>196000</v>
      </c>
      <c r="N32" s="21">
        <f>1.06*10^5</f>
        <v>106000</v>
      </c>
      <c r="O32" s="21">
        <f>2.05*10^5</f>
        <v>204999.99999999997</v>
      </c>
      <c r="P32" s="21">
        <f>1.73*10^5</f>
        <v>173000</v>
      </c>
      <c r="Q32" s="21">
        <f>1.76*10^5</f>
        <v>176000</v>
      </c>
      <c r="R32" s="22">
        <v>6.53</v>
      </c>
      <c r="S32" s="22">
        <v>5.78</v>
      </c>
      <c r="T32" s="22">
        <v>4.7699999999999996</v>
      </c>
      <c r="U32" s="22">
        <v>5.64</v>
      </c>
      <c r="V32" s="22">
        <v>6.98</v>
      </c>
      <c r="W32" s="22">
        <v>5.27</v>
      </c>
    </row>
    <row r="33" spans="1:23" ht="15" customHeight="1" x14ac:dyDescent="0.3">
      <c r="A33" s="13"/>
      <c r="B33" s="19">
        <v>45681</v>
      </c>
      <c r="C33" s="13" t="s">
        <v>65</v>
      </c>
      <c r="D33" s="20">
        <v>45</v>
      </c>
      <c r="E33" s="20">
        <v>25</v>
      </c>
      <c r="F33" s="13" t="s">
        <v>70</v>
      </c>
      <c r="G33" s="20">
        <v>24</v>
      </c>
      <c r="H33" s="13" t="s">
        <v>75</v>
      </c>
      <c r="I33" s="21">
        <f t="shared" si="9"/>
        <v>119883.33333333333</v>
      </c>
      <c r="J33" s="22">
        <f t="shared" si="10"/>
        <v>5.2666666666666666</v>
      </c>
      <c r="K33" s="22"/>
      <c r="L33" s="21">
        <f>1.03*10^5</f>
        <v>103000</v>
      </c>
      <c r="M33" s="21">
        <f>7.33*10^4</f>
        <v>73300</v>
      </c>
      <c r="N33" s="21">
        <f>1.38*10^5</f>
        <v>138000</v>
      </c>
      <c r="O33" s="21">
        <f>1.41*10^5</f>
        <v>141000</v>
      </c>
      <c r="P33" s="21">
        <f>1.47*10^5</f>
        <v>147000</v>
      </c>
      <c r="Q33" s="21">
        <f>1.17*10^5</f>
        <v>117000</v>
      </c>
      <c r="R33" s="22">
        <v>4.0599999999999996</v>
      </c>
      <c r="S33" s="22">
        <v>6.21</v>
      </c>
      <c r="T33" s="22">
        <v>5.48</v>
      </c>
      <c r="U33" s="22">
        <v>5.76</v>
      </c>
      <c r="V33" s="22">
        <v>4.42</v>
      </c>
      <c r="W33" s="22">
        <v>5.67</v>
      </c>
    </row>
    <row r="34" spans="1:23" ht="15" customHeight="1" x14ac:dyDescent="0.3">
      <c r="A34" s="13"/>
      <c r="B34" s="19">
        <v>45681</v>
      </c>
      <c r="C34" s="13" t="s">
        <v>65</v>
      </c>
      <c r="D34" s="20">
        <v>45</v>
      </c>
      <c r="E34" s="20">
        <v>25</v>
      </c>
      <c r="F34" s="13" t="s">
        <v>71</v>
      </c>
      <c r="G34" s="20">
        <v>24</v>
      </c>
      <c r="H34" s="13" t="s">
        <v>75</v>
      </c>
      <c r="I34" s="21">
        <f t="shared" si="9"/>
        <v>190666.66666666666</v>
      </c>
      <c r="J34" s="23">
        <f t="shared" si="10"/>
        <v>4.7</v>
      </c>
      <c r="K34" s="23"/>
      <c r="L34" s="21">
        <f>1.91*10^5</f>
        <v>191000</v>
      </c>
      <c r="M34" s="21">
        <f>2.05*10^5</f>
        <v>204999.99999999997</v>
      </c>
      <c r="N34" s="21">
        <f>1.47*10^5</f>
        <v>147000</v>
      </c>
      <c r="O34" s="21">
        <f>3.02*10^5</f>
        <v>302000</v>
      </c>
      <c r="P34" s="21">
        <f>1.26*10^5</f>
        <v>126000</v>
      </c>
      <c r="Q34" s="21">
        <f>1.73*10^5</f>
        <v>173000</v>
      </c>
      <c r="R34" s="22">
        <v>3.75</v>
      </c>
      <c r="S34" s="22">
        <v>5.7</v>
      </c>
      <c r="T34" s="22">
        <v>5.48</v>
      </c>
      <c r="U34" s="22">
        <v>5.0999999999999996</v>
      </c>
      <c r="V34" s="22">
        <v>4.7699999999999996</v>
      </c>
      <c r="W34" s="22">
        <v>3.4</v>
      </c>
    </row>
    <row r="35" spans="1:23" ht="15" customHeight="1" x14ac:dyDescent="0.3">
      <c r="A35" s="13"/>
      <c r="B35" s="19">
        <v>45679</v>
      </c>
      <c r="C35" s="13" t="s">
        <v>65</v>
      </c>
      <c r="D35" s="20">
        <v>25</v>
      </c>
      <c r="E35" s="20">
        <v>45</v>
      </c>
      <c r="F35" s="13" t="s">
        <v>67</v>
      </c>
      <c r="G35" s="20">
        <v>24</v>
      </c>
      <c r="H35" s="13" t="s">
        <v>75</v>
      </c>
      <c r="I35" s="14">
        <f t="shared" si="9"/>
        <v>153000</v>
      </c>
      <c r="J35" s="22">
        <f t="shared" si="10"/>
        <v>5.0983333333333336</v>
      </c>
      <c r="K35" s="22"/>
      <c r="L35" s="21">
        <f>1.03*10^5</f>
        <v>103000</v>
      </c>
      <c r="M35" s="21">
        <f>1.41*10^5</f>
        <v>141000</v>
      </c>
      <c r="N35" s="21">
        <f>1.64*10^5</f>
        <v>164000</v>
      </c>
      <c r="O35" s="21">
        <f>2.32*10^5</f>
        <v>231999.99999999997</v>
      </c>
      <c r="P35" s="21">
        <f>1.58*10^5</f>
        <v>158000</v>
      </c>
      <c r="Q35" s="21">
        <f>1.2*10^5</f>
        <v>120000</v>
      </c>
      <c r="R35" s="20">
        <v>3.6</v>
      </c>
      <c r="S35" s="20">
        <v>4.96</v>
      </c>
      <c r="T35" s="20">
        <v>5.66</v>
      </c>
      <c r="U35" s="20">
        <v>5.68</v>
      </c>
      <c r="V35" s="20">
        <v>4.5</v>
      </c>
      <c r="W35" s="20">
        <v>6.19</v>
      </c>
    </row>
    <row r="36" spans="1:23" ht="15" customHeight="1" x14ac:dyDescent="0.3">
      <c r="A36" s="13"/>
      <c r="B36" s="19">
        <v>45679</v>
      </c>
      <c r="C36" s="13" t="s">
        <v>65</v>
      </c>
      <c r="D36" s="20">
        <v>25</v>
      </c>
      <c r="E36" s="20">
        <v>45</v>
      </c>
      <c r="F36" s="13" t="s">
        <v>70</v>
      </c>
      <c r="G36" s="20">
        <v>24</v>
      </c>
      <c r="H36" s="13" t="s">
        <v>75</v>
      </c>
      <c r="I36" s="14">
        <f t="shared" si="9"/>
        <v>125100</v>
      </c>
      <c r="J36" s="15">
        <f t="shared" si="10"/>
        <v>5.28</v>
      </c>
      <c r="K36" s="15"/>
      <c r="L36" s="21">
        <f>1.5*10^5</f>
        <v>150000</v>
      </c>
      <c r="M36" s="21">
        <f>1.38*10^5</f>
        <v>138000</v>
      </c>
      <c r="N36" s="21">
        <f>1.14*10^5</f>
        <v>113999.99999999999</v>
      </c>
      <c r="O36" s="21">
        <f>1.16*10^4</f>
        <v>11600</v>
      </c>
      <c r="P36" s="21">
        <f>1.64*10^5</f>
        <v>164000</v>
      </c>
      <c r="Q36" s="21">
        <f>1.73*10^5</f>
        <v>173000</v>
      </c>
      <c r="R36" s="20">
        <v>4.2699999999999996</v>
      </c>
      <c r="S36" s="20">
        <v>5.89</v>
      </c>
      <c r="T36" s="20">
        <v>5.33</v>
      </c>
      <c r="U36" s="20">
        <v>6.95</v>
      </c>
      <c r="V36" s="20">
        <v>3.97</v>
      </c>
      <c r="W36" s="20">
        <v>5.27</v>
      </c>
    </row>
    <row r="37" spans="1:23" ht="15" customHeight="1" x14ac:dyDescent="0.3">
      <c r="A37" s="13"/>
      <c r="B37" s="19">
        <v>45679</v>
      </c>
      <c r="C37" s="13" t="s">
        <v>65</v>
      </c>
      <c r="D37" s="20">
        <v>25</v>
      </c>
      <c r="E37" s="20">
        <v>45</v>
      </c>
      <c r="F37" s="13" t="s">
        <v>71</v>
      </c>
      <c r="G37" s="20">
        <v>24</v>
      </c>
      <c r="H37" s="13" t="s">
        <v>75</v>
      </c>
      <c r="I37" s="14">
        <f t="shared" si="9"/>
        <v>339000</v>
      </c>
      <c r="J37" s="22">
        <f t="shared" si="10"/>
        <v>5.6916666666666664</v>
      </c>
      <c r="K37" s="22"/>
      <c r="L37" s="21">
        <f>1.61*10^5</f>
        <v>161000</v>
      </c>
      <c r="M37" s="21">
        <f>1.88*10^5</f>
        <v>188000</v>
      </c>
      <c r="N37" s="21">
        <f>1.08*10^5</f>
        <v>108000</v>
      </c>
      <c r="O37" s="21">
        <f>1.26*10^6</f>
        <v>1260000</v>
      </c>
      <c r="P37" s="21">
        <f>1.76*10^5</f>
        <v>176000</v>
      </c>
      <c r="Q37" s="21">
        <f>1.41*10^5</f>
        <v>141000</v>
      </c>
      <c r="R37" s="20">
        <v>4.79</v>
      </c>
      <c r="S37" s="20">
        <v>6.64</v>
      </c>
      <c r="T37" s="20">
        <v>4.4800000000000004</v>
      </c>
      <c r="U37" s="20">
        <v>5.97</v>
      </c>
      <c r="V37" s="20">
        <v>6.23</v>
      </c>
      <c r="W37" s="20">
        <v>6.04</v>
      </c>
    </row>
    <row r="38" spans="1:23" ht="15" customHeight="1" x14ac:dyDescent="0.3">
      <c r="A38" s="13"/>
      <c r="B38" s="19">
        <v>45681</v>
      </c>
      <c r="C38" s="13" t="s">
        <v>65</v>
      </c>
      <c r="D38" s="20">
        <v>45</v>
      </c>
      <c r="E38" s="20">
        <v>45</v>
      </c>
      <c r="F38" s="13" t="s">
        <v>71</v>
      </c>
      <c r="G38" s="20">
        <v>24</v>
      </c>
      <c r="H38" s="13" t="s">
        <v>75</v>
      </c>
      <c r="I38" s="21">
        <f t="shared" si="9"/>
        <v>156666.66666666666</v>
      </c>
      <c r="J38" s="22">
        <f t="shared" si="10"/>
        <v>5.3533333333333326</v>
      </c>
      <c r="K38" s="22"/>
      <c r="L38" s="21">
        <f>1.5*10^5</f>
        <v>150000</v>
      </c>
      <c r="M38" s="21">
        <f t="shared" ref="M38:N38" si="12">1.44*10^5</f>
        <v>144000</v>
      </c>
      <c r="N38" s="21">
        <f t="shared" si="12"/>
        <v>144000</v>
      </c>
      <c r="O38" s="21">
        <f t="shared" ref="O38:P38" si="13">1.91*10^5</f>
        <v>191000</v>
      </c>
      <c r="P38" s="21">
        <f t="shared" si="13"/>
        <v>191000</v>
      </c>
      <c r="Q38" s="21">
        <f>1.2*10^5</f>
        <v>120000</v>
      </c>
      <c r="R38" s="22">
        <v>6.15</v>
      </c>
      <c r="S38" s="22">
        <v>4.3499999999999996</v>
      </c>
      <c r="T38" s="22">
        <v>5.83</v>
      </c>
      <c r="U38" s="22">
        <v>6.35</v>
      </c>
      <c r="V38" s="22">
        <v>4.32</v>
      </c>
      <c r="W38" s="22">
        <v>5.12</v>
      </c>
    </row>
  </sheetData>
  <conditionalFormatting sqref="I1:I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I3:I37">
    <cfRule type="colorScale" priority="1">
      <colorScale>
        <cfvo type="min"/>
        <cfvo type="max"/>
        <color rgb="FFFCFCFF"/>
        <color rgb="FFF8696B"/>
      </colorScale>
    </cfRule>
  </conditionalFormatting>
  <conditionalFormatting sqref="J3:J38">
    <cfRule type="colorScale" priority="2">
      <colorScale>
        <cfvo type="min"/>
        <cfvo type="max"/>
        <color rgb="FFFCFCFF"/>
        <color rgb="FF63BE7B"/>
      </colorScale>
    </cfRule>
  </conditionalFormatting>
  <conditionalFormatting sqref="J1:K1048576">
    <cfRule type="colorScale" priority="8">
      <colorScale>
        <cfvo type="min"/>
        <cfvo type="max"/>
        <color rgb="FFFCFCFF"/>
        <color rgb="FFF8696B"/>
      </colorScale>
    </cfRule>
  </conditionalFormatting>
  <conditionalFormatting sqref="L3:Q38">
    <cfRule type="colorScale" priority="4">
      <colorScale>
        <cfvo type="min"/>
        <cfvo type="max"/>
        <color rgb="FFFCFCFF"/>
        <color rgb="FFF8696B"/>
      </colorScale>
    </cfRule>
    <cfRule type="top10" dxfId="0" priority="5" percent="1" rank="10"/>
  </conditionalFormatting>
  <conditionalFormatting sqref="R3:W3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opLeftCell="A134" zoomScale="55" zoomScaleNormal="55" workbookViewId="0">
      <selection activeCell="H135" sqref="H135"/>
    </sheetView>
  </sheetViews>
  <sheetFormatPr defaultColWidth="12.6640625" defaultRowHeight="15" customHeight="1" x14ac:dyDescent="0.25"/>
  <cols>
    <col min="1" max="1" width="16.44140625" customWidth="1"/>
    <col min="2" max="2" width="13.6640625" style="26" customWidth="1"/>
    <col min="3" max="3" width="6" style="26" bestFit="1" customWidth="1"/>
    <col min="4" max="4" width="7.6640625" style="26" bestFit="1" customWidth="1"/>
    <col min="5" max="5" width="5.44140625" style="26" bestFit="1" customWidth="1"/>
    <col min="6" max="6" width="9.6640625" style="26" bestFit="1" customWidth="1"/>
    <col min="7" max="7" width="8" customWidth="1"/>
    <col min="8" max="8" width="16" customWidth="1"/>
    <col min="9" max="9" width="23.33203125" customWidth="1"/>
    <col min="10" max="10" width="13.33203125" customWidth="1"/>
    <col min="11" max="11" width="8" customWidth="1"/>
    <col min="12" max="12" width="13.33203125" customWidth="1"/>
    <col min="13" max="13" width="8" customWidth="1"/>
    <col min="14" max="14" width="13.77734375" customWidth="1"/>
    <col min="15" max="16" width="8" customWidth="1"/>
    <col min="17" max="17" width="19.33203125" customWidth="1"/>
    <col min="18" max="18" width="9.6640625" customWidth="1"/>
    <col min="19" max="20" width="8" customWidth="1"/>
    <col min="21" max="21" width="11.33203125" customWidth="1"/>
    <col min="22" max="22" width="8" customWidth="1"/>
    <col min="23" max="23" width="9.6640625" style="26" bestFit="1" customWidth="1"/>
    <col min="24" max="24" width="8" customWidth="1"/>
    <col min="25" max="25" width="8.6640625" style="26" bestFit="1" customWidth="1"/>
    <col min="26" max="26" width="11.6640625" style="26" bestFit="1" customWidth="1"/>
    <col min="27" max="29" width="9.6640625" style="26" bestFit="1" customWidth="1"/>
    <col min="30" max="30" width="8" customWidth="1"/>
  </cols>
  <sheetData>
    <row r="1" spans="1:14" ht="12.75" customHeight="1" x14ac:dyDescent="0.25">
      <c r="A1" s="1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1" t="s">
        <v>6</v>
      </c>
      <c r="H1" s="1" t="s">
        <v>7</v>
      </c>
    </row>
    <row r="2" spans="1:14" ht="12.75" customHeight="1" x14ac:dyDescent="0.25">
      <c r="A2" s="1" t="s">
        <v>8</v>
      </c>
      <c r="B2" s="24">
        <v>278.40798949999999</v>
      </c>
      <c r="C2" s="24">
        <v>3.7158691899999998</v>
      </c>
      <c r="D2" s="24">
        <v>702.01898193</v>
      </c>
      <c r="E2" s="24">
        <v>5.6036586799999997</v>
      </c>
      <c r="F2" s="25">
        <v>54533.933599999997</v>
      </c>
      <c r="J2" s="3" t="s">
        <v>9</v>
      </c>
      <c r="K2" s="2"/>
      <c r="N2" s="2"/>
    </row>
    <row r="3" spans="1:14" ht="12.75" customHeight="1" x14ac:dyDescent="0.25">
      <c r="A3" s="1" t="s">
        <v>8</v>
      </c>
      <c r="B3" s="24">
        <v>708.01898193</v>
      </c>
      <c r="C3" s="24">
        <v>6.6308517499999997</v>
      </c>
      <c r="D3" s="24">
        <v>1280.4399414100001</v>
      </c>
      <c r="E3" s="24">
        <v>2.11000443</v>
      </c>
      <c r="F3" s="24">
        <v>483.51864624000001</v>
      </c>
      <c r="H3" s="4"/>
      <c r="I3" s="4"/>
      <c r="J3" s="4"/>
      <c r="K3" s="4"/>
    </row>
    <row r="4" spans="1:14" ht="12.75" customHeight="1" x14ac:dyDescent="0.25">
      <c r="A4" s="1" t="s">
        <v>8</v>
      </c>
      <c r="B4" s="24">
        <v>1465.2399902300001</v>
      </c>
      <c r="C4" s="24">
        <v>3.3101682700000001</v>
      </c>
      <c r="D4" s="24">
        <v>2001.65002441</v>
      </c>
      <c r="E4" s="24">
        <v>4.4605283699999996</v>
      </c>
      <c r="F4" s="25">
        <v>97336.070300000007</v>
      </c>
      <c r="K4" s="2"/>
    </row>
    <row r="5" spans="1:14" ht="12.75" customHeight="1" x14ac:dyDescent="0.25">
      <c r="A5" s="1" t="s">
        <v>8</v>
      </c>
      <c r="B5" s="24">
        <v>2132.4599609400002</v>
      </c>
      <c r="C5" s="24">
        <v>4.0225801499999996</v>
      </c>
      <c r="D5" s="24">
        <v>2258.4599609400002</v>
      </c>
      <c r="E5" s="24">
        <v>2.5562396000000001</v>
      </c>
      <c r="F5" s="24">
        <v>300.87280272999999</v>
      </c>
      <c r="H5" s="4"/>
      <c r="I5" s="4"/>
      <c r="J5" s="4"/>
      <c r="K5" s="4"/>
    </row>
    <row r="6" spans="1:14" ht="12.75" customHeight="1" x14ac:dyDescent="0.25">
      <c r="A6" s="1" t="s">
        <v>8</v>
      </c>
      <c r="B6" s="24">
        <v>2506.8701171900002</v>
      </c>
      <c r="C6" s="24">
        <v>2.2057700200000001</v>
      </c>
      <c r="D6" s="24">
        <v>3236.4899902299999</v>
      </c>
      <c r="E6" s="24">
        <v>8.1963920600000009</v>
      </c>
      <c r="F6" s="25">
        <v>11832.815399999999</v>
      </c>
      <c r="H6" s="4"/>
      <c r="I6" s="4"/>
      <c r="J6" s="4"/>
      <c r="K6" s="5"/>
      <c r="L6" s="4"/>
      <c r="M6" s="4"/>
      <c r="N6" s="4"/>
    </row>
    <row r="7" spans="1:14" ht="12.75" customHeight="1" x14ac:dyDescent="0.25">
      <c r="A7" s="1" t="s">
        <v>8</v>
      </c>
      <c r="B7" s="24">
        <v>3664.8999023400002</v>
      </c>
      <c r="C7" s="24">
        <v>2.8296475399999999</v>
      </c>
      <c r="D7" s="24">
        <v>4040.5100097700001</v>
      </c>
      <c r="E7" s="24">
        <v>2.6979527499999998</v>
      </c>
      <c r="F7" s="24">
        <v>8911.9189453100007</v>
      </c>
    </row>
    <row r="8" spans="1:14" ht="12.75" customHeight="1" x14ac:dyDescent="0.25"/>
    <row r="9" spans="1:14" ht="12.75" customHeight="1" x14ac:dyDescent="0.25"/>
    <row r="10" spans="1:14" ht="12.75" customHeight="1" x14ac:dyDescent="0.25">
      <c r="A10" s="1" t="s">
        <v>0</v>
      </c>
      <c r="B10" s="24" t="s">
        <v>1</v>
      </c>
      <c r="C10" s="24" t="s">
        <v>2</v>
      </c>
      <c r="D10" s="24" t="s">
        <v>3</v>
      </c>
      <c r="E10" s="24" t="s">
        <v>4</v>
      </c>
      <c r="F10" s="24" t="s">
        <v>5</v>
      </c>
      <c r="G10" s="1" t="s">
        <v>10</v>
      </c>
    </row>
    <row r="11" spans="1:14" ht="12.75" customHeight="1" x14ac:dyDescent="0.25">
      <c r="A11" s="1" t="s">
        <v>11</v>
      </c>
      <c r="B11" s="24">
        <v>280.80801392000001</v>
      </c>
      <c r="C11" s="24">
        <v>1.34541965</v>
      </c>
      <c r="D11" s="24">
        <v>597.61602783000001</v>
      </c>
      <c r="E11" s="24">
        <v>1.4889414299999999</v>
      </c>
      <c r="F11" s="24">
        <v>1619.0815429700001</v>
      </c>
    </row>
    <row r="12" spans="1:14" ht="12.75" customHeight="1" x14ac:dyDescent="0.25">
      <c r="A12" s="1" t="s">
        <v>11</v>
      </c>
      <c r="B12" s="24">
        <v>717.61999512</v>
      </c>
      <c r="C12" s="24">
        <v>1.16008735</v>
      </c>
      <c r="D12" s="24">
        <v>944.42602538999995</v>
      </c>
      <c r="E12" s="24">
        <v>1.7349137100000001</v>
      </c>
      <c r="F12" s="24">
        <v>1261.9854736299999</v>
      </c>
    </row>
    <row r="13" spans="1:14" ht="12.75" customHeight="1" x14ac:dyDescent="0.25">
      <c r="A13" s="1" t="s">
        <v>11</v>
      </c>
      <c r="B13" s="24">
        <v>1480.8399658200001</v>
      </c>
      <c r="C13" s="24">
        <v>1.0700386799999999</v>
      </c>
      <c r="D13" s="24">
        <v>1843.25</v>
      </c>
      <c r="E13" s="24">
        <v>1.54526973</v>
      </c>
      <c r="F13" s="24">
        <v>2932.3041992200001</v>
      </c>
    </row>
    <row r="14" spans="1:14" ht="12.75" customHeight="1" x14ac:dyDescent="0.25">
      <c r="A14" s="1" t="s">
        <v>11</v>
      </c>
      <c r="B14" s="24">
        <v>2509.2700195299999</v>
      </c>
      <c r="C14" s="24">
        <v>1.5446409000000001</v>
      </c>
      <c r="D14" s="24">
        <v>2647.2700195299999</v>
      </c>
      <c r="E14" s="24">
        <v>1.52383471</v>
      </c>
      <c r="F14" s="24">
        <v>75.398963929999994</v>
      </c>
    </row>
    <row r="15" spans="1:14" ht="12.75" customHeight="1" x14ac:dyDescent="0.25">
      <c r="A15" s="1" t="s">
        <v>11</v>
      </c>
      <c r="B15" s="24">
        <v>3673.3000488299999</v>
      </c>
      <c r="C15" s="24">
        <v>0.55596393</v>
      </c>
      <c r="D15" s="24">
        <v>3892.9099121099998</v>
      </c>
      <c r="E15" s="24">
        <v>1.26297617</v>
      </c>
      <c r="F15" s="24">
        <v>293.10775756999999</v>
      </c>
    </row>
    <row r="16" spans="1:14" ht="12.75" customHeight="1" x14ac:dyDescent="0.25"/>
    <row r="17" spans="1:26" ht="12.75" customHeight="1" x14ac:dyDescent="0.25">
      <c r="A17" s="1" t="s">
        <v>0</v>
      </c>
      <c r="B17" s="24" t="s">
        <v>1</v>
      </c>
      <c r="C17" s="24" t="s">
        <v>2</v>
      </c>
      <c r="D17" s="24" t="s">
        <v>3</v>
      </c>
      <c r="E17" s="24" t="s">
        <v>4</v>
      </c>
      <c r="F17" s="24" t="s">
        <v>5</v>
      </c>
      <c r="G17" s="1" t="s">
        <v>12</v>
      </c>
    </row>
    <row r="18" spans="1:26" ht="12.75" customHeight="1" x14ac:dyDescent="0.25">
      <c r="A18" s="1" t="s">
        <v>13</v>
      </c>
      <c r="B18" s="24">
        <v>279.60800171</v>
      </c>
      <c r="C18" s="24">
        <v>4.1337604499999996</v>
      </c>
      <c r="D18" s="24">
        <v>603.61700439000003</v>
      </c>
      <c r="E18" s="24">
        <v>4.11680841</v>
      </c>
      <c r="F18" s="24">
        <v>2811.8496093799999</v>
      </c>
    </row>
    <row r="19" spans="1:26" ht="12.75" customHeight="1" x14ac:dyDescent="0.25">
      <c r="A19" s="1" t="s">
        <v>13</v>
      </c>
      <c r="B19" s="24">
        <v>716.41998291000004</v>
      </c>
      <c r="C19" s="24">
        <v>5.1412277199999998</v>
      </c>
      <c r="D19" s="24">
        <v>1123.2299804700001</v>
      </c>
      <c r="E19" s="24">
        <v>5.3221759799999999</v>
      </c>
      <c r="F19" s="25">
        <v>17661.785199999998</v>
      </c>
    </row>
    <row r="20" spans="1:26" ht="12.75" customHeight="1" x14ac:dyDescent="0.25">
      <c r="A20" s="1" t="s">
        <v>13</v>
      </c>
      <c r="B20" s="24">
        <v>1456.8399658200001</v>
      </c>
      <c r="C20" s="24">
        <v>4.2965025900000002</v>
      </c>
      <c r="D20" s="24">
        <v>1846.84997559</v>
      </c>
      <c r="E20" s="24">
        <v>5.1874532699999998</v>
      </c>
      <c r="F20" s="24">
        <v>4729.4262695300004</v>
      </c>
      <c r="U20" s="1" t="s">
        <v>14</v>
      </c>
    </row>
    <row r="21" spans="1:26" ht="12.75" customHeight="1" x14ac:dyDescent="0.25">
      <c r="A21" s="1" t="s">
        <v>13</v>
      </c>
      <c r="B21" s="24">
        <v>2101.2600097700001</v>
      </c>
      <c r="C21" s="24">
        <v>3.9931125600000001</v>
      </c>
      <c r="D21" s="24">
        <v>2253.6599121099998</v>
      </c>
      <c r="E21" s="24">
        <v>3.2013564099999998</v>
      </c>
      <c r="F21" s="24">
        <v>741.98907470999995</v>
      </c>
      <c r="U21" s="1" t="s">
        <v>15</v>
      </c>
      <c r="V21" s="1" t="s">
        <v>16</v>
      </c>
      <c r="W21" s="24" t="s">
        <v>17</v>
      </c>
    </row>
    <row r="22" spans="1:26" ht="12.75" customHeight="1" x14ac:dyDescent="0.25">
      <c r="A22" s="1" t="s">
        <v>13</v>
      </c>
      <c r="B22" s="24">
        <v>2510.4699707</v>
      </c>
      <c r="C22" s="24">
        <v>4.54571199</v>
      </c>
      <c r="D22" s="24">
        <v>2685.6699218799999</v>
      </c>
      <c r="E22" s="24">
        <v>4.3312468500000003</v>
      </c>
      <c r="F22" s="24">
        <v>277.83486937999999</v>
      </c>
      <c r="U22" s="1">
        <v>21</v>
      </c>
      <c r="V22" s="1">
        <v>720</v>
      </c>
      <c r="W22" s="24">
        <f>F27</f>
        <v>289664</v>
      </c>
      <c r="Z22" s="25"/>
    </row>
    <row r="23" spans="1:26" ht="12.75" customHeight="1" x14ac:dyDescent="0.25">
      <c r="A23" s="1" t="s">
        <v>13</v>
      </c>
      <c r="B23" s="24">
        <v>3138.0900878900002</v>
      </c>
      <c r="C23" s="24">
        <v>3.8298962099999998</v>
      </c>
      <c r="D23" s="24">
        <v>3372.0900878900002</v>
      </c>
      <c r="E23" s="24">
        <v>4.5887026799999999</v>
      </c>
      <c r="F23" s="24">
        <v>1566.31604004</v>
      </c>
      <c r="U23" s="1">
        <v>22</v>
      </c>
      <c r="V23" s="1">
        <v>1850</v>
      </c>
      <c r="W23" s="24">
        <f>N106</f>
        <v>285568.18800000002</v>
      </c>
      <c r="Z23" s="25"/>
    </row>
    <row r="24" spans="1:26" ht="12.75" customHeight="1" x14ac:dyDescent="0.25">
      <c r="A24" s="1" t="s">
        <v>13</v>
      </c>
      <c r="B24" s="24">
        <v>3666.1000976599998</v>
      </c>
      <c r="C24" s="24">
        <v>4.3698978400000001</v>
      </c>
      <c r="D24" s="24">
        <v>3904.9099121099998</v>
      </c>
      <c r="E24" s="24">
        <v>5.1303081500000003</v>
      </c>
      <c r="F24" s="24">
        <v>365.89547728999997</v>
      </c>
      <c r="U24" s="1">
        <v>22</v>
      </c>
      <c r="V24" s="1">
        <v>7700</v>
      </c>
      <c r="W24" s="24">
        <f>N112</f>
        <v>292006.31199999998</v>
      </c>
      <c r="Z24" s="25"/>
    </row>
    <row r="25" spans="1:26" ht="12.75" customHeight="1" x14ac:dyDescent="0.25">
      <c r="U25" s="1">
        <v>22</v>
      </c>
      <c r="V25" s="1">
        <v>12850</v>
      </c>
      <c r="W25" s="24">
        <f>N119</f>
        <v>265549.375</v>
      </c>
    </row>
    <row r="26" spans="1:26" ht="12.75" customHeight="1" x14ac:dyDescent="0.25">
      <c r="A26" s="1" t="s">
        <v>0</v>
      </c>
      <c r="B26" s="24" t="s">
        <v>1</v>
      </c>
      <c r="C26" s="24" t="s">
        <v>2</v>
      </c>
      <c r="D26" s="24" t="s">
        <v>3</v>
      </c>
      <c r="E26" s="24" t="s">
        <v>4</v>
      </c>
      <c r="F26" s="24" t="s">
        <v>5</v>
      </c>
      <c r="G26" s="1" t="s">
        <v>17</v>
      </c>
      <c r="U26" s="1">
        <v>23</v>
      </c>
      <c r="V26" s="1">
        <v>900</v>
      </c>
      <c r="W26" s="24">
        <f>N209</f>
        <v>270616.68800000002</v>
      </c>
    </row>
    <row r="27" spans="1:26" ht="12.75" customHeight="1" x14ac:dyDescent="0.25">
      <c r="A27" s="1" t="s">
        <v>18</v>
      </c>
      <c r="B27" s="24">
        <v>717.61999512</v>
      </c>
      <c r="C27" s="24">
        <v>0.72469991</v>
      </c>
      <c r="D27" s="24">
        <v>1189.2299804700001</v>
      </c>
      <c r="E27" s="24">
        <v>2.8715343500000001</v>
      </c>
      <c r="F27" s="27">
        <v>289664</v>
      </c>
      <c r="V27" s="1">
        <v>7100</v>
      </c>
      <c r="W27" s="24">
        <f>N216</f>
        <v>255663.984</v>
      </c>
    </row>
    <row r="28" spans="1:26" ht="12.75" customHeight="1" x14ac:dyDescent="0.25">
      <c r="A28" s="1" t="s">
        <v>18</v>
      </c>
      <c r="B28" s="24">
        <v>1485.64001465</v>
      </c>
      <c r="C28" s="24">
        <v>0</v>
      </c>
      <c r="D28" s="24">
        <v>1890.0500488299999</v>
      </c>
      <c r="E28" s="24">
        <v>1.4767129400000001</v>
      </c>
      <c r="F28" s="24">
        <v>218.97242736999999</v>
      </c>
      <c r="V28" s="1">
        <v>15850</v>
      </c>
      <c r="W28" s="24">
        <f>N227</f>
        <v>271514.96899999998</v>
      </c>
    </row>
    <row r="29" spans="1:26" ht="12.75" customHeight="1" x14ac:dyDescent="0.25">
      <c r="A29" s="1" t="s">
        <v>18</v>
      </c>
      <c r="B29" s="24">
        <v>2126.4599609400002</v>
      </c>
      <c r="C29" s="24">
        <v>1.4696579000000001</v>
      </c>
      <c r="D29" s="24">
        <v>2254.8601074200001</v>
      </c>
      <c r="E29" s="24">
        <v>0.70853275000000004</v>
      </c>
      <c r="F29" s="24">
        <v>-1.1677309300000001</v>
      </c>
      <c r="U29" s="1">
        <v>24</v>
      </c>
      <c r="V29" s="1">
        <v>1850</v>
      </c>
      <c r="W29" s="24">
        <f>N288</f>
        <v>249821.29699999999</v>
      </c>
    </row>
    <row r="30" spans="1:26" ht="12.75" customHeight="1" x14ac:dyDescent="0.25">
      <c r="A30" s="1" t="s">
        <v>18</v>
      </c>
      <c r="B30" s="24">
        <v>2510.4699707</v>
      </c>
      <c r="C30" s="24">
        <v>0.73138623999999997</v>
      </c>
      <c r="D30" s="24">
        <v>3042.0800781200001</v>
      </c>
      <c r="E30" s="24">
        <v>0</v>
      </c>
      <c r="F30" s="24">
        <v>336.78948974999997</v>
      </c>
      <c r="V30" s="1">
        <v>7850</v>
      </c>
      <c r="W30" s="24">
        <f>N295</f>
        <v>246456.484</v>
      </c>
    </row>
    <row r="31" spans="1:26" ht="12.75" customHeight="1" x14ac:dyDescent="0.25">
      <c r="A31" s="1" t="s">
        <v>18</v>
      </c>
      <c r="B31" s="24">
        <v>3159.6899414099998</v>
      </c>
      <c r="C31" s="24">
        <v>1.4912097499999999</v>
      </c>
      <c r="D31" s="24">
        <v>3393.6899414099998</v>
      </c>
      <c r="E31" s="24">
        <v>0.75574589000000003</v>
      </c>
      <c r="F31" s="24">
        <v>-20.893499370000001</v>
      </c>
      <c r="U31" s="1">
        <v>27</v>
      </c>
      <c r="V31" s="1">
        <v>800</v>
      </c>
      <c r="W31" s="24">
        <f>N387</f>
        <v>253327.56200000001</v>
      </c>
    </row>
    <row r="32" spans="1:26" ht="12.75" customHeight="1" x14ac:dyDescent="0.25">
      <c r="A32" s="1" t="s">
        <v>18</v>
      </c>
      <c r="B32" s="24">
        <v>3681.6999511700001</v>
      </c>
      <c r="C32" s="24">
        <v>0.73973137</v>
      </c>
      <c r="D32" s="24">
        <v>3931.3100585900002</v>
      </c>
      <c r="E32" s="24">
        <v>0</v>
      </c>
      <c r="F32" s="24">
        <v>172.06965636999999</v>
      </c>
      <c r="V32" s="1">
        <v>6650</v>
      </c>
      <c r="W32" s="24">
        <f>N394</f>
        <v>260672.34400000001</v>
      </c>
    </row>
    <row r="33" spans="1:23" ht="12.75" customHeight="1" x14ac:dyDescent="0.25">
      <c r="V33" s="1">
        <v>15700</v>
      </c>
      <c r="W33" s="24">
        <f>N405</f>
        <v>265392.90600000002</v>
      </c>
    </row>
    <row r="34" spans="1:23" ht="12.75" customHeight="1" x14ac:dyDescent="0.25">
      <c r="I34" s="1" t="s">
        <v>19</v>
      </c>
      <c r="U34" s="1">
        <v>28</v>
      </c>
      <c r="V34" s="1">
        <v>3020</v>
      </c>
      <c r="W34" s="24">
        <f>N470</f>
        <v>250897.5</v>
      </c>
    </row>
    <row r="35" spans="1:23" ht="12.75" customHeight="1" x14ac:dyDescent="0.25">
      <c r="A35" s="1" t="s">
        <v>20</v>
      </c>
      <c r="I35" s="1" t="s">
        <v>0</v>
      </c>
      <c r="J35" s="1" t="s">
        <v>1</v>
      </c>
      <c r="K35" s="1" t="s">
        <v>2</v>
      </c>
      <c r="L35" s="1" t="s">
        <v>3</v>
      </c>
      <c r="M35" s="1" t="s">
        <v>4</v>
      </c>
      <c r="N35" s="1" t="s">
        <v>5</v>
      </c>
      <c r="V35" s="1">
        <v>1460</v>
      </c>
      <c r="W35" s="24">
        <f>N480</f>
        <v>269357.03100000002</v>
      </c>
    </row>
    <row r="36" spans="1:23" ht="12.75" customHeight="1" x14ac:dyDescent="0.25">
      <c r="I36" s="1" t="s">
        <v>21</v>
      </c>
      <c r="J36" s="1">
        <v>1124.43005371</v>
      </c>
      <c r="K36" s="1">
        <v>5.75731707</v>
      </c>
      <c r="L36" s="1">
        <v>1428.04003906</v>
      </c>
      <c r="M36" s="1">
        <v>26.56888962</v>
      </c>
      <c r="N36" s="2">
        <v>43399.593800000002</v>
      </c>
      <c r="U36" s="1" t="s">
        <v>22</v>
      </c>
      <c r="V36" s="1">
        <v>1210</v>
      </c>
      <c r="W36" s="24">
        <f>N514</f>
        <v>243320.891</v>
      </c>
    </row>
    <row r="37" spans="1:23" ht="12.75" customHeight="1" x14ac:dyDescent="0.25">
      <c r="I37" s="1" t="s">
        <v>21</v>
      </c>
      <c r="J37" s="1">
        <v>2598.0700683599998</v>
      </c>
      <c r="K37" s="1">
        <v>5.1281819300000002</v>
      </c>
      <c r="L37" s="1">
        <v>2995.2800293</v>
      </c>
      <c r="M37" s="1">
        <v>15.451931950000001</v>
      </c>
      <c r="N37" s="2">
        <v>94301.0625</v>
      </c>
      <c r="U37" s="1" t="s">
        <v>23</v>
      </c>
      <c r="V37" s="1">
        <v>650</v>
      </c>
      <c r="W37" s="24">
        <f>N596</f>
        <v>243956.17199999999</v>
      </c>
    </row>
    <row r="38" spans="1:23" ht="12.75" customHeight="1" x14ac:dyDescent="0.25">
      <c r="I38" s="1" t="s">
        <v>21</v>
      </c>
      <c r="J38" s="1">
        <v>3339.6899414099998</v>
      </c>
      <c r="K38" s="1">
        <v>7.3845119500000003</v>
      </c>
      <c r="L38" s="1">
        <v>3697.3000488299999</v>
      </c>
      <c r="M38" s="1">
        <v>14.124188419999999</v>
      </c>
      <c r="N38" s="2">
        <v>34239.417999999998</v>
      </c>
      <c r="V38" s="1">
        <v>1200</v>
      </c>
      <c r="W38" s="24">
        <f>N609</f>
        <v>264088.59399999998</v>
      </c>
    </row>
    <row r="39" spans="1:23" ht="12.75" customHeight="1" x14ac:dyDescent="0.25">
      <c r="I39" s="1" t="s">
        <v>21</v>
      </c>
      <c r="J39" s="1">
        <v>4082.5100097700001</v>
      </c>
      <c r="K39" s="1">
        <v>17.594861980000001</v>
      </c>
      <c r="L39" s="1">
        <v>4394.5200195300004</v>
      </c>
      <c r="M39" s="1">
        <v>22.434652329999999</v>
      </c>
      <c r="N39" s="2">
        <v>29705.964800000002</v>
      </c>
      <c r="V39" s="1">
        <v>18250</v>
      </c>
      <c r="W39" s="24">
        <f>N616</f>
        <v>271849.625</v>
      </c>
    </row>
    <row r="40" spans="1:23" ht="12.75" customHeight="1" x14ac:dyDescent="0.25">
      <c r="I40" s="1" t="s">
        <v>21</v>
      </c>
      <c r="J40" s="1">
        <v>5551.3500976599998</v>
      </c>
      <c r="K40" s="1">
        <v>6.6601920100000003</v>
      </c>
      <c r="L40" s="1">
        <v>5874.16015625</v>
      </c>
      <c r="M40" s="1">
        <v>29.699167249999999</v>
      </c>
      <c r="N40" s="2">
        <v>61742.605499999998</v>
      </c>
      <c r="U40" s="1">
        <v>31</v>
      </c>
      <c r="V40" s="1">
        <v>1120</v>
      </c>
      <c r="W40" s="24">
        <f>N712</f>
        <v>225424.15599999999</v>
      </c>
    </row>
    <row r="41" spans="1:23" ht="12.75" customHeight="1" x14ac:dyDescent="0.25">
      <c r="I41" s="1" t="s">
        <v>21</v>
      </c>
      <c r="J41" s="1">
        <v>6955.3901367199996</v>
      </c>
      <c r="K41" s="1">
        <v>10.55898857</v>
      </c>
      <c r="L41" s="1">
        <v>7229</v>
      </c>
      <c r="M41" s="1">
        <v>17.27137184</v>
      </c>
      <c r="N41" s="2">
        <v>18984.6875</v>
      </c>
      <c r="V41" s="1">
        <v>7500</v>
      </c>
      <c r="W41" s="24">
        <f>N719</f>
        <v>267823.53100000002</v>
      </c>
    </row>
    <row r="42" spans="1:23" ht="12.75" customHeight="1" x14ac:dyDescent="0.25">
      <c r="I42" s="1" t="s">
        <v>21</v>
      </c>
      <c r="J42" s="1">
        <v>8420.6298828100007</v>
      </c>
      <c r="K42" s="1">
        <v>8.2330293700000006</v>
      </c>
      <c r="L42" s="1">
        <v>8942.6396484399993</v>
      </c>
      <c r="M42" s="1">
        <v>30.85893059</v>
      </c>
      <c r="N42" s="2">
        <v>291506.5</v>
      </c>
      <c r="V42" s="1">
        <v>19650</v>
      </c>
      <c r="W42" s="24">
        <f>N733</f>
        <v>236947.03099999999</v>
      </c>
    </row>
    <row r="43" spans="1:23" ht="12.75" customHeight="1" x14ac:dyDescent="0.25">
      <c r="I43" s="1" t="s">
        <v>21</v>
      </c>
      <c r="J43" s="1">
        <v>9163.4501953100007</v>
      </c>
      <c r="K43" s="1">
        <v>24.516580579999999</v>
      </c>
      <c r="L43" s="1">
        <v>9713.0703125</v>
      </c>
      <c r="M43" s="1">
        <v>26.5949192</v>
      </c>
      <c r="N43" s="2">
        <v>605906.5</v>
      </c>
    </row>
    <row r="44" spans="1:23" ht="12.75" customHeight="1" x14ac:dyDescent="0.25">
      <c r="I44" s="1" t="s">
        <v>21</v>
      </c>
      <c r="J44" s="1">
        <v>9899.0703125</v>
      </c>
      <c r="K44" s="1">
        <v>20.272220610000002</v>
      </c>
      <c r="L44" s="2">
        <v>10297.5</v>
      </c>
      <c r="M44" s="1">
        <v>31.95603371</v>
      </c>
      <c r="N44" s="2">
        <v>276364.40600000002</v>
      </c>
    </row>
    <row r="45" spans="1:23" ht="12.75" customHeight="1" x14ac:dyDescent="0.25">
      <c r="I45" s="1" t="s">
        <v>21</v>
      </c>
      <c r="J45" s="2">
        <v>10620.299800000001</v>
      </c>
      <c r="K45" s="1">
        <v>18.283403400000001</v>
      </c>
      <c r="L45" s="2">
        <v>11361.9004</v>
      </c>
      <c r="M45" s="1">
        <v>113.61793518</v>
      </c>
      <c r="N45" s="2">
        <v>5385232</v>
      </c>
    </row>
    <row r="46" spans="1:23" ht="12.75" customHeight="1" x14ac:dyDescent="0.25">
      <c r="I46" s="1" t="s">
        <v>21</v>
      </c>
      <c r="J46" s="2">
        <v>11373.9004</v>
      </c>
      <c r="K46" s="1">
        <v>116.02503204</v>
      </c>
      <c r="L46" s="2">
        <v>11948.700199999999</v>
      </c>
      <c r="M46" s="1">
        <v>74.530014039999998</v>
      </c>
      <c r="N46" s="2">
        <v>5039822.5</v>
      </c>
    </row>
    <row r="47" spans="1:23" ht="12.75" customHeight="1" x14ac:dyDescent="0.25">
      <c r="I47" s="1" t="s">
        <v>21</v>
      </c>
      <c r="J47" s="2">
        <v>12107.0996</v>
      </c>
      <c r="K47" s="1">
        <v>40.9083252</v>
      </c>
      <c r="L47" s="2">
        <v>12881.200199999999</v>
      </c>
      <c r="M47" s="1">
        <v>40.269054410000003</v>
      </c>
      <c r="N47" s="2">
        <v>7148400</v>
      </c>
    </row>
    <row r="48" spans="1:23" ht="12.75" customHeight="1" x14ac:dyDescent="0.25"/>
    <row r="49" spans="9:14" ht="12.75" customHeight="1" x14ac:dyDescent="0.25">
      <c r="I49" s="1" t="s">
        <v>24</v>
      </c>
    </row>
    <row r="50" spans="9:14" ht="12.75" customHeight="1" x14ac:dyDescent="0.25">
      <c r="I50" s="1" t="s">
        <v>0</v>
      </c>
      <c r="J50" s="1" t="s">
        <v>1</v>
      </c>
      <c r="K50" s="1" t="s">
        <v>2</v>
      </c>
      <c r="L50" s="1" t="s">
        <v>3</v>
      </c>
      <c r="M50" s="1" t="s">
        <v>4</v>
      </c>
      <c r="N50" s="1" t="s">
        <v>5</v>
      </c>
    </row>
    <row r="51" spans="9:14" ht="12.75" customHeight="1" x14ac:dyDescent="0.25">
      <c r="I51" s="1" t="s">
        <v>25</v>
      </c>
      <c r="J51" s="1">
        <v>1126.82995605</v>
      </c>
      <c r="K51" s="1">
        <v>8.1429920199999994</v>
      </c>
      <c r="L51" s="1">
        <v>1446.04003906</v>
      </c>
      <c r="M51" s="1">
        <v>18.536354060000001</v>
      </c>
      <c r="N51" s="2">
        <v>43234.023399999998</v>
      </c>
    </row>
    <row r="52" spans="9:14" ht="12.75" customHeight="1" x14ac:dyDescent="0.25">
      <c r="I52" s="1" t="s">
        <v>25</v>
      </c>
      <c r="J52" s="1">
        <v>1855.25</v>
      </c>
      <c r="K52" s="1">
        <v>2.6548640699999999</v>
      </c>
      <c r="L52" s="1">
        <v>2232.0600585900002</v>
      </c>
      <c r="M52" s="1">
        <v>2.4550731200000002</v>
      </c>
      <c r="N52" s="1">
        <v>1263.6398925799999</v>
      </c>
    </row>
    <row r="53" spans="9:14" ht="12.75" customHeight="1" x14ac:dyDescent="0.25">
      <c r="I53" s="1" t="s">
        <v>25</v>
      </c>
      <c r="J53" s="1">
        <v>2599.2700195299999</v>
      </c>
      <c r="K53" s="1">
        <v>3.1199293099999998</v>
      </c>
      <c r="L53" s="1">
        <v>3003.6799316400002</v>
      </c>
      <c r="M53" s="1">
        <v>13.105734829999999</v>
      </c>
      <c r="N53" s="2">
        <v>93853.679699999993</v>
      </c>
    </row>
    <row r="54" spans="9:14" ht="12.75" customHeight="1" x14ac:dyDescent="0.25">
      <c r="I54" s="1" t="s">
        <v>25</v>
      </c>
      <c r="J54" s="1">
        <v>3332.4899902299999</v>
      </c>
      <c r="K54" s="1">
        <v>3.3022837599999999</v>
      </c>
      <c r="L54" s="1">
        <v>3746.5</v>
      </c>
      <c r="M54" s="1">
        <v>7.3856248899999999</v>
      </c>
      <c r="N54" s="2">
        <v>35138.656199999998</v>
      </c>
    </row>
    <row r="55" spans="9:14" ht="12.75" customHeight="1" x14ac:dyDescent="0.25">
      <c r="I55" s="1" t="s">
        <v>25</v>
      </c>
      <c r="J55" s="1">
        <v>4082.5100097700001</v>
      </c>
      <c r="K55" s="1">
        <v>13.662250520000001</v>
      </c>
      <c r="L55" s="1">
        <v>4450.9199218800004</v>
      </c>
      <c r="M55" s="1">
        <v>9.6212310799999994</v>
      </c>
      <c r="N55" s="2">
        <v>31075.333999999999</v>
      </c>
    </row>
    <row r="56" spans="9:14" ht="12.75" customHeight="1" x14ac:dyDescent="0.25">
      <c r="I56" s="1" t="s">
        <v>25</v>
      </c>
      <c r="J56" s="1">
        <v>5552.5498046900002</v>
      </c>
      <c r="K56" s="1">
        <v>7.4553446799999996</v>
      </c>
      <c r="L56" s="1">
        <v>5919.7597656199996</v>
      </c>
      <c r="M56" s="1">
        <v>13.64410114</v>
      </c>
      <c r="N56" s="2">
        <v>63243.164100000002</v>
      </c>
    </row>
    <row r="57" spans="9:14" ht="12.75" customHeight="1" x14ac:dyDescent="0.25">
      <c r="I57" s="1" t="s">
        <v>25</v>
      </c>
      <c r="J57" s="1">
        <v>6954.1899414099998</v>
      </c>
      <c r="K57" s="1">
        <v>5.8035321199999998</v>
      </c>
      <c r="L57" s="1">
        <v>7257.7998046900002</v>
      </c>
      <c r="M57" s="1">
        <v>8.7775478400000004</v>
      </c>
      <c r="N57" s="2">
        <v>19601.050800000001</v>
      </c>
    </row>
    <row r="58" spans="9:14" ht="12.75" customHeight="1" x14ac:dyDescent="0.25">
      <c r="I58" s="1" t="s">
        <v>25</v>
      </c>
      <c r="J58" s="1">
        <v>7699.41015625</v>
      </c>
      <c r="K58" s="1">
        <v>7.9989686000000004</v>
      </c>
      <c r="L58" s="1">
        <v>7893.8198242199996</v>
      </c>
      <c r="M58" s="1">
        <v>3.3543233899999998</v>
      </c>
      <c r="N58" s="1">
        <v>701.54754638999998</v>
      </c>
    </row>
    <row r="59" spans="9:14" ht="12.75" customHeight="1" x14ac:dyDescent="0.25">
      <c r="I59" s="1" t="s">
        <v>25</v>
      </c>
      <c r="J59" s="1">
        <v>8407.4296875</v>
      </c>
      <c r="K59" s="1">
        <v>3.13395476</v>
      </c>
      <c r="L59" s="1">
        <v>9083.0498046899993</v>
      </c>
      <c r="M59" s="1">
        <v>15.88595581</v>
      </c>
      <c r="N59" s="2">
        <v>289702.68800000002</v>
      </c>
    </row>
    <row r="60" spans="9:14" ht="12.75" customHeight="1" x14ac:dyDescent="0.25">
      <c r="I60" s="1" t="s">
        <v>25</v>
      </c>
      <c r="J60" s="1">
        <v>9162.25</v>
      </c>
      <c r="K60" s="1">
        <v>11.975507739999999</v>
      </c>
      <c r="L60" s="1">
        <v>9758.6699218800004</v>
      </c>
      <c r="M60" s="1">
        <v>15.117463109999999</v>
      </c>
      <c r="N60" s="2">
        <v>604020.56200000003</v>
      </c>
    </row>
    <row r="61" spans="9:14" ht="12.75" customHeight="1" x14ac:dyDescent="0.25">
      <c r="I61" s="1" t="s">
        <v>25</v>
      </c>
      <c r="J61" s="1">
        <v>9900.26953125</v>
      </c>
      <c r="K61" s="1">
        <v>8.5830268899999993</v>
      </c>
      <c r="L61" s="2">
        <v>10437.9004</v>
      </c>
      <c r="M61" s="1">
        <v>14.32941151</v>
      </c>
      <c r="N61" s="2">
        <v>278863.65600000002</v>
      </c>
    </row>
    <row r="62" spans="9:14" ht="12.75" customHeight="1" x14ac:dyDescent="0.25">
      <c r="I62" s="1" t="s">
        <v>25</v>
      </c>
      <c r="J62" s="2">
        <v>10638.299800000001</v>
      </c>
      <c r="K62" s="1">
        <v>15.099823949999999</v>
      </c>
      <c r="L62" s="2">
        <v>11376.299800000001</v>
      </c>
      <c r="M62" s="1">
        <v>107.92100524999999</v>
      </c>
      <c r="N62" s="2">
        <v>5380736.5</v>
      </c>
    </row>
    <row r="63" spans="9:14" ht="12.75" customHeight="1" x14ac:dyDescent="0.25">
      <c r="I63" s="1" t="s">
        <v>25</v>
      </c>
      <c r="J63" s="2">
        <v>11339.0996</v>
      </c>
      <c r="K63" s="1">
        <v>121.42737579</v>
      </c>
      <c r="L63" s="2">
        <v>12098.700199999999</v>
      </c>
      <c r="M63" s="1">
        <v>26.149618149999998</v>
      </c>
      <c r="N63" s="2">
        <v>5039859</v>
      </c>
    </row>
    <row r="64" spans="9:14" ht="12.75" customHeight="1" x14ac:dyDescent="0.25">
      <c r="I64" s="1" t="s">
        <v>25</v>
      </c>
      <c r="J64" s="2">
        <v>12102.299800000001</v>
      </c>
      <c r="K64" s="1">
        <v>24.99139023</v>
      </c>
      <c r="L64" s="2">
        <v>12870.4004</v>
      </c>
      <c r="M64" s="1">
        <v>63.911834720000002</v>
      </c>
      <c r="N64" s="2">
        <v>7134724</v>
      </c>
    </row>
    <row r="65" spans="9:14" ht="12.75" customHeight="1" x14ac:dyDescent="0.25">
      <c r="I65" s="1" t="s">
        <v>25</v>
      </c>
      <c r="J65" s="2">
        <v>12870.4004</v>
      </c>
      <c r="K65" s="1">
        <v>63.911834720000002</v>
      </c>
      <c r="L65" s="2">
        <v>13180</v>
      </c>
      <c r="M65" s="1">
        <v>4.0576329199999996</v>
      </c>
      <c r="N65" s="1">
        <v>-7402.26953125</v>
      </c>
    </row>
    <row r="66" spans="9:14" ht="12.75" customHeight="1" x14ac:dyDescent="0.25"/>
    <row r="67" spans="9:14" ht="12.75" customHeight="1" x14ac:dyDescent="0.25">
      <c r="I67" s="1" t="s">
        <v>10</v>
      </c>
    </row>
    <row r="68" spans="9:14" ht="12.75" customHeight="1" x14ac:dyDescent="0.25">
      <c r="I68" s="1" t="s">
        <v>0</v>
      </c>
      <c r="J68" s="1" t="s">
        <v>1</v>
      </c>
      <c r="K68" s="1" t="s">
        <v>2</v>
      </c>
      <c r="L68" s="1" t="s">
        <v>3</v>
      </c>
      <c r="M68" s="1" t="s">
        <v>4</v>
      </c>
      <c r="N68" s="1" t="s">
        <v>5</v>
      </c>
    </row>
    <row r="69" spans="9:14" ht="12.75" customHeight="1" x14ac:dyDescent="0.25">
      <c r="I69" s="1" t="s">
        <v>26</v>
      </c>
      <c r="J69" s="1">
        <v>1128.0300293</v>
      </c>
      <c r="K69" s="1">
        <v>2.31468534</v>
      </c>
      <c r="L69" s="1">
        <v>1447.2399902300001</v>
      </c>
      <c r="M69" s="1">
        <v>1.5259715300000001</v>
      </c>
      <c r="N69" s="1">
        <v>1343.6296386700001</v>
      </c>
    </row>
    <row r="70" spans="9:14" ht="12.75" customHeight="1" x14ac:dyDescent="0.25">
      <c r="I70" s="1" t="s">
        <v>26</v>
      </c>
      <c r="J70" s="1">
        <v>1867.25</v>
      </c>
      <c r="K70" s="1">
        <v>2.2822499299999999</v>
      </c>
      <c r="L70" s="1">
        <v>2126.4599609400002</v>
      </c>
      <c r="M70" s="1">
        <v>1.5045672699999999</v>
      </c>
      <c r="N70" s="1">
        <v>1155.8654785199999</v>
      </c>
    </row>
    <row r="71" spans="9:14" ht="12.75" customHeight="1" x14ac:dyDescent="0.25">
      <c r="I71" s="1" t="s">
        <v>26</v>
      </c>
      <c r="J71" s="1">
        <v>2601.6699218799999</v>
      </c>
      <c r="K71" s="1">
        <v>2.3063917200000001</v>
      </c>
      <c r="L71" s="1">
        <v>2911.2800293</v>
      </c>
      <c r="M71" s="1">
        <v>2.1985371100000002</v>
      </c>
      <c r="N71" s="1">
        <v>2784.6325683599998</v>
      </c>
    </row>
    <row r="72" spans="9:14" ht="12.75" customHeight="1" x14ac:dyDescent="0.25">
      <c r="I72" s="1" t="s">
        <v>26</v>
      </c>
      <c r="J72" s="1">
        <v>3343.2900390599998</v>
      </c>
      <c r="K72" s="1">
        <v>0</v>
      </c>
      <c r="L72" s="1">
        <v>3678.1000976599998</v>
      </c>
      <c r="M72" s="1">
        <v>0.72810483000000004</v>
      </c>
      <c r="N72" s="1">
        <v>1578.61291504</v>
      </c>
    </row>
    <row r="73" spans="9:14" ht="12.75" customHeight="1" x14ac:dyDescent="0.25">
      <c r="I73" s="1" t="s">
        <v>26</v>
      </c>
      <c r="J73" s="1">
        <v>4086.1101074200001</v>
      </c>
      <c r="K73" s="1">
        <v>2.2016995000000001</v>
      </c>
      <c r="L73" s="1">
        <v>4430.5200195300004</v>
      </c>
      <c r="M73" s="1">
        <v>0.73201256999999997</v>
      </c>
      <c r="N73" s="1">
        <v>991.74560546999999</v>
      </c>
    </row>
    <row r="74" spans="9:14" ht="12.75" customHeight="1" x14ac:dyDescent="0.25">
      <c r="I74" s="1" t="s">
        <v>26</v>
      </c>
      <c r="J74" s="1">
        <v>5552.5498046900002</v>
      </c>
      <c r="K74" s="1">
        <v>0.71702188</v>
      </c>
      <c r="L74" s="1">
        <v>5976.16015625</v>
      </c>
      <c r="M74" s="1">
        <v>4.2294230500000003</v>
      </c>
      <c r="N74" s="1">
        <v>1571.1608886700001</v>
      </c>
    </row>
    <row r="75" spans="9:14" ht="12.75" customHeight="1" x14ac:dyDescent="0.25">
      <c r="I75" s="1" t="s">
        <v>26</v>
      </c>
      <c r="J75" s="1">
        <v>6955.3901367199996</v>
      </c>
      <c r="K75" s="1">
        <v>0.72668874000000006</v>
      </c>
      <c r="L75" s="1">
        <v>7359.7998046900002</v>
      </c>
      <c r="M75" s="1">
        <v>2.79663467</v>
      </c>
      <c r="N75" s="1">
        <v>556.47509765999996</v>
      </c>
    </row>
    <row r="76" spans="9:14" ht="12.75" customHeight="1" x14ac:dyDescent="0.25">
      <c r="I76" s="1" t="s">
        <v>26</v>
      </c>
      <c r="J76" s="1">
        <v>7694.6098632800004</v>
      </c>
      <c r="K76" s="1">
        <v>1.43969345</v>
      </c>
      <c r="L76" s="1">
        <v>8078.6201171900002</v>
      </c>
      <c r="M76" s="1">
        <v>0.71136677000000004</v>
      </c>
      <c r="N76" s="1">
        <v>1320.6052246100001</v>
      </c>
    </row>
    <row r="77" spans="9:14" ht="12.75" customHeight="1" x14ac:dyDescent="0.25">
      <c r="I77" s="1" t="s">
        <v>26</v>
      </c>
      <c r="J77" s="1">
        <v>8417.0302734399993</v>
      </c>
      <c r="K77" s="1">
        <v>0.70123464000000002</v>
      </c>
      <c r="L77" s="1">
        <v>8850.2402343800004</v>
      </c>
      <c r="M77" s="1">
        <v>2.7703301900000001</v>
      </c>
      <c r="N77" s="1">
        <v>8866.9033203100007</v>
      </c>
    </row>
    <row r="78" spans="9:14" ht="12.75" customHeight="1" x14ac:dyDescent="0.25">
      <c r="I78" s="1" t="s">
        <v>26</v>
      </c>
      <c r="J78" s="1">
        <v>9167.0498046899993</v>
      </c>
      <c r="K78" s="1">
        <v>2.0666084300000001</v>
      </c>
      <c r="L78" s="1">
        <v>9551.0595703100007</v>
      </c>
      <c r="M78" s="1">
        <v>0.68470407</v>
      </c>
      <c r="N78" s="2">
        <v>18343.511699999999</v>
      </c>
    </row>
    <row r="79" spans="9:14" ht="12.75" customHeight="1" x14ac:dyDescent="0.25">
      <c r="I79" s="1" t="s">
        <v>26</v>
      </c>
      <c r="J79" s="1">
        <v>9905.0703125</v>
      </c>
      <c r="K79" s="1">
        <v>2.01645327</v>
      </c>
      <c r="L79" s="2">
        <v>10227.9004</v>
      </c>
      <c r="M79" s="1">
        <v>2.7125587499999999</v>
      </c>
      <c r="N79" s="1">
        <v>8189.9047851599998</v>
      </c>
    </row>
    <row r="80" spans="9:14" ht="12.75" customHeight="1" x14ac:dyDescent="0.25">
      <c r="I80" s="1" t="s">
        <v>26</v>
      </c>
      <c r="J80" s="2">
        <v>10643.0996</v>
      </c>
      <c r="K80" s="1">
        <v>2.6099569800000002</v>
      </c>
      <c r="L80" s="2">
        <v>10998.299800000001</v>
      </c>
      <c r="M80" s="1">
        <v>26.376607889999999</v>
      </c>
      <c r="N80" s="2">
        <v>141278.40599999999</v>
      </c>
    </row>
    <row r="81" spans="9:14" ht="12.75" customHeight="1" x14ac:dyDescent="0.25">
      <c r="I81" s="1" t="s">
        <v>26</v>
      </c>
      <c r="J81" s="2">
        <v>11381.0996</v>
      </c>
      <c r="K81" s="1">
        <v>4.6940355299999998</v>
      </c>
      <c r="L81" s="2">
        <v>11899.5</v>
      </c>
      <c r="M81" s="1">
        <v>1.95223141</v>
      </c>
      <c r="N81" s="2">
        <v>139104.891</v>
      </c>
    </row>
    <row r="82" spans="9:14" ht="12.75" customHeight="1" x14ac:dyDescent="0.25">
      <c r="I82" s="1" t="s">
        <v>26</v>
      </c>
      <c r="J82" s="2">
        <v>12110.700199999999</v>
      </c>
      <c r="K82" s="1">
        <v>3.2992176999999998</v>
      </c>
      <c r="L82" s="2">
        <v>12686.700199999999</v>
      </c>
      <c r="M82" s="1">
        <v>8.7370309800000001</v>
      </c>
      <c r="N82" s="2">
        <v>187328.17199999999</v>
      </c>
    </row>
    <row r="83" spans="9:14" ht="12.75" customHeight="1" x14ac:dyDescent="0.25">
      <c r="I83" s="1" t="s">
        <v>26</v>
      </c>
      <c r="J83" s="2">
        <v>12859.5996</v>
      </c>
      <c r="K83" s="1">
        <v>7.6979799299999998</v>
      </c>
      <c r="L83" s="2">
        <v>13128.4004</v>
      </c>
      <c r="M83" s="1">
        <v>2.62875295</v>
      </c>
      <c r="N83" s="1">
        <v>159.12886047000001</v>
      </c>
    </row>
    <row r="84" spans="9:14" ht="12.75" customHeight="1" x14ac:dyDescent="0.25"/>
    <row r="85" spans="9:14" ht="12.75" customHeight="1" x14ac:dyDescent="0.25">
      <c r="I85" s="1" t="s">
        <v>12</v>
      </c>
    </row>
    <row r="86" spans="9:14" ht="12.75" customHeight="1" x14ac:dyDescent="0.25">
      <c r="I86" s="1" t="s">
        <v>0</v>
      </c>
      <c r="J86" s="1" t="s">
        <v>1</v>
      </c>
      <c r="K86" s="1" t="s">
        <v>2</v>
      </c>
      <c r="L86" s="1" t="s">
        <v>3</v>
      </c>
      <c r="M86" s="1" t="s">
        <v>4</v>
      </c>
      <c r="N86" s="1" t="s">
        <v>5</v>
      </c>
    </row>
    <row r="87" spans="9:14" ht="12.75" customHeight="1" x14ac:dyDescent="0.25">
      <c r="I87" s="1" t="s">
        <v>27</v>
      </c>
      <c r="J87" s="1">
        <v>1128.0300293</v>
      </c>
      <c r="K87" s="1">
        <v>5.6367087400000004</v>
      </c>
      <c r="L87" s="1">
        <v>1404.04003906</v>
      </c>
      <c r="M87" s="1">
        <v>5.9213576300000001</v>
      </c>
      <c r="N87" s="1">
        <v>2248.4362793</v>
      </c>
    </row>
    <row r="88" spans="9:14" ht="12.75" customHeight="1" x14ac:dyDescent="0.25">
      <c r="I88" s="1" t="s">
        <v>27</v>
      </c>
      <c r="J88" s="1">
        <v>1863.65002441</v>
      </c>
      <c r="K88" s="1">
        <v>6.9922895399999998</v>
      </c>
      <c r="L88" s="1">
        <v>2259.6599121099998</v>
      </c>
      <c r="M88" s="1">
        <v>5.8355689000000002</v>
      </c>
      <c r="N88" s="2">
        <v>16325.739299999999</v>
      </c>
    </row>
    <row r="89" spans="9:14" ht="12.75" customHeight="1" x14ac:dyDescent="0.25">
      <c r="I89" s="1" t="s">
        <v>27</v>
      </c>
      <c r="J89" s="1">
        <v>2596.8701171900002</v>
      </c>
      <c r="K89" s="1">
        <v>3.6435356099999998</v>
      </c>
      <c r="L89" s="1">
        <v>2964.0800781200001</v>
      </c>
      <c r="M89" s="1">
        <v>4.4745698000000003</v>
      </c>
      <c r="N89" s="1">
        <v>5468.6196289099998</v>
      </c>
    </row>
    <row r="90" spans="9:14" ht="12.75" customHeight="1" x14ac:dyDescent="0.25">
      <c r="I90" s="1" t="s">
        <v>27</v>
      </c>
      <c r="J90" s="1">
        <v>3342.0900878900002</v>
      </c>
      <c r="K90" s="1">
        <v>4.7441530199999997</v>
      </c>
      <c r="L90" s="1">
        <v>3698.5</v>
      </c>
      <c r="M90" s="1">
        <v>4.4210553199999998</v>
      </c>
      <c r="N90" s="1">
        <v>1981.4822998</v>
      </c>
    </row>
    <row r="91" spans="9:14" ht="12.75" customHeight="1" x14ac:dyDescent="0.25">
      <c r="I91" s="1" t="s">
        <v>27</v>
      </c>
      <c r="J91" s="1">
        <v>4080.1101074200001</v>
      </c>
      <c r="K91" s="1">
        <v>5.1349525500000004</v>
      </c>
      <c r="L91" s="1">
        <v>4420.9199218800004</v>
      </c>
      <c r="M91" s="1">
        <v>5.3494243600000004</v>
      </c>
      <c r="N91" s="1">
        <v>1404.10876465</v>
      </c>
    </row>
    <row r="92" spans="9:14" ht="12.75" customHeight="1" x14ac:dyDescent="0.25">
      <c r="I92" s="1" t="s">
        <v>27</v>
      </c>
      <c r="J92" s="1">
        <v>5551.3500976599998</v>
      </c>
      <c r="K92" s="1">
        <v>3.96867919</v>
      </c>
      <c r="L92" s="1">
        <v>5876.5600585900002</v>
      </c>
      <c r="M92" s="1">
        <v>4.3948774300000002</v>
      </c>
      <c r="N92" s="1">
        <v>3467.7548828099998</v>
      </c>
    </row>
    <row r="93" spans="9:14" ht="12.75" customHeight="1" x14ac:dyDescent="0.25">
      <c r="I93" s="1" t="s">
        <v>27</v>
      </c>
      <c r="J93" s="1">
        <v>6954.1899414099998</v>
      </c>
      <c r="K93" s="1">
        <v>4.1483321200000001</v>
      </c>
      <c r="L93" s="1">
        <v>7219.3999023400002</v>
      </c>
      <c r="M93" s="1">
        <v>5.2169041600000003</v>
      </c>
      <c r="N93" s="1">
        <v>1133.3769531200001</v>
      </c>
    </row>
    <row r="94" spans="9:14" ht="12.75" customHeight="1" x14ac:dyDescent="0.25">
      <c r="I94" s="1" t="s">
        <v>27</v>
      </c>
      <c r="J94" s="1">
        <v>7692.2099609400002</v>
      </c>
      <c r="K94" s="1">
        <v>6.8328762100000002</v>
      </c>
      <c r="L94" s="1">
        <v>8087.0200195300004</v>
      </c>
      <c r="M94" s="1">
        <v>4.4113712300000003</v>
      </c>
      <c r="N94" s="2">
        <v>16628.992200000001</v>
      </c>
    </row>
    <row r="95" spans="9:14" ht="12.75" customHeight="1" x14ac:dyDescent="0.25">
      <c r="I95" s="1" t="s">
        <v>27</v>
      </c>
      <c r="J95" s="1">
        <v>8417.0302734399993</v>
      </c>
      <c r="K95" s="1">
        <v>4.2800269100000001</v>
      </c>
      <c r="L95" s="1">
        <v>8687.0400390600007</v>
      </c>
      <c r="M95" s="1">
        <v>10.171991350000001</v>
      </c>
      <c r="N95" s="2">
        <v>12961.300800000001</v>
      </c>
    </row>
    <row r="96" spans="9:14" ht="12.75" customHeight="1" x14ac:dyDescent="0.25">
      <c r="I96" s="1" t="s">
        <v>27</v>
      </c>
      <c r="J96" s="1">
        <v>9168.25</v>
      </c>
      <c r="K96" s="1">
        <v>12.610572810000001</v>
      </c>
      <c r="L96" s="1">
        <v>9555.8603515600007</v>
      </c>
      <c r="M96" s="1">
        <v>6.5620532000000003</v>
      </c>
      <c r="N96" s="2">
        <v>26772.392599999999</v>
      </c>
    </row>
    <row r="97" spans="9:15" ht="12.75" customHeight="1" x14ac:dyDescent="0.25">
      <c r="I97" s="1" t="s">
        <v>27</v>
      </c>
      <c r="J97" s="1">
        <v>9901.4697265600007</v>
      </c>
      <c r="K97" s="1">
        <v>5.9733829500000004</v>
      </c>
      <c r="L97" s="2">
        <v>10239.9004</v>
      </c>
      <c r="M97" s="1">
        <v>7.3508081399999998</v>
      </c>
      <c r="N97" s="2">
        <v>12791.6348</v>
      </c>
    </row>
    <row r="98" spans="9:15" ht="12.75" customHeight="1" x14ac:dyDescent="0.25">
      <c r="I98" s="1" t="s">
        <v>27</v>
      </c>
      <c r="J98" s="2">
        <v>10640.700199999999</v>
      </c>
      <c r="K98" s="1">
        <v>16.703416820000001</v>
      </c>
      <c r="L98" s="2">
        <v>11089.5</v>
      </c>
      <c r="M98" s="1">
        <v>23.05826759</v>
      </c>
      <c r="N98" s="2">
        <v>225640.141</v>
      </c>
    </row>
    <row r="99" spans="9:15" ht="12.75" customHeight="1" x14ac:dyDescent="0.25">
      <c r="I99" s="1" t="s">
        <v>27</v>
      </c>
      <c r="J99" s="2">
        <v>11376.299800000001</v>
      </c>
      <c r="K99" s="1">
        <v>8.5919723500000007</v>
      </c>
      <c r="L99" s="2">
        <v>11817.9004</v>
      </c>
      <c r="M99" s="1">
        <v>13.940308569999999</v>
      </c>
      <c r="N99" s="2">
        <v>216288.09400000001</v>
      </c>
    </row>
    <row r="100" spans="9:15" ht="12.75" customHeight="1" x14ac:dyDescent="0.25">
      <c r="I100" s="1" t="s">
        <v>27</v>
      </c>
      <c r="J100" s="2">
        <v>12107.0996</v>
      </c>
      <c r="K100" s="1">
        <v>6.1701717399999998</v>
      </c>
      <c r="L100" s="2">
        <v>12623.0996</v>
      </c>
      <c r="M100" s="1">
        <v>19.655832289999999</v>
      </c>
      <c r="N100" s="2">
        <v>295545.375</v>
      </c>
    </row>
    <row r="101" spans="9:15" ht="12.75" customHeight="1" x14ac:dyDescent="0.25">
      <c r="I101" s="1" t="s">
        <v>27</v>
      </c>
      <c r="J101" s="2">
        <v>12854.799800000001</v>
      </c>
      <c r="K101" s="1">
        <v>11.486988070000001</v>
      </c>
      <c r="L101" s="2">
        <v>13165.5996</v>
      </c>
      <c r="M101" s="1">
        <v>6.5390825299999999</v>
      </c>
      <c r="N101" s="2">
        <v>14347.982400000001</v>
      </c>
    </row>
    <row r="102" spans="9:15" ht="12.75" customHeight="1" x14ac:dyDescent="0.25"/>
    <row r="103" spans="9:15" ht="12.75" customHeight="1" x14ac:dyDescent="0.25">
      <c r="I103" s="1" t="s">
        <v>17</v>
      </c>
    </row>
    <row r="104" spans="9:15" ht="12.75" customHeight="1" x14ac:dyDescent="0.25">
      <c r="I104" s="1" t="s">
        <v>0</v>
      </c>
      <c r="J104" s="1" t="s">
        <v>1</v>
      </c>
      <c r="K104" s="1" t="s">
        <v>2</v>
      </c>
      <c r="L104" s="1" t="s">
        <v>3</v>
      </c>
      <c r="M104" s="1" t="s">
        <v>4</v>
      </c>
      <c r="N104" s="1" t="s">
        <v>5</v>
      </c>
    </row>
    <row r="105" spans="9:15" ht="12.75" customHeight="1" x14ac:dyDescent="0.25">
      <c r="I105" s="1" t="s">
        <v>28</v>
      </c>
      <c r="J105" s="1">
        <v>1131.6300048799999</v>
      </c>
      <c r="K105" s="1">
        <v>16.64022636</v>
      </c>
      <c r="L105" s="1">
        <v>1416.04003906</v>
      </c>
      <c r="M105" s="1">
        <v>9.7317209200000008</v>
      </c>
      <c r="N105" s="2">
        <v>16956.8262</v>
      </c>
      <c r="O105" s="1"/>
    </row>
    <row r="106" spans="9:15" ht="12.75" customHeight="1" x14ac:dyDescent="0.25">
      <c r="I106" s="1" t="s">
        <v>28</v>
      </c>
      <c r="J106" s="1">
        <v>1861.25</v>
      </c>
      <c r="K106" s="1">
        <v>1.7327686499999999</v>
      </c>
      <c r="L106" s="1">
        <v>2365.2600097700001</v>
      </c>
      <c r="M106" s="1">
        <v>5.5055456200000004</v>
      </c>
      <c r="N106" s="2">
        <v>285568.18800000002</v>
      </c>
    </row>
    <row r="107" spans="9:15" ht="12.75" customHeight="1" x14ac:dyDescent="0.25">
      <c r="I107" s="1" t="s">
        <v>28</v>
      </c>
      <c r="J107" s="1">
        <v>2598.0700683599998</v>
      </c>
      <c r="K107" s="1">
        <v>1.4923446199999999</v>
      </c>
      <c r="L107" s="1">
        <v>3046.8798828099998</v>
      </c>
      <c r="M107" s="1">
        <v>3.9828507900000001</v>
      </c>
      <c r="N107" s="2">
        <v>50389.886700000003</v>
      </c>
    </row>
    <row r="108" spans="9:15" ht="12.75" customHeight="1" x14ac:dyDescent="0.25">
      <c r="I108" s="1" t="s">
        <v>28</v>
      </c>
      <c r="J108" s="1">
        <v>3340.8898925799999</v>
      </c>
      <c r="K108" s="1">
        <v>4.1581644999999998</v>
      </c>
      <c r="L108" s="1">
        <v>3628.8999023400002</v>
      </c>
      <c r="M108" s="1">
        <v>13.43454075</v>
      </c>
      <c r="N108" s="2">
        <v>19252.123</v>
      </c>
    </row>
    <row r="109" spans="9:15" ht="12.75" customHeight="1" x14ac:dyDescent="0.25">
      <c r="I109" s="1" t="s">
        <v>28</v>
      </c>
      <c r="J109" s="1">
        <v>4083.7099609400002</v>
      </c>
      <c r="K109" s="1">
        <v>4.7071399700000001</v>
      </c>
      <c r="L109" s="1">
        <v>4513.3198242199996</v>
      </c>
      <c r="M109" s="1">
        <v>1.03999007</v>
      </c>
      <c r="N109" s="1">
        <v>7028.6738281199996</v>
      </c>
    </row>
    <row r="110" spans="9:15" ht="12.75" customHeight="1" x14ac:dyDescent="0.25">
      <c r="I110" s="1" t="s">
        <v>28</v>
      </c>
      <c r="J110" s="1">
        <v>5544.1499023400002</v>
      </c>
      <c r="K110" s="1">
        <v>0.71499186999999997</v>
      </c>
      <c r="L110" s="1">
        <v>6039.7700195300004</v>
      </c>
      <c r="M110" s="1">
        <v>1.9895143500000001</v>
      </c>
      <c r="N110" s="2">
        <v>18143.164100000002</v>
      </c>
    </row>
    <row r="111" spans="9:15" ht="12.75" customHeight="1" x14ac:dyDescent="0.25">
      <c r="I111" s="1" t="s">
        <v>28</v>
      </c>
      <c r="J111" s="1">
        <v>6961.3901367199996</v>
      </c>
      <c r="K111" s="1">
        <v>5.22851658</v>
      </c>
      <c r="L111" s="1">
        <v>7346.6000976599998</v>
      </c>
      <c r="M111" s="1">
        <v>1.8232220400000001</v>
      </c>
      <c r="N111" s="1">
        <v>6014.5463867199996</v>
      </c>
    </row>
    <row r="112" spans="9:15" ht="12.75" customHeight="1" x14ac:dyDescent="0.25">
      <c r="I112" s="1" t="s">
        <v>28</v>
      </c>
      <c r="J112" s="1">
        <v>7688.6098632800004</v>
      </c>
      <c r="K112" s="1">
        <v>1.1097235700000001</v>
      </c>
      <c r="L112" s="1">
        <v>8214.2197265600007</v>
      </c>
      <c r="M112" s="1">
        <v>3.5993087300000002</v>
      </c>
      <c r="N112" s="2">
        <v>292006.31199999998</v>
      </c>
    </row>
    <row r="113" spans="1:14" ht="12.75" customHeight="1" x14ac:dyDescent="0.25">
      <c r="I113" s="1" t="s">
        <v>28</v>
      </c>
      <c r="J113" s="1">
        <v>8426.6298828100007</v>
      </c>
      <c r="K113" s="1">
        <v>1.49676871</v>
      </c>
      <c r="L113" s="1">
        <v>8815.4404296899993</v>
      </c>
      <c r="M113" s="1">
        <v>0.86952214999999999</v>
      </c>
      <c r="N113" s="1">
        <v>291.40402222</v>
      </c>
    </row>
    <row r="114" spans="1:14" ht="12.75" customHeight="1" x14ac:dyDescent="0.25">
      <c r="I114" s="1" t="s">
        <v>28</v>
      </c>
      <c r="J114" s="1">
        <v>9165.8496093800004</v>
      </c>
      <c r="K114" s="1">
        <v>1.2157616600000001</v>
      </c>
      <c r="L114" s="1">
        <v>9595.4599609399993</v>
      </c>
      <c r="M114" s="1">
        <v>1.04720938</v>
      </c>
      <c r="N114" s="1">
        <v>553.66363524999997</v>
      </c>
    </row>
    <row r="115" spans="1:14" ht="12.75" customHeight="1" x14ac:dyDescent="0.25">
      <c r="I115" s="1" t="s">
        <v>28</v>
      </c>
      <c r="J115" s="1">
        <v>9906.26953125</v>
      </c>
      <c r="K115" s="1">
        <v>1.4129113</v>
      </c>
      <c r="L115" s="2">
        <v>10275.9004</v>
      </c>
      <c r="M115" s="1">
        <v>0.67276983999999995</v>
      </c>
      <c r="N115" s="1">
        <v>294.50637817</v>
      </c>
    </row>
    <row r="116" spans="1:14" ht="12.75" customHeight="1" x14ac:dyDescent="0.25">
      <c r="I116" s="1" t="s">
        <v>28</v>
      </c>
      <c r="J116" s="2">
        <v>10639.5</v>
      </c>
      <c r="K116" s="1">
        <v>0.81812799000000003</v>
      </c>
      <c r="L116" s="2">
        <v>11241.9004</v>
      </c>
      <c r="M116" s="1">
        <v>1.1918746200000001</v>
      </c>
      <c r="N116" s="1">
        <v>5088.8515625</v>
      </c>
    </row>
    <row r="117" spans="1:14" ht="12.75" customHeight="1" x14ac:dyDescent="0.25">
      <c r="I117" s="1" t="s">
        <v>28</v>
      </c>
      <c r="J117" s="2">
        <v>11382.299800000001</v>
      </c>
      <c r="K117" s="1">
        <v>4.8046426799999997</v>
      </c>
      <c r="L117" s="2">
        <v>11888.700199999999</v>
      </c>
      <c r="M117" s="1">
        <v>1.2517004</v>
      </c>
      <c r="N117" s="1">
        <v>3787.2155761700001</v>
      </c>
    </row>
    <row r="118" spans="1:14" ht="12.75" customHeight="1" x14ac:dyDescent="0.25">
      <c r="I118" s="1" t="s">
        <v>28</v>
      </c>
      <c r="J118" s="2">
        <v>12102.299800000001</v>
      </c>
      <c r="K118" s="1">
        <v>1.0356822000000001</v>
      </c>
      <c r="L118" s="2">
        <v>12761.0996</v>
      </c>
      <c r="M118" s="1">
        <v>1.16537428</v>
      </c>
      <c r="N118" s="1">
        <v>6452.7744140599998</v>
      </c>
    </row>
    <row r="119" spans="1:14" ht="12.75" customHeight="1" x14ac:dyDescent="0.25">
      <c r="I119" s="1" t="s">
        <v>28</v>
      </c>
      <c r="J119" s="2">
        <v>12842.799800000001</v>
      </c>
      <c r="K119" s="1">
        <v>1.0905569799999999</v>
      </c>
      <c r="L119" s="2">
        <v>13338.4004</v>
      </c>
      <c r="M119" s="1">
        <v>6.0434703799999996</v>
      </c>
      <c r="N119" s="2">
        <v>265549.375</v>
      </c>
    </row>
    <row r="120" spans="1:14" ht="12.75" customHeight="1" x14ac:dyDescent="0.25"/>
    <row r="121" spans="1:14" ht="12.75" customHeight="1" x14ac:dyDescent="0.25"/>
    <row r="122" spans="1:14" ht="12.75" customHeight="1" x14ac:dyDescent="0.25">
      <c r="A122" s="6">
        <v>45680</v>
      </c>
      <c r="B122" s="24" t="s">
        <v>29</v>
      </c>
      <c r="I122" s="1" t="s">
        <v>24</v>
      </c>
    </row>
    <row r="123" spans="1:14" ht="12.75" customHeight="1" x14ac:dyDescent="0.25">
      <c r="I123" s="1" t="s">
        <v>0</v>
      </c>
      <c r="J123" s="1" t="s">
        <v>1</v>
      </c>
      <c r="K123" s="1" t="s">
        <v>2</v>
      </c>
      <c r="L123" s="1" t="s">
        <v>3</v>
      </c>
      <c r="M123" s="1" t="s">
        <v>4</v>
      </c>
      <c r="N123" s="1" t="s">
        <v>5</v>
      </c>
    </row>
    <row r="124" spans="1:14" ht="12.75" customHeight="1" x14ac:dyDescent="0.25">
      <c r="I124" s="1" t="s">
        <v>30</v>
      </c>
      <c r="J124" s="1">
        <v>906.02502441000001</v>
      </c>
      <c r="K124" s="1">
        <v>1.4901316200000001</v>
      </c>
      <c r="L124" s="1">
        <v>1292.4399414100001</v>
      </c>
      <c r="M124" s="1">
        <v>-0.58521765000000003</v>
      </c>
      <c r="N124" s="1">
        <v>2335.5646972700001</v>
      </c>
    </row>
    <row r="125" spans="1:14" ht="12.75" customHeight="1" x14ac:dyDescent="0.25">
      <c r="I125" s="1" t="s">
        <v>30</v>
      </c>
      <c r="J125" s="1">
        <v>1647.65002441</v>
      </c>
      <c r="K125" s="1">
        <v>1.2249929900000001</v>
      </c>
      <c r="L125" s="1">
        <v>1998.0500488299999</v>
      </c>
      <c r="M125" s="1">
        <v>-1.52836931</v>
      </c>
      <c r="N125" s="2">
        <v>18570.894499999999</v>
      </c>
    </row>
    <row r="126" spans="1:14" ht="12.75" customHeight="1" x14ac:dyDescent="0.25">
      <c r="I126" s="1" t="s">
        <v>30</v>
      </c>
      <c r="J126" s="1">
        <v>2368.8601074200001</v>
      </c>
      <c r="K126" s="1">
        <v>-3.8137216600000001</v>
      </c>
      <c r="L126" s="1">
        <v>2859.6799316400002</v>
      </c>
      <c r="M126" s="1">
        <v>-4.1226820899999996</v>
      </c>
      <c r="N126" s="2">
        <v>84911.0625</v>
      </c>
    </row>
    <row r="127" spans="1:14" ht="12.75" customHeight="1" x14ac:dyDescent="0.25">
      <c r="I127" s="1" t="s">
        <v>30</v>
      </c>
      <c r="J127" s="1">
        <v>3120.0900878900002</v>
      </c>
      <c r="K127" s="1">
        <v>-0.73217445999999997</v>
      </c>
      <c r="L127" s="1">
        <v>3727.3000488299999</v>
      </c>
      <c r="M127" s="1">
        <v>0.88660793999999998</v>
      </c>
      <c r="N127" s="2">
        <v>114974.164</v>
      </c>
    </row>
    <row r="128" spans="1:14" ht="12.75" customHeight="1" x14ac:dyDescent="0.25">
      <c r="I128" s="1" t="s">
        <v>30</v>
      </c>
      <c r="J128" s="1">
        <v>3865.3100585900002</v>
      </c>
      <c r="K128" s="1">
        <v>-1.0983138100000001</v>
      </c>
      <c r="L128" s="1">
        <v>4161.7099609400002</v>
      </c>
      <c r="M128" s="1">
        <v>7.2325911500000002</v>
      </c>
      <c r="N128" s="1">
        <v>6842.0493164099998</v>
      </c>
    </row>
    <row r="129" spans="9:14" ht="12.75" customHeight="1" x14ac:dyDescent="0.25">
      <c r="I129" s="1" t="s">
        <v>30</v>
      </c>
      <c r="J129" s="1">
        <v>4600.9301757800004</v>
      </c>
      <c r="K129" s="1">
        <v>0.77827321999999999</v>
      </c>
      <c r="L129" s="1">
        <v>4939.33984375</v>
      </c>
      <c r="M129" s="1">
        <v>-1.8782637099999999</v>
      </c>
      <c r="N129" s="2">
        <v>32317.453099999999</v>
      </c>
    </row>
    <row r="130" spans="9:14" ht="12.75" customHeight="1" x14ac:dyDescent="0.25">
      <c r="I130" s="1" t="s">
        <v>30</v>
      </c>
      <c r="J130" s="1">
        <v>5338.9501953099998</v>
      </c>
      <c r="K130" s="1">
        <v>-0.46166009000000002</v>
      </c>
      <c r="L130" s="1">
        <v>6034.9599609400002</v>
      </c>
      <c r="M130" s="1">
        <v>-1.0585082800000001</v>
      </c>
      <c r="N130" s="2">
        <v>77461.679699999993</v>
      </c>
    </row>
    <row r="131" spans="9:14" ht="12.75" customHeight="1" x14ac:dyDescent="0.25">
      <c r="I131" s="1" t="s">
        <v>30</v>
      </c>
      <c r="J131" s="1">
        <v>7116.1899414099998</v>
      </c>
      <c r="K131" s="1">
        <v>8.6254415499999997</v>
      </c>
      <c r="L131" s="1">
        <v>7499</v>
      </c>
      <c r="M131" s="1">
        <v>-1.3143489399999999</v>
      </c>
      <c r="N131" s="1">
        <v>831.40179443</v>
      </c>
    </row>
    <row r="132" spans="9:14" ht="12.75" customHeight="1" x14ac:dyDescent="0.25">
      <c r="I132" s="1" t="s">
        <v>30</v>
      </c>
      <c r="J132" s="1">
        <v>7838.6098632800004</v>
      </c>
      <c r="K132" s="1">
        <v>7.8830251699999998</v>
      </c>
      <c r="L132" s="1">
        <v>8396.6298828100007</v>
      </c>
      <c r="M132" s="1">
        <v>0.28463866999999998</v>
      </c>
      <c r="N132" s="2">
        <v>22431.023399999998</v>
      </c>
    </row>
    <row r="133" spans="9:14" ht="12.75" customHeight="1" x14ac:dyDescent="0.25">
      <c r="I133" s="1" t="s">
        <v>30</v>
      </c>
      <c r="J133" s="1">
        <v>8577.8300781199996</v>
      </c>
      <c r="K133" s="1">
        <v>1.43435168</v>
      </c>
      <c r="L133" s="1">
        <v>9021.8496093800004</v>
      </c>
      <c r="M133" s="1">
        <v>1.3102605300000001</v>
      </c>
      <c r="N133" s="2">
        <v>22496.511699999999</v>
      </c>
    </row>
    <row r="134" spans="9:14" ht="12.75" customHeight="1" x14ac:dyDescent="0.25">
      <c r="I134" s="1" t="s">
        <v>30</v>
      </c>
      <c r="J134" s="1">
        <v>9312.25</v>
      </c>
      <c r="K134" s="1">
        <v>1.05994272</v>
      </c>
      <c r="L134" s="1">
        <v>9813.8701171899993</v>
      </c>
      <c r="M134" s="1">
        <v>1.7141904800000001</v>
      </c>
      <c r="N134" s="2">
        <v>21264.152300000002</v>
      </c>
    </row>
    <row r="135" spans="9:14" ht="12.75" customHeight="1" x14ac:dyDescent="0.25">
      <c r="I135" s="1" t="s">
        <v>30</v>
      </c>
      <c r="J135" s="2">
        <v>10032.299800000001</v>
      </c>
      <c r="K135" s="1">
        <v>1.4398401999999999</v>
      </c>
      <c r="L135" s="2">
        <v>10901.0996</v>
      </c>
      <c r="M135" s="1">
        <v>66.117897029999995</v>
      </c>
      <c r="N135" s="2">
        <v>2481377</v>
      </c>
    </row>
    <row r="136" spans="9:14" ht="12.75" customHeight="1" x14ac:dyDescent="0.25">
      <c r="I136" s="1" t="s">
        <v>30</v>
      </c>
      <c r="J136" s="2">
        <v>10901.0996</v>
      </c>
      <c r="K136" s="1">
        <v>66.117897029999995</v>
      </c>
      <c r="L136" s="2">
        <v>11687.0996</v>
      </c>
      <c r="M136" s="1">
        <v>18.767005919999999</v>
      </c>
      <c r="N136" s="2">
        <v>2320980.5</v>
      </c>
    </row>
    <row r="137" spans="9:14" ht="12.75" customHeight="1" x14ac:dyDescent="0.25">
      <c r="I137" s="1" t="s">
        <v>30</v>
      </c>
      <c r="J137" s="2">
        <v>11750.700199999999</v>
      </c>
      <c r="K137" s="1">
        <v>10.509300229999999</v>
      </c>
      <c r="L137" s="2">
        <v>12420.299800000001</v>
      </c>
      <c r="M137" s="1">
        <v>-0.82969123</v>
      </c>
      <c r="N137" s="2">
        <v>3557957.25</v>
      </c>
    </row>
    <row r="138" spans="9:14" ht="12.75" customHeight="1" x14ac:dyDescent="0.25">
      <c r="I138" s="1" t="s">
        <v>30</v>
      </c>
      <c r="J138" s="2">
        <v>12617.0996</v>
      </c>
      <c r="K138" s="1">
        <v>-1.87040484</v>
      </c>
      <c r="L138" s="2">
        <v>13124.799800000001</v>
      </c>
      <c r="M138" s="1">
        <v>15.55974007</v>
      </c>
      <c r="N138" s="2">
        <v>3244844.5</v>
      </c>
    </row>
    <row r="139" spans="9:14" ht="12.75" customHeight="1" x14ac:dyDescent="0.25">
      <c r="I139" s="1" t="s">
        <v>30</v>
      </c>
      <c r="J139" s="2">
        <v>13482.4004</v>
      </c>
      <c r="K139" s="1">
        <v>6.7285962100000001</v>
      </c>
      <c r="L139" s="2">
        <v>14030.799800000001</v>
      </c>
      <c r="M139" s="1">
        <v>9.6460647599999998</v>
      </c>
      <c r="N139" s="2">
        <v>3557965.75</v>
      </c>
    </row>
    <row r="140" spans="9:14" ht="12.75" customHeight="1" x14ac:dyDescent="0.25">
      <c r="I140" s="1" t="s">
        <v>30</v>
      </c>
      <c r="J140" s="2">
        <v>14335.5996</v>
      </c>
      <c r="K140" s="1">
        <v>0.70892858999999997</v>
      </c>
      <c r="L140" s="2">
        <v>15142</v>
      </c>
      <c r="M140" s="1">
        <v>0.97476876000000001</v>
      </c>
      <c r="N140" s="2">
        <v>4259312</v>
      </c>
    </row>
    <row r="141" spans="9:14" ht="12.75" customHeight="1" x14ac:dyDescent="0.25">
      <c r="I141" s="1" t="s">
        <v>30</v>
      </c>
      <c r="J141" s="2">
        <v>15851.200199999999</v>
      </c>
      <c r="K141" s="1">
        <v>1.71403635</v>
      </c>
      <c r="L141" s="2">
        <v>16178.799800000001</v>
      </c>
      <c r="M141" s="1">
        <v>1.7264698700000001</v>
      </c>
      <c r="N141" s="1">
        <v>1624.72753906</v>
      </c>
    </row>
    <row r="142" spans="9:14" ht="12.75" customHeight="1" x14ac:dyDescent="0.25">
      <c r="I142" s="1" t="s">
        <v>30</v>
      </c>
      <c r="J142" s="2">
        <v>16601.300800000001</v>
      </c>
      <c r="K142" s="1">
        <v>3.7877612100000002</v>
      </c>
      <c r="L142" s="2">
        <v>17340.5</v>
      </c>
      <c r="M142" s="1">
        <v>5.8516712200000001</v>
      </c>
      <c r="N142" s="2">
        <v>2691091.75</v>
      </c>
    </row>
    <row r="143" spans="9:14" ht="12.75" customHeight="1" x14ac:dyDescent="0.25">
      <c r="I143" s="1" t="s">
        <v>30</v>
      </c>
      <c r="J143" s="2">
        <v>17452.099600000001</v>
      </c>
      <c r="K143" s="1">
        <v>2.1928663300000002</v>
      </c>
      <c r="L143" s="2">
        <v>18272.900399999999</v>
      </c>
      <c r="M143" s="1">
        <v>1.6783216000000001</v>
      </c>
      <c r="N143" s="2">
        <v>1939191.5</v>
      </c>
    </row>
    <row r="144" spans="9:14" ht="12.75" customHeight="1" x14ac:dyDescent="0.25">
      <c r="I144" s="1" t="s">
        <v>30</v>
      </c>
      <c r="J144" s="2">
        <v>18316.099600000001</v>
      </c>
      <c r="K144" s="1">
        <v>-1.4532277600000001</v>
      </c>
      <c r="L144" s="2">
        <v>19135.699199999999</v>
      </c>
      <c r="M144" s="1">
        <v>5.8970851900000003</v>
      </c>
      <c r="N144" s="2">
        <v>3468397.5</v>
      </c>
    </row>
    <row r="145" spans="9:14" ht="12.75" customHeight="1" x14ac:dyDescent="0.25">
      <c r="I145" s="1" t="s">
        <v>30</v>
      </c>
      <c r="J145" s="2">
        <v>19172.900399999999</v>
      </c>
      <c r="K145" s="1">
        <v>1.4728397099999999</v>
      </c>
      <c r="L145" s="2">
        <v>19837.699199999999</v>
      </c>
      <c r="M145" s="1">
        <v>18.641700740000001</v>
      </c>
      <c r="N145" s="2">
        <v>4091973.5</v>
      </c>
    </row>
    <row r="146" spans="9:14" ht="12.75" customHeight="1" x14ac:dyDescent="0.25">
      <c r="I146" s="1" t="s">
        <v>30</v>
      </c>
      <c r="J146" s="2">
        <v>20032.099600000001</v>
      </c>
      <c r="K146" s="1">
        <v>7.5749497400000001</v>
      </c>
      <c r="L146" s="2">
        <v>20777.400399999999</v>
      </c>
      <c r="M146" s="1">
        <v>4.17949533</v>
      </c>
      <c r="N146" s="2">
        <v>3327814.75</v>
      </c>
    </row>
    <row r="147" spans="9:14" ht="12.75" customHeight="1" x14ac:dyDescent="0.25">
      <c r="I147" s="1" t="s">
        <v>30</v>
      </c>
      <c r="J147" s="2">
        <v>20883</v>
      </c>
      <c r="K147" s="1">
        <v>4.1251096699999996</v>
      </c>
      <c r="L147" s="2">
        <v>22067.400399999999</v>
      </c>
      <c r="M147" s="1">
        <v>1.5683246900000001</v>
      </c>
      <c r="N147" s="2">
        <v>4316990.5</v>
      </c>
    </row>
    <row r="148" spans="9:14" ht="12.75" customHeight="1" x14ac:dyDescent="0.25">
      <c r="I148" s="1" t="s">
        <v>0</v>
      </c>
      <c r="J148" s="1" t="s">
        <v>1</v>
      </c>
      <c r="K148" s="1" t="s">
        <v>2</v>
      </c>
      <c r="L148" s="1" t="s">
        <v>3</v>
      </c>
      <c r="M148" s="1" t="s">
        <v>4</v>
      </c>
      <c r="N148" s="1" t="s">
        <v>5</v>
      </c>
    </row>
    <row r="149" spans="9:14" ht="12.75" customHeight="1" x14ac:dyDescent="0.25">
      <c r="I149" s="1" t="s">
        <v>30</v>
      </c>
      <c r="J149" s="2">
        <v>15858.4004</v>
      </c>
      <c r="K149" s="1">
        <v>7.0394697199999996</v>
      </c>
      <c r="L149" s="2">
        <v>16206.4004</v>
      </c>
      <c r="M149" s="1">
        <v>1.6348811400000001</v>
      </c>
      <c r="N149" s="1">
        <v>750.70697021000001</v>
      </c>
    </row>
    <row r="150" spans="9:14" ht="12.75" customHeight="1" x14ac:dyDescent="0.25"/>
    <row r="151" spans="9:14" ht="12.75" customHeight="1" x14ac:dyDescent="0.25">
      <c r="I151" s="1" t="s">
        <v>10</v>
      </c>
    </row>
    <row r="152" spans="9:14" ht="12.75" customHeight="1" x14ac:dyDescent="0.25">
      <c r="I152" s="1" t="s">
        <v>0</v>
      </c>
      <c r="J152" s="1" t="s">
        <v>1</v>
      </c>
      <c r="K152" s="1" t="s">
        <v>2</v>
      </c>
      <c r="L152" s="1" t="s">
        <v>3</v>
      </c>
      <c r="M152" s="1" t="s">
        <v>4</v>
      </c>
      <c r="N152" s="1" t="s">
        <v>5</v>
      </c>
    </row>
    <row r="153" spans="9:14" ht="12.75" customHeight="1" x14ac:dyDescent="0.25">
      <c r="I153" s="1" t="s">
        <v>31</v>
      </c>
      <c r="J153" s="1">
        <v>918.02502441000001</v>
      </c>
      <c r="K153" s="1">
        <v>3.8335504500000002</v>
      </c>
      <c r="L153" s="1">
        <v>1358.4399414100001</v>
      </c>
      <c r="M153" s="1">
        <v>1.3915954800000001</v>
      </c>
      <c r="N153" s="1">
        <v>617.15289307</v>
      </c>
    </row>
    <row r="154" spans="9:14" ht="12.75" customHeight="1" x14ac:dyDescent="0.25">
      <c r="I154" s="1" t="s">
        <v>31</v>
      </c>
      <c r="J154" s="1">
        <v>1648.84997559</v>
      </c>
      <c r="K154" s="1">
        <v>1.56502378</v>
      </c>
      <c r="L154" s="1">
        <v>1904.4499511700001</v>
      </c>
      <c r="M154" s="1">
        <v>2.1665451500000001</v>
      </c>
      <c r="N154" s="1">
        <v>931.05340576000003</v>
      </c>
    </row>
    <row r="155" spans="9:14" ht="12.75" customHeight="1" x14ac:dyDescent="0.25">
      <c r="I155" s="1" t="s">
        <v>31</v>
      </c>
      <c r="J155" s="1">
        <v>2385.6699218799999</v>
      </c>
      <c r="K155" s="1">
        <v>4.2919755000000004</v>
      </c>
      <c r="L155" s="1">
        <v>2826.0800781200001</v>
      </c>
      <c r="M155" s="1">
        <v>1.38351607</v>
      </c>
      <c r="N155" s="1">
        <v>4900.2094726599998</v>
      </c>
    </row>
    <row r="156" spans="9:14" ht="12.75" customHeight="1" x14ac:dyDescent="0.25">
      <c r="I156" s="1" t="s">
        <v>31</v>
      </c>
      <c r="J156" s="1">
        <v>3127.2900390599998</v>
      </c>
      <c r="K156" s="1">
        <v>5.2282495500000001</v>
      </c>
      <c r="L156" s="1">
        <v>3482.5</v>
      </c>
      <c r="M156" s="1">
        <v>1.33221257</v>
      </c>
      <c r="N156" s="1">
        <v>6892.0419921900002</v>
      </c>
    </row>
    <row r="157" spans="9:14" ht="12.75" customHeight="1" x14ac:dyDescent="0.25">
      <c r="I157" s="1" t="s">
        <v>31</v>
      </c>
      <c r="J157" s="1">
        <v>3862.9099121099998</v>
      </c>
      <c r="K157" s="1">
        <v>0.72850895000000004</v>
      </c>
      <c r="L157" s="1">
        <v>4078.9099121099998</v>
      </c>
      <c r="M157" s="1">
        <v>1.9002737999999999</v>
      </c>
      <c r="N157" s="1">
        <v>522.83752441000001</v>
      </c>
    </row>
    <row r="158" spans="9:14" ht="12.75" customHeight="1" x14ac:dyDescent="0.25">
      <c r="I158" s="1" t="s">
        <v>31</v>
      </c>
      <c r="J158" s="1">
        <v>4593.7299804699996</v>
      </c>
      <c r="K158" s="1">
        <v>0.64367061999999997</v>
      </c>
      <c r="L158" s="1">
        <v>4930.9301757800004</v>
      </c>
      <c r="M158" s="1">
        <v>1.7275134299999999</v>
      </c>
      <c r="N158" s="1">
        <v>2754.1574707</v>
      </c>
    </row>
    <row r="159" spans="9:14" ht="12.75" customHeight="1" x14ac:dyDescent="0.25">
      <c r="I159" s="1" t="s">
        <v>31</v>
      </c>
      <c r="J159" s="1">
        <v>5342.5498046900002</v>
      </c>
      <c r="K159" s="1">
        <v>9.7004480399999995</v>
      </c>
      <c r="L159" s="1">
        <v>5672.5600585900002</v>
      </c>
      <c r="M159" s="1">
        <v>1.4181340899999999</v>
      </c>
      <c r="N159" s="1">
        <v>4706.8798828099998</v>
      </c>
    </row>
    <row r="160" spans="9:14" ht="12.75" customHeight="1" x14ac:dyDescent="0.25">
      <c r="I160" s="1" t="s">
        <v>31</v>
      </c>
      <c r="J160" s="1">
        <v>7107.7900390599998</v>
      </c>
      <c r="K160" s="1">
        <v>2.2765192999999999</v>
      </c>
      <c r="L160" s="1">
        <v>7555.41015625</v>
      </c>
      <c r="M160" s="1">
        <v>1.7128173099999999</v>
      </c>
      <c r="N160" s="1">
        <v>688.72131348000005</v>
      </c>
    </row>
    <row r="161" spans="9:14" ht="12.75" customHeight="1" x14ac:dyDescent="0.25">
      <c r="I161" s="1" t="s">
        <v>31</v>
      </c>
      <c r="J161" s="1">
        <v>7833.8100585900002</v>
      </c>
      <c r="K161" s="1">
        <v>1.2105635400000001</v>
      </c>
      <c r="L161" s="1">
        <v>8363.0302734399993</v>
      </c>
      <c r="M161" s="1">
        <v>1.20477736</v>
      </c>
      <c r="N161" s="1">
        <v>623.69958496000004</v>
      </c>
    </row>
    <row r="162" spans="9:14" ht="12.75" customHeight="1" x14ac:dyDescent="0.25">
      <c r="I162" s="1" t="s">
        <v>31</v>
      </c>
      <c r="J162" s="1">
        <v>8573.0302734399993</v>
      </c>
      <c r="K162" s="1">
        <v>0.91598486999999995</v>
      </c>
      <c r="L162" s="1">
        <v>8815.4404296899993</v>
      </c>
      <c r="M162" s="1">
        <v>1.4779343599999999</v>
      </c>
      <c r="N162" s="1">
        <v>609.52722168000003</v>
      </c>
    </row>
    <row r="163" spans="9:14" ht="12.75" customHeight="1" x14ac:dyDescent="0.25">
      <c r="I163" s="1" t="s">
        <v>31</v>
      </c>
      <c r="J163" s="1">
        <v>9312.25</v>
      </c>
      <c r="K163" s="1">
        <v>0.93533409000000001</v>
      </c>
      <c r="L163" s="1">
        <v>9691.4599609399993</v>
      </c>
      <c r="M163" s="1">
        <v>1.1960577999999999</v>
      </c>
      <c r="N163" s="1">
        <v>676.28259276999995</v>
      </c>
    </row>
    <row r="164" spans="9:14" ht="12.75" customHeight="1" x14ac:dyDescent="0.25">
      <c r="I164" s="1" t="s">
        <v>31</v>
      </c>
      <c r="J164" s="2">
        <v>10038.299800000001</v>
      </c>
      <c r="K164" s="1">
        <v>1.4211235</v>
      </c>
      <c r="L164" s="2">
        <v>10557.9004</v>
      </c>
      <c r="M164" s="1">
        <v>10.665708540000001</v>
      </c>
      <c r="N164" s="2">
        <v>147270.79699999999</v>
      </c>
    </row>
    <row r="165" spans="9:14" ht="12.75" customHeight="1" x14ac:dyDescent="0.25">
      <c r="I165" s="1" t="s">
        <v>31</v>
      </c>
      <c r="J165" s="2">
        <v>10896.299800000001</v>
      </c>
      <c r="K165" s="1">
        <v>5.6643295299999998</v>
      </c>
      <c r="L165" s="2">
        <v>11437.5</v>
      </c>
      <c r="M165" s="1">
        <v>3.9661998700000001</v>
      </c>
      <c r="N165" s="2">
        <v>146607.141</v>
      </c>
    </row>
    <row r="166" spans="9:14" ht="12.75" customHeight="1" x14ac:dyDescent="0.25">
      <c r="I166" s="1" t="s">
        <v>31</v>
      </c>
      <c r="J166" s="2">
        <v>11761.5</v>
      </c>
      <c r="K166" s="1">
        <v>2.8389596899999998</v>
      </c>
      <c r="L166" s="2">
        <v>12377.0996</v>
      </c>
      <c r="M166" s="1">
        <v>1.9746844800000001</v>
      </c>
      <c r="N166" s="2">
        <v>217125.96900000001</v>
      </c>
    </row>
    <row r="167" spans="9:14" ht="12.75" customHeight="1" x14ac:dyDescent="0.25">
      <c r="I167" s="1" t="s">
        <v>31</v>
      </c>
      <c r="J167" s="2">
        <v>12603.9004</v>
      </c>
      <c r="K167" s="1">
        <v>1.55548453</v>
      </c>
      <c r="L167" s="2">
        <v>13018</v>
      </c>
      <c r="M167" s="1">
        <v>9.6946115499999994</v>
      </c>
      <c r="N167" s="2">
        <v>233266.359</v>
      </c>
    </row>
    <row r="168" spans="9:14" ht="12.75" customHeight="1" x14ac:dyDescent="0.25">
      <c r="I168" s="1" t="s">
        <v>31</v>
      </c>
      <c r="J168" s="2">
        <v>13478.799800000001</v>
      </c>
      <c r="K168" s="1">
        <v>2.45799375</v>
      </c>
      <c r="L168" s="2">
        <v>13901.200199999999</v>
      </c>
      <c r="M168" s="1">
        <v>5.3866162299999996</v>
      </c>
      <c r="N168" s="2">
        <v>242668.03099999999</v>
      </c>
    </row>
    <row r="169" spans="9:14" ht="12.75" customHeight="1" x14ac:dyDescent="0.25">
      <c r="I169" s="1" t="s">
        <v>31</v>
      </c>
      <c r="J169" s="2">
        <v>14329.5996</v>
      </c>
      <c r="K169" s="1">
        <v>0.97307372000000003</v>
      </c>
      <c r="L169" s="2">
        <v>15043.5996</v>
      </c>
      <c r="M169" s="1">
        <v>2.3024127499999998</v>
      </c>
      <c r="N169" s="2">
        <v>307744.84399999998</v>
      </c>
    </row>
    <row r="170" spans="9:14" ht="12.75" customHeight="1" x14ac:dyDescent="0.25">
      <c r="I170" s="1" t="s">
        <v>31</v>
      </c>
      <c r="J170" s="2">
        <v>15858.4004</v>
      </c>
      <c r="K170" s="1">
        <v>0.97761690999999995</v>
      </c>
      <c r="L170" s="2">
        <v>16202.799800000001</v>
      </c>
      <c r="M170" s="1">
        <v>1.00397253</v>
      </c>
      <c r="N170" s="1">
        <v>1330.88183594</v>
      </c>
    </row>
    <row r="171" spans="9:14" ht="12.75" customHeight="1" x14ac:dyDescent="0.25">
      <c r="I171" s="1" t="s">
        <v>31</v>
      </c>
      <c r="J171" s="2">
        <v>16598.900399999999</v>
      </c>
      <c r="K171" s="1">
        <v>3.0347032500000002</v>
      </c>
      <c r="L171" s="2">
        <v>17141.300800000001</v>
      </c>
      <c r="M171" s="1">
        <v>4.3750753400000004</v>
      </c>
      <c r="N171" s="2">
        <v>160160.859</v>
      </c>
    </row>
    <row r="172" spans="9:14" ht="12.75" customHeight="1" x14ac:dyDescent="0.25">
      <c r="I172" s="1" t="s">
        <v>31</v>
      </c>
      <c r="J172" s="2">
        <v>17447.300800000001</v>
      </c>
      <c r="K172" s="1">
        <v>1.70710886</v>
      </c>
      <c r="L172" s="2">
        <v>17970.5</v>
      </c>
      <c r="M172" s="1">
        <v>5.2844462400000003</v>
      </c>
      <c r="N172" s="2">
        <v>124032.79700000001</v>
      </c>
    </row>
    <row r="173" spans="9:14" ht="12.75" customHeight="1" x14ac:dyDescent="0.25">
      <c r="I173" s="1" t="s">
        <v>31</v>
      </c>
      <c r="J173" s="2">
        <v>18314.900399999999</v>
      </c>
      <c r="K173" s="1">
        <v>7.8683142699999999</v>
      </c>
      <c r="L173" s="2">
        <v>18833.300800000001</v>
      </c>
      <c r="M173" s="1">
        <v>8.0243110699999995</v>
      </c>
      <c r="N173" s="2">
        <v>208927.359</v>
      </c>
    </row>
    <row r="174" spans="9:14" ht="12.75" customHeight="1" x14ac:dyDescent="0.25">
      <c r="I174" s="1" t="s">
        <v>31</v>
      </c>
      <c r="J174" s="2">
        <v>19160.900399999999</v>
      </c>
      <c r="K174" s="1">
        <v>1.46309578</v>
      </c>
      <c r="L174" s="2">
        <v>19874.900399999999</v>
      </c>
      <c r="M174" s="1">
        <v>2.1843147300000001</v>
      </c>
      <c r="N174" s="2">
        <v>283590.31199999998</v>
      </c>
    </row>
    <row r="175" spans="9:14" ht="12.75" customHeight="1" x14ac:dyDescent="0.25">
      <c r="I175" s="1" t="s">
        <v>31</v>
      </c>
      <c r="J175" s="2">
        <v>20029.699199999999</v>
      </c>
      <c r="K175" s="1">
        <v>4.2753972999999998</v>
      </c>
      <c r="L175" s="2">
        <v>20515.800800000001</v>
      </c>
      <c r="M175" s="1">
        <v>8.2075691200000005</v>
      </c>
      <c r="N175" s="2">
        <v>232310.15599999999</v>
      </c>
    </row>
    <row r="176" spans="9:14" ht="12.75" customHeight="1" x14ac:dyDescent="0.25">
      <c r="I176" s="1" t="s">
        <v>31</v>
      </c>
      <c r="J176" s="2">
        <v>20887.800800000001</v>
      </c>
      <c r="K176" s="1">
        <v>8.8462705600000007</v>
      </c>
      <c r="L176" s="2">
        <v>21586.199199999999</v>
      </c>
      <c r="M176" s="1">
        <v>4.3358101800000002</v>
      </c>
      <c r="N176" s="2">
        <v>312103.68800000002</v>
      </c>
    </row>
    <row r="177" spans="9:14" ht="12.75" customHeight="1" x14ac:dyDescent="0.25"/>
    <row r="178" spans="9:14" ht="12.75" customHeight="1" x14ac:dyDescent="0.25">
      <c r="I178" s="1" t="s">
        <v>12</v>
      </c>
    </row>
    <row r="179" spans="9:14" ht="12.75" customHeight="1" x14ac:dyDescent="0.25">
      <c r="I179" s="1" t="s">
        <v>0</v>
      </c>
      <c r="J179" s="1" t="s">
        <v>1</v>
      </c>
      <c r="K179" s="1" t="s">
        <v>2</v>
      </c>
      <c r="L179" s="1" t="s">
        <v>3</v>
      </c>
      <c r="M179" s="1" t="s">
        <v>4</v>
      </c>
      <c r="N179" s="1" t="s">
        <v>5</v>
      </c>
    </row>
    <row r="180" spans="9:14" ht="12.75" customHeight="1" x14ac:dyDescent="0.25">
      <c r="I180" s="1" t="s">
        <v>32</v>
      </c>
      <c r="J180" s="1">
        <v>910.82501220999995</v>
      </c>
      <c r="K180" s="1">
        <v>5.4442496299999998</v>
      </c>
      <c r="L180" s="1">
        <v>1285.2399902300001</v>
      </c>
      <c r="M180" s="1">
        <v>5.0172038099999998</v>
      </c>
      <c r="N180" s="2">
        <v>16039.987300000001</v>
      </c>
    </row>
    <row r="181" spans="9:14" ht="12.75" customHeight="1" x14ac:dyDescent="0.25">
      <c r="I181" s="1" t="s">
        <v>32</v>
      </c>
      <c r="J181" s="1">
        <v>1658.4499511700001</v>
      </c>
      <c r="K181" s="1">
        <v>8.3939495100000006</v>
      </c>
      <c r="L181" s="1">
        <v>1885.25</v>
      </c>
      <c r="M181" s="1">
        <v>7.9919085499999998</v>
      </c>
      <c r="N181" s="1">
        <v>566.59130859000004</v>
      </c>
    </row>
    <row r="182" spans="9:14" ht="12.75" customHeight="1" x14ac:dyDescent="0.25">
      <c r="I182" s="1" t="s">
        <v>32</v>
      </c>
      <c r="J182" s="1">
        <v>2374.8601074200001</v>
      </c>
      <c r="K182" s="1">
        <v>6.4974937400000004</v>
      </c>
      <c r="L182" s="1">
        <v>2802.0800781200001</v>
      </c>
      <c r="M182" s="1">
        <v>7.8661599200000003</v>
      </c>
      <c r="N182" s="1">
        <v>4281.45703125</v>
      </c>
    </row>
    <row r="183" spans="9:14" ht="12.75" customHeight="1" x14ac:dyDescent="0.25">
      <c r="I183" s="1" t="s">
        <v>32</v>
      </c>
      <c r="J183" s="1">
        <v>3126.0900878900002</v>
      </c>
      <c r="K183" s="1">
        <v>8.6647310300000004</v>
      </c>
      <c r="L183" s="1">
        <v>3412.8898925799999</v>
      </c>
      <c r="M183" s="1">
        <v>7.6434207000000001</v>
      </c>
      <c r="N183" s="1">
        <v>5629.4921875</v>
      </c>
    </row>
    <row r="184" spans="9:14" ht="12.75" customHeight="1" x14ac:dyDescent="0.25">
      <c r="I184" s="1" t="s">
        <v>32</v>
      </c>
      <c r="J184" s="1">
        <v>3870.1101074200001</v>
      </c>
      <c r="K184" s="1">
        <v>8.0636816000000007</v>
      </c>
      <c r="L184" s="1">
        <v>4095.7099609400002</v>
      </c>
      <c r="M184" s="1">
        <v>6.0769114499999999</v>
      </c>
      <c r="N184" s="1">
        <v>188.37605285999999</v>
      </c>
    </row>
    <row r="185" spans="9:14" ht="12.75" customHeight="1" x14ac:dyDescent="0.25">
      <c r="I185" s="1" t="s">
        <v>32</v>
      </c>
      <c r="J185" s="1">
        <v>4600.9301757800004</v>
      </c>
      <c r="K185" s="1">
        <v>5.8595199600000001</v>
      </c>
      <c r="L185" s="1">
        <v>4882.9301757800004</v>
      </c>
      <c r="M185" s="1">
        <v>7.0474014299999999</v>
      </c>
      <c r="N185" s="1">
        <v>1805.2675781200001</v>
      </c>
    </row>
    <row r="186" spans="9:14" ht="12.75" customHeight="1" x14ac:dyDescent="0.25">
      <c r="I186" s="1" t="s">
        <v>32</v>
      </c>
      <c r="J186" s="1">
        <v>5341.3500976599998</v>
      </c>
      <c r="K186" s="1">
        <v>9.9236745800000001</v>
      </c>
      <c r="L186" s="1">
        <v>5706.16015625</v>
      </c>
      <c r="M186" s="1">
        <v>6.1978173300000003</v>
      </c>
      <c r="N186" s="1">
        <v>3473.91137695</v>
      </c>
    </row>
    <row r="187" spans="9:14" ht="12.75" customHeight="1" x14ac:dyDescent="0.25">
      <c r="I187" s="1" t="s">
        <v>32</v>
      </c>
      <c r="J187" s="1">
        <v>7101.7900390599998</v>
      </c>
      <c r="K187" s="1">
        <v>6.2989034699999999</v>
      </c>
      <c r="L187" s="1">
        <v>7566.2099609400002</v>
      </c>
      <c r="M187" s="1">
        <v>3.9196748700000001</v>
      </c>
      <c r="N187" s="2">
        <v>14502.4004</v>
      </c>
    </row>
    <row r="188" spans="9:14" ht="12.75" customHeight="1" x14ac:dyDescent="0.25">
      <c r="I188" s="1" t="s">
        <v>32</v>
      </c>
      <c r="J188" s="1">
        <v>7844.6098632800004</v>
      </c>
      <c r="K188" s="1">
        <v>6.3833193799999997</v>
      </c>
      <c r="L188" s="1">
        <v>8285.0302734399993</v>
      </c>
      <c r="M188" s="1">
        <v>4.3879137000000004</v>
      </c>
      <c r="N188" s="1">
        <v>664.27642821999996</v>
      </c>
    </row>
    <row r="189" spans="9:14" ht="12.75" customHeight="1" x14ac:dyDescent="0.25">
      <c r="I189" s="1" t="s">
        <v>32</v>
      </c>
      <c r="J189" s="1">
        <v>8565.8300781199996</v>
      </c>
      <c r="K189" s="1">
        <v>3.9899280099999999</v>
      </c>
      <c r="L189" s="1">
        <v>8808.2402343800004</v>
      </c>
      <c r="M189" s="1">
        <v>4.4611253700000004</v>
      </c>
      <c r="N189" s="1">
        <v>1049.7631835899999</v>
      </c>
    </row>
    <row r="190" spans="9:14" ht="12.75" customHeight="1" x14ac:dyDescent="0.25">
      <c r="I190" s="1" t="s">
        <v>32</v>
      </c>
      <c r="J190" s="1">
        <v>9319.4501953100007</v>
      </c>
      <c r="K190" s="1">
        <v>5.2802796399999998</v>
      </c>
      <c r="L190" s="1">
        <v>9672.2597656199996</v>
      </c>
      <c r="M190" s="1">
        <v>4.79435682</v>
      </c>
      <c r="N190" s="1">
        <v>881.40893555000002</v>
      </c>
    </row>
    <row r="191" spans="9:14" ht="12.75" customHeight="1" x14ac:dyDescent="0.25">
      <c r="I191" s="1" t="s">
        <v>32</v>
      </c>
      <c r="J191" s="2">
        <v>10038.299800000001</v>
      </c>
      <c r="K191" s="1">
        <v>5.7662858999999997</v>
      </c>
      <c r="L191" s="2">
        <v>10496.700199999999</v>
      </c>
      <c r="M191" s="1">
        <v>14.27916336</v>
      </c>
      <c r="N191" s="2">
        <v>119741.594</v>
      </c>
    </row>
    <row r="192" spans="9:14" ht="12.75" customHeight="1" x14ac:dyDescent="0.25">
      <c r="I192" s="1" t="s">
        <v>32</v>
      </c>
      <c r="J192" s="2">
        <v>10898.700199999999</v>
      </c>
      <c r="K192" s="1">
        <v>8.3097152699999999</v>
      </c>
      <c r="L192" s="2">
        <v>11352.299800000001</v>
      </c>
      <c r="M192" s="1">
        <v>7.1498251000000002</v>
      </c>
      <c r="N192" s="2">
        <v>115185.81200000001</v>
      </c>
    </row>
    <row r="193" spans="9:14" ht="12.75" customHeight="1" x14ac:dyDescent="0.25">
      <c r="I193" s="1" t="s">
        <v>32</v>
      </c>
      <c r="J193" s="2">
        <v>11762.700199999999</v>
      </c>
      <c r="K193" s="1">
        <v>5.3170428300000001</v>
      </c>
      <c r="L193" s="2">
        <v>12265.5</v>
      </c>
      <c r="M193" s="1">
        <v>6.42523336</v>
      </c>
      <c r="N193" s="2">
        <v>170883.92199999999</v>
      </c>
    </row>
    <row r="194" spans="9:14" ht="12.75" customHeight="1" x14ac:dyDescent="0.25">
      <c r="I194" s="1" t="s">
        <v>32</v>
      </c>
      <c r="J194" s="2">
        <v>12611.0996</v>
      </c>
      <c r="K194" s="1">
        <v>3.9979662899999999</v>
      </c>
      <c r="L194" s="2">
        <v>13092.4004</v>
      </c>
      <c r="M194" s="1">
        <v>5.8052516000000001</v>
      </c>
      <c r="N194" s="2">
        <v>158309.07800000001</v>
      </c>
    </row>
    <row r="195" spans="9:14" ht="12.75" customHeight="1" x14ac:dyDescent="0.25">
      <c r="I195" s="1" t="s">
        <v>32</v>
      </c>
      <c r="J195" s="2">
        <v>13478.799800000001</v>
      </c>
      <c r="K195" s="1">
        <v>5.0507245100000002</v>
      </c>
      <c r="L195" s="2">
        <v>13812.4004</v>
      </c>
      <c r="M195" s="1">
        <v>18.186386110000001</v>
      </c>
      <c r="N195" s="2">
        <v>168328.375</v>
      </c>
    </row>
    <row r="196" spans="9:14" ht="12.75" customHeight="1" x14ac:dyDescent="0.25">
      <c r="I196" s="1" t="s">
        <v>32</v>
      </c>
      <c r="J196" s="2">
        <v>14328.4004</v>
      </c>
      <c r="K196" s="1">
        <v>4.1082258200000004</v>
      </c>
      <c r="L196" s="2">
        <v>14749.5996</v>
      </c>
      <c r="M196" s="1">
        <v>10.273035999999999</v>
      </c>
      <c r="N196" s="2">
        <v>200782.234</v>
      </c>
    </row>
    <row r="197" spans="9:14" ht="12.75" customHeight="1" x14ac:dyDescent="0.25">
      <c r="I197" s="1" t="s">
        <v>32</v>
      </c>
      <c r="J197" s="2">
        <v>15852.4004</v>
      </c>
      <c r="K197" s="1">
        <v>3.9176053999999998</v>
      </c>
      <c r="L197" s="2">
        <v>16238.799800000001</v>
      </c>
      <c r="M197" s="1">
        <v>4.7269883200000002</v>
      </c>
      <c r="N197" s="2">
        <v>16668.101600000002</v>
      </c>
    </row>
    <row r="198" spans="9:14" ht="12.75" customHeight="1" x14ac:dyDescent="0.25">
      <c r="I198" s="1" t="s">
        <v>32</v>
      </c>
      <c r="J198" s="2">
        <v>16588.099600000001</v>
      </c>
      <c r="K198" s="1">
        <v>4.3198704699999997</v>
      </c>
      <c r="L198" s="2">
        <v>17068.099600000001</v>
      </c>
      <c r="M198" s="1">
        <v>10.35357857</v>
      </c>
      <c r="N198" s="2">
        <v>135254.42199999999</v>
      </c>
    </row>
    <row r="199" spans="9:14" ht="12.75" customHeight="1" x14ac:dyDescent="0.25">
      <c r="I199" s="1" t="s">
        <v>32</v>
      </c>
      <c r="J199" s="2">
        <v>17437.699199999999</v>
      </c>
      <c r="K199" s="1">
        <v>4.9866452199999998</v>
      </c>
      <c r="L199" s="2">
        <v>17959.699199999999</v>
      </c>
      <c r="M199" s="1">
        <v>9.3432064100000005</v>
      </c>
      <c r="N199" s="2">
        <v>97709.3125</v>
      </c>
    </row>
    <row r="200" spans="9:14" ht="12.75" customHeight="1" x14ac:dyDescent="0.25">
      <c r="I200" s="1" t="s">
        <v>32</v>
      </c>
      <c r="J200" s="2">
        <v>18310.099600000001</v>
      </c>
      <c r="K200" s="1">
        <v>4.2391748400000004</v>
      </c>
      <c r="L200" s="2">
        <v>18842.900399999999</v>
      </c>
      <c r="M200" s="1">
        <v>8.8472795499999997</v>
      </c>
      <c r="N200" s="2">
        <v>169699.67199999999</v>
      </c>
    </row>
    <row r="201" spans="9:14" ht="12.75" customHeight="1" x14ac:dyDescent="0.25">
      <c r="I201" s="1" t="s">
        <v>32</v>
      </c>
      <c r="J201" s="2">
        <v>19171.699199999999</v>
      </c>
      <c r="K201" s="1">
        <v>6.4289312399999998</v>
      </c>
      <c r="L201" s="2">
        <v>19747.699199999999</v>
      </c>
      <c r="M201" s="1">
        <v>7.7708778399999998</v>
      </c>
      <c r="N201" s="2">
        <v>198061</v>
      </c>
    </row>
    <row r="202" spans="9:14" ht="12.75" customHeight="1" x14ac:dyDescent="0.25">
      <c r="I202" s="1" t="s">
        <v>32</v>
      </c>
      <c r="J202" s="2">
        <v>20028.5</v>
      </c>
      <c r="K202" s="1">
        <v>5.0895242700000001</v>
      </c>
      <c r="L202" s="2">
        <v>20592.599600000001</v>
      </c>
      <c r="M202" s="1">
        <v>6.36861181</v>
      </c>
      <c r="N202" s="2">
        <v>165523.90599999999</v>
      </c>
    </row>
    <row r="203" spans="9:14" ht="12.75" customHeight="1" x14ac:dyDescent="0.25">
      <c r="I203" s="1" t="s">
        <v>32</v>
      </c>
      <c r="J203" s="2">
        <v>20884.199199999999</v>
      </c>
      <c r="K203" s="1">
        <v>4.8862400099999999</v>
      </c>
      <c r="L203" s="2">
        <v>21552.599600000001</v>
      </c>
      <c r="M203" s="1">
        <v>6.8083529499999997</v>
      </c>
      <c r="N203" s="2">
        <v>211536.32800000001</v>
      </c>
    </row>
    <row r="204" spans="9:14" ht="12.75" customHeight="1" x14ac:dyDescent="0.25">
      <c r="I204" s="1" t="s">
        <v>32</v>
      </c>
      <c r="J204" s="2">
        <v>21754.199199999999</v>
      </c>
      <c r="K204" s="1">
        <v>6.2242970499999997</v>
      </c>
      <c r="L204" s="2">
        <v>22105.800800000001</v>
      </c>
      <c r="M204" s="1">
        <v>3.6385862800000002</v>
      </c>
      <c r="N204" s="1">
        <v>-186.76057434000001</v>
      </c>
    </row>
    <row r="205" spans="9:14" ht="12.75" customHeight="1" x14ac:dyDescent="0.25">
      <c r="I205" s="1" t="s">
        <v>32</v>
      </c>
      <c r="J205" s="2">
        <v>22393.800800000001</v>
      </c>
      <c r="K205" s="1">
        <v>5.0826749800000002</v>
      </c>
      <c r="L205" s="2">
        <v>22555.800800000001</v>
      </c>
      <c r="M205" s="1">
        <v>5.76799631</v>
      </c>
      <c r="N205" s="1">
        <v>1761.37854004</v>
      </c>
    </row>
    <row r="206" spans="9:14" ht="12.75" customHeight="1" x14ac:dyDescent="0.25"/>
    <row r="207" spans="9:14" ht="12.75" customHeight="1" x14ac:dyDescent="0.25">
      <c r="I207" s="1" t="s">
        <v>17</v>
      </c>
    </row>
    <row r="208" spans="9:14" ht="12.75" customHeight="1" x14ac:dyDescent="0.25">
      <c r="I208" s="1" t="s">
        <v>0</v>
      </c>
      <c r="J208" s="1" t="s">
        <v>1</v>
      </c>
      <c r="K208" s="1" t="s">
        <v>2</v>
      </c>
      <c r="L208" s="1" t="s">
        <v>3</v>
      </c>
      <c r="M208" s="1" t="s">
        <v>4</v>
      </c>
      <c r="N208" s="1" t="s">
        <v>5</v>
      </c>
    </row>
    <row r="209" spans="9:14" ht="12.75" customHeight="1" x14ac:dyDescent="0.25">
      <c r="I209" s="1" t="s">
        <v>33</v>
      </c>
      <c r="J209" s="1">
        <v>908.42498779000005</v>
      </c>
      <c r="K209" s="1">
        <v>2.8109383600000002</v>
      </c>
      <c r="L209" s="1">
        <v>1333.2399902300001</v>
      </c>
      <c r="M209" s="1">
        <v>10.01992989</v>
      </c>
      <c r="N209" s="2">
        <v>270616.68800000002</v>
      </c>
    </row>
    <row r="210" spans="9:14" ht="12.75" customHeight="1" x14ac:dyDescent="0.25">
      <c r="I210" s="1" t="s">
        <v>33</v>
      </c>
      <c r="J210" s="1">
        <v>1642.8399658200001</v>
      </c>
      <c r="K210" s="1">
        <v>0.72879857000000003</v>
      </c>
      <c r="L210" s="1">
        <v>1966.84997559</v>
      </c>
      <c r="M210" s="1">
        <v>1.3704314200000001</v>
      </c>
      <c r="N210" s="1">
        <v>1692.9757080100001</v>
      </c>
    </row>
    <row r="211" spans="9:14" ht="12.75" customHeight="1" x14ac:dyDescent="0.25">
      <c r="I211" s="1" t="s">
        <v>33</v>
      </c>
      <c r="J211" s="1">
        <v>2378.4699707</v>
      </c>
      <c r="K211" s="1">
        <v>1.23267281</v>
      </c>
      <c r="L211" s="1">
        <v>2790.0800781200001</v>
      </c>
      <c r="M211" s="1">
        <v>0.98898160000000002</v>
      </c>
      <c r="N211" s="1">
        <v>5982.0175781199996</v>
      </c>
    </row>
    <row r="212" spans="9:14" ht="12.75" customHeight="1" x14ac:dyDescent="0.25">
      <c r="I212" s="1" t="s">
        <v>33</v>
      </c>
      <c r="J212" s="1">
        <v>3115.2900390599998</v>
      </c>
      <c r="K212" s="1">
        <v>1.04486513</v>
      </c>
      <c r="L212" s="1">
        <v>3490.8999023400002</v>
      </c>
      <c r="M212" s="1">
        <v>1.82900453</v>
      </c>
      <c r="N212" s="1">
        <v>6680.8208007800004</v>
      </c>
    </row>
    <row r="213" spans="9:14" ht="12.75" customHeight="1" x14ac:dyDescent="0.25">
      <c r="I213" s="1" t="s">
        <v>33</v>
      </c>
      <c r="J213" s="1">
        <v>3862.9099121099998</v>
      </c>
      <c r="K213" s="1">
        <v>0.94854205999999996</v>
      </c>
      <c r="L213" s="1">
        <v>4014.1101074200001</v>
      </c>
      <c r="M213" s="1">
        <v>2.8854429700000002</v>
      </c>
      <c r="N213" s="1">
        <v>479.64306641000002</v>
      </c>
    </row>
    <row r="214" spans="9:14" ht="12.75" customHeight="1" x14ac:dyDescent="0.25">
      <c r="I214" s="1" t="s">
        <v>33</v>
      </c>
      <c r="J214" s="1">
        <v>4600.9301757800004</v>
      </c>
      <c r="K214" s="1">
        <v>1.3078823100000001</v>
      </c>
      <c r="L214" s="1">
        <v>4904.5297851599998</v>
      </c>
      <c r="M214" s="1">
        <v>0.92549550999999997</v>
      </c>
      <c r="N214" s="1">
        <v>1496.3487548799999</v>
      </c>
    </row>
    <row r="215" spans="9:14" ht="12.75" customHeight="1" x14ac:dyDescent="0.25">
      <c r="I215" s="1" t="s">
        <v>33</v>
      </c>
      <c r="J215" s="1">
        <v>5336.5498046900002</v>
      </c>
      <c r="K215" s="1">
        <v>0.97549801999999997</v>
      </c>
      <c r="L215" s="1">
        <v>5626.9501953099998</v>
      </c>
      <c r="M215" s="1">
        <v>1.18928111</v>
      </c>
      <c r="N215" s="1">
        <v>2411.8666992200001</v>
      </c>
    </row>
    <row r="216" spans="9:14" ht="12.75" customHeight="1" x14ac:dyDescent="0.25">
      <c r="I216" s="1" t="s">
        <v>33</v>
      </c>
      <c r="J216" s="1">
        <v>7098.1899414099998</v>
      </c>
      <c r="K216" s="1">
        <v>1.85417557</v>
      </c>
      <c r="L216" s="1">
        <v>7580.6098632800004</v>
      </c>
      <c r="M216" s="1">
        <v>4.6363220199999997</v>
      </c>
      <c r="N216" s="2">
        <v>255663.984</v>
      </c>
    </row>
    <row r="217" spans="9:14" ht="12.75" customHeight="1" x14ac:dyDescent="0.25">
      <c r="I217" s="1" t="s">
        <v>33</v>
      </c>
      <c r="J217" s="1">
        <v>7841.0097656199996</v>
      </c>
      <c r="K217" s="1">
        <v>1.52056122</v>
      </c>
      <c r="L217" s="1">
        <v>8275.4296875</v>
      </c>
      <c r="M217" s="1">
        <v>0.98627412000000003</v>
      </c>
      <c r="N217" s="1">
        <v>12.182189940000001</v>
      </c>
    </row>
    <row r="218" spans="9:14" ht="12.75" customHeight="1" x14ac:dyDescent="0.25">
      <c r="I218" s="1" t="s">
        <v>33</v>
      </c>
      <c r="J218" s="1">
        <v>8577.8300781199996</v>
      </c>
      <c r="K218" s="1">
        <v>1.20065796</v>
      </c>
      <c r="L218" s="1">
        <v>8894.6396484399993</v>
      </c>
      <c r="M218" s="1">
        <v>0.63935441000000004</v>
      </c>
      <c r="N218" s="1">
        <v>46.265281680000001</v>
      </c>
    </row>
    <row r="219" spans="9:14" ht="12.75" customHeight="1" x14ac:dyDescent="0.25">
      <c r="I219" s="1" t="s">
        <v>33</v>
      </c>
      <c r="J219" s="1">
        <v>9320.6503906199996</v>
      </c>
      <c r="K219" s="1">
        <v>0.63791156000000004</v>
      </c>
      <c r="L219" s="1">
        <v>9755.0703125</v>
      </c>
      <c r="M219" s="1">
        <v>0.99749821000000005</v>
      </c>
      <c r="N219" s="1">
        <v>145.60089110999999</v>
      </c>
    </row>
    <row r="220" spans="9:14" ht="12.75" customHeight="1" x14ac:dyDescent="0.25">
      <c r="I220" s="1" t="s">
        <v>33</v>
      </c>
      <c r="J220" s="2">
        <v>10035.9004</v>
      </c>
      <c r="K220" s="1">
        <v>1.12902105</v>
      </c>
      <c r="L220" s="2">
        <v>10511.0996</v>
      </c>
      <c r="M220" s="1">
        <v>16.295000080000001</v>
      </c>
      <c r="N220" s="2">
        <v>187016.84400000001</v>
      </c>
    </row>
    <row r="221" spans="9:14" ht="12.75" customHeight="1" x14ac:dyDescent="0.25">
      <c r="I221" s="1" t="s">
        <v>33</v>
      </c>
      <c r="J221" s="2">
        <v>10887.9004</v>
      </c>
      <c r="K221" s="1">
        <v>7.4431009299999999</v>
      </c>
      <c r="L221" s="2">
        <v>11333.0996</v>
      </c>
      <c r="M221" s="1">
        <v>9.7782325700000001</v>
      </c>
      <c r="N221" s="2">
        <v>185444.03099999999</v>
      </c>
    </row>
    <row r="222" spans="9:14" ht="12.75" customHeight="1" x14ac:dyDescent="0.25">
      <c r="I222" s="1" t="s">
        <v>33</v>
      </c>
      <c r="J222" s="2">
        <v>11757.9004</v>
      </c>
      <c r="K222" s="1">
        <v>2.2446582300000002</v>
      </c>
      <c r="L222" s="2">
        <v>12387.9004</v>
      </c>
      <c r="M222" s="1">
        <v>1.33477175</v>
      </c>
      <c r="N222" s="2">
        <v>212210.93799999999</v>
      </c>
    </row>
    <row r="223" spans="9:14" ht="12.75" customHeight="1" x14ac:dyDescent="0.25">
      <c r="I223" s="1" t="s">
        <v>33</v>
      </c>
      <c r="J223" s="2">
        <v>12596.700199999999</v>
      </c>
      <c r="K223" s="1">
        <v>0.57042462000000005</v>
      </c>
      <c r="L223" s="2">
        <v>12970</v>
      </c>
      <c r="M223" s="1">
        <v>14.37698078</v>
      </c>
      <c r="N223" s="2">
        <v>187935.40599999999</v>
      </c>
    </row>
    <row r="224" spans="9:14" ht="12.75" customHeight="1" x14ac:dyDescent="0.25">
      <c r="I224" s="1" t="s">
        <v>33</v>
      </c>
      <c r="J224" s="2">
        <v>13478.799800000001</v>
      </c>
      <c r="K224" s="1">
        <v>1.81694639</v>
      </c>
      <c r="L224" s="2">
        <v>13879.5996</v>
      </c>
      <c r="M224" s="1">
        <v>7.5001664200000002</v>
      </c>
      <c r="N224" s="2">
        <v>217636.06200000001</v>
      </c>
    </row>
    <row r="225" spans="1:14" ht="12.75" customHeight="1" x14ac:dyDescent="0.25">
      <c r="I225" s="1" t="s">
        <v>33</v>
      </c>
      <c r="J225" s="2">
        <v>14321.200199999999</v>
      </c>
      <c r="K225" s="1">
        <v>1.03296685</v>
      </c>
      <c r="L225" s="2">
        <v>14944</v>
      </c>
      <c r="M225" s="1">
        <v>1.98858047</v>
      </c>
      <c r="N225" s="2">
        <v>218509.81200000001</v>
      </c>
    </row>
    <row r="226" spans="1:14" ht="12.75" customHeight="1" x14ac:dyDescent="0.25">
      <c r="I226" s="1" t="s">
        <v>33</v>
      </c>
      <c r="J226" s="2">
        <v>15240.4004</v>
      </c>
      <c r="K226" s="1">
        <v>1.25535631</v>
      </c>
      <c r="L226" s="2">
        <v>15581.200199999999</v>
      </c>
      <c r="M226" s="1">
        <v>0.70120375999999995</v>
      </c>
      <c r="N226" s="1">
        <v>-12.74372387</v>
      </c>
    </row>
    <row r="227" spans="1:14" ht="12.75" customHeight="1" x14ac:dyDescent="0.25">
      <c r="I227" s="1" t="s">
        <v>33</v>
      </c>
      <c r="J227" s="2">
        <v>15858.4004</v>
      </c>
      <c r="K227" s="1">
        <v>1.12077665</v>
      </c>
      <c r="L227" s="2">
        <v>16244.799800000001</v>
      </c>
      <c r="M227" s="1">
        <v>16.50415993</v>
      </c>
      <c r="N227" s="2">
        <v>271514.96899999998</v>
      </c>
    </row>
    <row r="228" spans="1:14" ht="12.75" customHeight="1" x14ac:dyDescent="0.25">
      <c r="I228" s="1" t="s">
        <v>33</v>
      </c>
      <c r="J228" s="2">
        <v>16567.699199999999</v>
      </c>
      <c r="K228" s="1">
        <v>1.0694088900000001</v>
      </c>
      <c r="L228" s="2">
        <v>17188.099600000001</v>
      </c>
      <c r="M228" s="1">
        <v>2.3727188099999998</v>
      </c>
      <c r="N228" s="2">
        <v>182294.09400000001</v>
      </c>
    </row>
    <row r="229" spans="1:14" ht="12.75" customHeight="1" x14ac:dyDescent="0.25">
      <c r="I229" s="1" t="s">
        <v>33</v>
      </c>
      <c r="J229" s="2">
        <v>17448.5</v>
      </c>
      <c r="K229" s="1">
        <v>0.70709443000000005</v>
      </c>
      <c r="L229" s="2">
        <v>18151.699199999999</v>
      </c>
      <c r="M229" s="1">
        <v>1.5257691099999999</v>
      </c>
      <c r="N229" s="2">
        <v>117317.625</v>
      </c>
    </row>
    <row r="230" spans="1:14" ht="12.75" customHeight="1" x14ac:dyDescent="0.25">
      <c r="I230" s="1" t="s">
        <v>33</v>
      </c>
      <c r="J230" s="2">
        <v>18314.900399999999</v>
      </c>
      <c r="K230" s="1">
        <v>5.7411198600000004</v>
      </c>
      <c r="L230" s="2">
        <v>19048.099600000001</v>
      </c>
      <c r="M230" s="1">
        <v>1.74078274</v>
      </c>
      <c r="N230" s="2">
        <v>184973.96900000001</v>
      </c>
    </row>
    <row r="231" spans="1:14" ht="12.75" customHeight="1" x14ac:dyDescent="0.25">
      <c r="I231" s="1" t="s">
        <v>33</v>
      </c>
      <c r="J231" s="2">
        <v>19172.900399999999</v>
      </c>
      <c r="K231" s="1">
        <v>8.1536931999999993</v>
      </c>
      <c r="L231" s="2">
        <v>19777.699199999999</v>
      </c>
      <c r="M231" s="1">
        <v>2.57964802</v>
      </c>
      <c r="N231" s="2">
        <v>195398.34400000001</v>
      </c>
    </row>
    <row r="232" spans="1:14" ht="12.75" customHeight="1" x14ac:dyDescent="0.25">
      <c r="I232" s="1" t="s">
        <v>33</v>
      </c>
      <c r="J232" s="2">
        <v>20026.099600000001</v>
      </c>
      <c r="K232" s="1">
        <v>1.10539973</v>
      </c>
      <c r="L232" s="2">
        <v>20657.400399999999</v>
      </c>
      <c r="M232" s="1">
        <v>1.5155168800000001</v>
      </c>
      <c r="N232" s="2">
        <v>191585</v>
      </c>
    </row>
    <row r="233" spans="1:14" ht="12.75" customHeight="1" x14ac:dyDescent="0.25">
      <c r="I233" s="1" t="s">
        <v>33</v>
      </c>
      <c r="J233" s="2">
        <v>20887.800800000001</v>
      </c>
      <c r="K233" s="1">
        <v>5.2095780400000002</v>
      </c>
      <c r="L233" s="2">
        <v>21539.400399999999</v>
      </c>
      <c r="M233" s="1">
        <v>4.0677051500000001</v>
      </c>
      <c r="N233" s="2">
        <v>205018.45300000001</v>
      </c>
    </row>
    <row r="234" spans="1:14" ht="12.75" customHeight="1" x14ac:dyDescent="0.25">
      <c r="I234" s="1" t="s">
        <v>33</v>
      </c>
      <c r="J234" s="2">
        <v>21749.400399999999</v>
      </c>
      <c r="K234" s="1">
        <v>1.249506</v>
      </c>
      <c r="L234" s="2">
        <v>22186.199199999999</v>
      </c>
      <c r="M234" s="1">
        <v>1.10643113</v>
      </c>
      <c r="N234" s="1">
        <v>-85.174575809999993</v>
      </c>
    </row>
    <row r="235" spans="1:14" ht="12.75" customHeight="1" x14ac:dyDescent="0.25">
      <c r="I235" s="1" t="s">
        <v>33</v>
      </c>
      <c r="J235" s="2">
        <v>22396.199199999999</v>
      </c>
      <c r="K235" s="1">
        <v>0.96302533000000001</v>
      </c>
      <c r="L235" s="2">
        <v>22601.400399999999</v>
      </c>
      <c r="M235" s="1">
        <v>0.48300883</v>
      </c>
      <c r="N235" s="1">
        <v>82.961631769999997</v>
      </c>
    </row>
    <row r="236" spans="1:14" ht="12.75" customHeight="1" x14ac:dyDescent="0.25"/>
    <row r="237" spans="1:14" ht="12.75" customHeight="1" x14ac:dyDescent="0.25"/>
    <row r="238" spans="1:14" ht="12.75" customHeight="1" x14ac:dyDescent="0.25">
      <c r="A238" s="6">
        <v>45681</v>
      </c>
      <c r="B238" s="24" t="s">
        <v>34</v>
      </c>
      <c r="I238" s="1" t="s">
        <v>24</v>
      </c>
    </row>
    <row r="239" spans="1:14" ht="12.75" customHeight="1" x14ac:dyDescent="0.25">
      <c r="I239" s="1" t="s">
        <v>0</v>
      </c>
      <c r="J239" s="1" t="s">
        <v>1</v>
      </c>
      <c r="K239" s="1" t="s">
        <v>2</v>
      </c>
      <c r="L239" s="1" t="s">
        <v>3</v>
      </c>
      <c r="M239" s="1" t="s">
        <v>4</v>
      </c>
      <c r="N239" s="1" t="s">
        <v>5</v>
      </c>
    </row>
    <row r="240" spans="1:14" ht="12.75" customHeight="1" x14ac:dyDescent="0.25">
      <c r="I240" s="1" t="s">
        <v>35</v>
      </c>
      <c r="J240" s="1">
        <v>1845.65002441</v>
      </c>
      <c r="K240" s="1">
        <v>6.2941436800000004</v>
      </c>
      <c r="L240" s="1">
        <v>2078.4599609400002</v>
      </c>
      <c r="M240" s="1">
        <v>2.68072343</v>
      </c>
      <c r="N240" s="1">
        <v>896.80871581999997</v>
      </c>
    </row>
    <row r="241" spans="9:30" ht="12.75" customHeight="1" x14ac:dyDescent="0.25">
      <c r="I241" s="1" t="s">
        <v>35</v>
      </c>
      <c r="J241" s="1">
        <v>2592.0700683599998</v>
      </c>
      <c r="K241" s="1">
        <v>155.22331238000001</v>
      </c>
      <c r="L241" s="1">
        <v>2756.4799804700001</v>
      </c>
      <c r="M241" s="1">
        <v>55.580509190000001</v>
      </c>
      <c r="N241" s="1">
        <v>9005.03515625</v>
      </c>
    </row>
    <row r="242" spans="9:30" ht="12.75" customHeight="1" x14ac:dyDescent="0.25">
      <c r="I242" s="1" t="s">
        <v>35</v>
      </c>
      <c r="J242" s="1">
        <v>3308.4899902299999</v>
      </c>
      <c r="K242" s="1">
        <v>3.06579661</v>
      </c>
      <c r="L242" s="1">
        <v>3524.5</v>
      </c>
      <c r="M242" s="1">
        <v>30.935239790000001</v>
      </c>
      <c r="N242" s="2">
        <v>22281.2012</v>
      </c>
    </row>
    <row r="243" spans="9:30" ht="12.75" customHeight="1" x14ac:dyDescent="0.25">
      <c r="I243" s="1" t="s">
        <v>35</v>
      </c>
      <c r="J243" s="1">
        <v>4915.3300781199996</v>
      </c>
      <c r="K243" s="1">
        <v>3.3001160600000001</v>
      </c>
      <c r="L243" s="1">
        <v>5332.9501953099998</v>
      </c>
      <c r="M243" s="1">
        <v>2.3587720399999998</v>
      </c>
      <c r="N243" s="2">
        <v>15611.877899999999</v>
      </c>
    </row>
    <row r="244" spans="9:30" ht="12.75" customHeight="1" x14ac:dyDescent="0.25">
      <c r="I244" s="1" t="s">
        <v>35</v>
      </c>
      <c r="J244" s="1">
        <v>5646.1499023400002</v>
      </c>
      <c r="K244" s="1">
        <v>3.0952217599999998</v>
      </c>
      <c r="L244" s="1">
        <v>6074.5698242199996</v>
      </c>
      <c r="M244" s="1">
        <v>37.71542358</v>
      </c>
      <c r="N244" s="2">
        <v>421854.40600000002</v>
      </c>
    </row>
    <row r="245" spans="9:30" ht="12.75" customHeight="1" x14ac:dyDescent="0.25">
      <c r="I245" s="1" t="s">
        <v>35</v>
      </c>
      <c r="J245" s="1">
        <v>6378.1699218800004</v>
      </c>
      <c r="K245" s="1">
        <v>6.6959381100000002</v>
      </c>
      <c r="L245" s="1">
        <v>6810.1899414099998</v>
      </c>
      <c r="M245" s="1">
        <v>43.65267944</v>
      </c>
      <c r="N245" s="2">
        <v>469859.65600000002</v>
      </c>
      <c r="AD245" s="1"/>
    </row>
    <row r="246" spans="9:30" ht="12.75" customHeight="1" x14ac:dyDescent="0.25">
      <c r="I246" s="1" t="s">
        <v>35</v>
      </c>
      <c r="J246" s="1">
        <v>7124.58984375</v>
      </c>
      <c r="K246" s="1">
        <v>2.9720921499999999</v>
      </c>
      <c r="L246" s="1">
        <v>7543.41015625</v>
      </c>
      <c r="M246" s="1">
        <v>40.924263000000003</v>
      </c>
      <c r="N246" s="2">
        <v>388269.15600000002</v>
      </c>
      <c r="AD246" s="3"/>
    </row>
    <row r="247" spans="9:30" ht="12.75" customHeight="1" x14ac:dyDescent="0.25">
      <c r="I247" s="1" t="s">
        <v>35</v>
      </c>
      <c r="J247" s="1">
        <v>7866.2099609400002</v>
      </c>
      <c r="K247" s="1">
        <v>4.7345604899999998</v>
      </c>
      <c r="L247" s="1">
        <v>8209.4199218800004</v>
      </c>
      <c r="M247" s="1">
        <v>2.1948914500000001</v>
      </c>
      <c r="N247" s="1">
        <v>978.00604248000002</v>
      </c>
    </row>
    <row r="248" spans="9:30" ht="12.75" customHeight="1" x14ac:dyDescent="0.25">
      <c r="I248" s="1" t="s">
        <v>35</v>
      </c>
      <c r="J248" s="1">
        <v>8601.83984375</v>
      </c>
      <c r="K248" s="1">
        <v>4.5115785600000002</v>
      </c>
      <c r="L248" s="1">
        <v>8852.6396484399993</v>
      </c>
      <c r="M248" s="1">
        <v>48.007846829999998</v>
      </c>
      <c r="N248" s="2">
        <v>124212.94500000001</v>
      </c>
    </row>
    <row r="249" spans="9:30" ht="12.75" customHeight="1" x14ac:dyDescent="0.25">
      <c r="I249" s="1" t="s">
        <v>35</v>
      </c>
      <c r="J249" s="1">
        <v>9337.4599609399993</v>
      </c>
      <c r="K249" s="1">
        <v>4.2402310400000003</v>
      </c>
      <c r="L249" s="1">
        <v>9638.66015625</v>
      </c>
      <c r="M249" s="1">
        <v>20.407714840000001</v>
      </c>
      <c r="N249" s="2">
        <v>176607.70300000001</v>
      </c>
    </row>
    <row r="250" spans="9:30" ht="12.75" customHeight="1" x14ac:dyDescent="0.25">
      <c r="I250" s="1" t="s">
        <v>35</v>
      </c>
      <c r="J250" s="2">
        <v>10076.700199999999</v>
      </c>
      <c r="K250" s="1">
        <v>2.1548497700000002</v>
      </c>
      <c r="L250" s="2">
        <v>10542.299800000001</v>
      </c>
      <c r="M250" s="1">
        <v>13.20491028</v>
      </c>
      <c r="N250" s="2">
        <v>1870632.88</v>
      </c>
    </row>
    <row r="251" spans="9:30" ht="12.75" customHeight="1" x14ac:dyDescent="0.25">
      <c r="I251" s="1" t="s">
        <v>35</v>
      </c>
      <c r="J251" s="2">
        <v>10811.0996</v>
      </c>
      <c r="K251" s="1">
        <v>-1.8305395799999999</v>
      </c>
      <c r="L251" s="2">
        <v>11433.9004</v>
      </c>
      <c r="M251" s="1">
        <v>27.11944008</v>
      </c>
      <c r="N251" s="2">
        <v>23142874</v>
      </c>
    </row>
    <row r="252" spans="9:30" ht="12.75" customHeight="1" x14ac:dyDescent="0.25">
      <c r="I252" s="1" t="s">
        <v>35</v>
      </c>
      <c r="J252" s="2">
        <v>11730.299800000001</v>
      </c>
      <c r="K252" s="1">
        <v>6.7556590999999999</v>
      </c>
      <c r="L252" s="2">
        <v>12427.5</v>
      </c>
      <c r="M252" s="1">
        <v>134.02767943999999</v>
      </c>
      <c r="N252" s="2">
        <v>16626955</v>
      </c>
    </row>
    <row r="253" spans="9:30" ht="12.75" customHeight="1" x14ac:dyDescent="0.25"/>
    <row r="254" spans="9:30" ht="12.75" customHeight="1" x14ac:dyDescent="0.25">
      <c r="I254" s="1" t="s">
        <v>10</v>
      </c>
    </row>
    <row r="255" spans="9:30" ht="12.75" customHeight="1" x14ac:dyDescent="0.25">
      <c r="I255" s="1" t="s">
        <v>0</v>
      </c>
      <c r="J255" s="1" t="s">
        <v>1</v>
      </c>
      <c r="K255" s="1" t="s">
        <v>2</v>
      </c>
      <c r="L255" s="1" t="s">
        <v>3</v>
      </c>
      <c r="M255" s="1" t="s">
        <v>4</v>
      </c>
      <c r="N255" s="1" t="s">
        <v>5</v>
      </c>
    </row>
    <row r="256" spans="9:30" ht="12.75" customHeight="1" x14ac:dyDescent="0.25">
      <c r="I256" s="1" t="s">
        <v>36</v>
      </c>
      <c r="J256" s="1">
        <v>1843.25</v>
      </c>
      <c r="K256" s="1">
        <v>2.6945924799999998</v>
      </c>
      <c r="L256" s="1">
        <v>2098.8601074200001</v>
      </c>
      <c r="M256" s="1">
        <v>1.3585511400000001</v>
      </c>
      <c r="N256" s="1">
        <v>961.43243408000001</v>
      </c>
    </row>
    <row r="257" spans="9:14" ht="12.75" customHeight="1" x14ac:dyDescent="0.25">
      <c r="I257" s="1" t="s">
        <v>36</v>
      </c>
      <c r="J257" s="1">
        <v>2583.6699218799999</v>
      </c>
      <c r="K257" s="1">
        <v>3.9140141000000002</v>
      </c>
      <c r="L257" s="1">
        <v>2787.6799316400002</v>
      </c>
      <c r="M257" s="1">
        <v>2.5715959100000001</v>
      </c>
      <c r="N257" s="1">
        <v>482.93652343999997</v>
      </c>
    </row>
    <row r="258" spans="9:14" ht="12.75" customHeight="1" x14ac:dyDescent="0.25">
      <c r="I258" s="1" t="s">
        <v>36</v>
      </c>
      <c r="J258" s="1">
        <v>3318.0900878900002</v>
      </c>
      <c r="K258" s="1">
        <v>1.66094232</v>
      </c>
      <c r="L258" s="1">
        <v>3643.3000488299999</v>
      </c>
      <c r="M258" s="1">
        <v>1.0578556100000001</v>
      </c>
      <c r="N258" s="1">
        <v>808.56274413999995</v>
      </c>
    </row>
    <row r="259" spans="9:14" ht="12.75" customHeight="1" x14ac:dyDescent="0.25">
      <c r="I259" s="1" t="s">
        <v>36</v>
      </c>
      <c r="J259" s="1">
        <v>4918.9301757800004</v>
      </c>
      <c r="K259" s="1">
        <v>0.32665789000000001</v>
      </c>
      <c r="L259" s="1">
        <v>5121.7402343800004</v>
      </c>
      <c r="M259" s="1">
        <v>0.81264561000000002</v>
      </c>
      <c r="N259" s="1">
        <v>533.27313231999995</v>
      </c>
    </row>
    <row r="260" spans="9:14" ht="12.75" customHeight="1" x14ac:dyDescent="0.25">
      <c r="I260" s="1" t="s">
        <v>36</v>
      </c>
      <c r="J260" s="1">
        <v>5653.3500976599998</v>
      </c>
      <c r="K260" s="1">
        <v>2.7354474099999999</v>
      </c>
      <c r="L260" s="1">
        <v>6056.5698242199996</v>
      </c>
      <c r="M260" s="1">
        <v>1.9307436899999999</v>
      </c>
      <c r="N260" s="2">
        <v>12765.8994</v>
      </c>
    </row>
    <row r="261" spans="9:14" ht="12.75" customHeight="1" x14ac:dyDescent="0.25">
      <c r="I261" s="1" t="s">
        <v>36</v>
      </c>
      <c r="J261" s="1">
        <v>6398.5698242199996</v>
      </c>
      <c r="K261" s="1">
        <v>12.264988900000001</v>
      </c>
      <c r="L261" s="1">
        <v>6776.58984375</v>
      </c>
      <c r="M261" s="1">
        <v>2.3193774199999999</v>
      </c>
      <c r="N261" s="2">
        <v>12645.015600000001</v>
      </c>
    </row>
    <row r="262" spans="9:14" ht="12.75" customHeight="1" x14ac:dyDescent="0.25">
      <c r="I262" s="1" t="s">
        <v>36</v>
      </c>
      <c r="J262" s="1">
        <v>7129.3901367199996</v>
      </c>
      <c r="K262" s="1">
        <v>0.48658773</v>
      </c>
      <c r="L262" s="1">
        <v>7542.2099609400002</v>
      </c>
      <c r="M262" s="1">
        <v>1.1372390999999999</v>
      </c>
      <c r="N262" s="2">
        <v>12422.510700000001</v>
      </c>
    </row>
    <row r="263" spans="9:14" ht="12.75" customHeight="1" x14ac:dyDescent="0.25">
      <c r="I263" s="1" t="s">
        <v>36</v>
      </c>
      <c r="J263" s="1">
        <v>7872.2202148400002</v>
      </c>
      <c r="K263" s="1">
        <v>3.4087974999999999</v>
      </c>
      <c r="L263" s="1">
        <v>8112.2202148400002</v>
      </c>
      <c r="M263" s="1">
        <v>1.0484651300000001</v>
      </c>
      <c r="N263" s="1">
        <v>811.09729003999996</v>
      </c>
    </row>
    <row r="264" spans="9:14" ht="12.75" customHeight="1" x14ac:dyDescent="0.25">
      <c r="I264" s="1" t="s">
        <v>36</v>
      </c>
      <c r="J264" s="1">
        <v>8609.0400390600007</v>
      </c>
      <c r="K264" s="1">
        <v>8.3103017799999996</v>
      </c>
      <c r="L264" s="1">
        <v>8885.0400390600007</v>
      </c>
      <c r="M264" s="1">
        <v>1.50115979</v>
      </c>
      <c r="N264" s="1">
        <v>3269.4130859400002</v>
      </c>
    </row>
    <row r="265" spans="9:14" ht="12.75" customHeight="1" x14ac:dyDescent="0.25">
      <c r="I265" s="1" t="s">
        <v>36</v>
      </c>
      <c r="J265" s="1">
        <v>9335.0595703100007</v>
      </c>
      <c r="K265" s="1">
        <v>1.01409411</v>
      </c>
      <c r="L265" s="1">
        <v>9584.66015625</v>
      </c>
      <c r="M265" s="1">
        <v>3.56121898</v>
      </c>
      <c r="N265" s="1">
        <v>5151.4541015599998</v>
      </c>
    </row>
    <row r="266" spans="9:14" ht="12.75" customHeight="1" x14ac:dyDescent="0.25">
      <c r="I266" s="1" t="s">
        <v>36</v>
      </c>
      <c r="J266" s="2">
        <v>10080.299800000001</v>
      </c>
      <c r="K266" s="1">
        <v>7.4615430800000002</v>
      </c>
      <c r="L266" s="2">
        <v>10445.0996</v>
      </c>
      <c r="M266" s="1">
        <v>6.1793556199999999</v>
      </c>
      <c r="N266" s="2">
        <v>53345.546900000001</v>
      </c>
    </row>
    <row r="267" spans="9:14" ht="12.75" customHeight="1" x14ac:dyDescent="0.25">
      <c r="I267" s="1" t="s">
        <v>36</v>
      </c>
      <c r="J267" s="2">
        <v>10813.5</v>
      </c>
      <c r="K267" s="1">
        <v>3.514961</v>
      </c>
      <c r="L267" s="2">
        <v>11225.0996</v>
      </c>
      <c r="M267" s="1">
        <v>19.401865010000002</v>
      </c>
      <c r="N267" s="2">
        <v>451625.81199999998</v>
      </c>
    </row>
    <row r="268" spans="9:14" ht="12.75" customHeight="1" x14ac:dyDescent="0.25">
      <c r="I268" s="1" t="s">
        <v>36</v>
      </c>
      <c r="J268" s="2">
        <v>11732.700199999999</v>
      </c>
      <c r="K268" s="1">
        <v>2.1035187199999998</v>
      </c>
      <c r="L268" s="2">
        <v>12180.299800000001</v>
      </c>
      <c r="M268" s="1">
        <v>13.91910934</v>
      </c>
      <c r="N268" s="2">
        <v>362630.56199999998</v>
      </c>
    </row>
    <row r="269" spans="9:14" ht="12.75" customHeight="1" x14ac:dyDescent="0.25"/>
    <row r="270" spans="9:14" ht="12.75" customHeight="1" x14ac:dyDescent="0.25">
      <c r="I270" s="1" t="s">
        <v>12</v>
      </c>
    </row>
    <row r="271" spans="9:14" ht="12.75" customHeight="1" x14ac:dyDescent="0.25">
      <c r="I271" s="1" t="s">
        <v>0</v>
      </c>
      <c r="J271" s="1" t="s">
        <v>1</v>
      </c>
      <c r="K271" s="1" t="s">
        <v>2</v>
      </c>
      <c r="L271" s="1" t="s">
        <v>3</v>
      </c>
      <c r="M271" s="1" t="s">
        <v>4</v>
      </c>
      <c r="N271" s="1" t="s">
        <v>5</v>
      </c>
    </row>
    <row r="272" spans="9:14" ht="12.75" customHeight="1" x14ac:dyDescent="0.25">
      <c r="I272" s="1" t="s">
        <v>37</v>
      </c>
      <c r="J272" s="1">
        <v>1844.4499511700001</v>
      </c>
      <c r="K272" s="1">
        <v>25.767255779999999</v>
      </c>
      <c r="L272" s="1">
        <v>2112.0600585900002</v>
      </c>
      <c r="M272" s="1">
        <v>8.9663743999999994</v>
      </c>
      <c r="N272" s="2">
        <v>12215.0977</v>
      </c>
    </row>
    <row r="273" spans="9:14" ht="12.75" customHeight="1" x14ac:dyDescent="0.25">
      <c r="I273" s="1" t="s">
        <v>37</v>
      </c>
      <c r="J273" s="1">
        <v>2569.2700195299999</v>
      </c>
      <c r="K273" s="1">
        <v>3.3466572800000001</v>
      </c>
      <c r="L273" s="1">
        <v>2745.6799316400002</v>
      </c>
      <c r="M273" s="1">
        <v>5.5989890100000004</v>
      </c>
      <c r="N273" s="1">
        <v>1336.3107910199999</v>
      </c>
    </row>
    <row r="274" spans="9:14" ht="12.75" customHeight="1" x14ac:dyDescent="0.25">
      <c r="I274" s="1" t="s">
        <v>37</v>
      </c>
      <c r="J274" s="1">
        <v>3321.6899414099998</v>
      </c>
      <c r="K274" s="1">
        <v>5.1324367500000001</v>
      </c>
      <c r="L274" s="1">
        <v>3499.3000488299999</v>
      </c>
      <c r="M274" s="1">
        <v>8.1286506700000007</v>
      </c>
      <c r="N274" s="1">
        <v>875.77825928000004</v>
      </c>
    </row>
    <row r="275" spans="9:14" ht="12.75" customHeight="1" x14ac:dyDescent="0.25">
      <c r="I275" s="1" t="s">
        <v>37</v>
      </c>
      <c r="J275" s="1">
        <v>4930.9301757800004</v>
      </c>
      <c r="K275" s="1">
        <v>7.8538174600000001</v>
      </c>
      <c r="L275" s="1">
        <v>5095.33984375</v>
      </c>
      <c r="M275" s="1">
        <v>4.6530146600000002</v>
      </c>
      <c r="N275" s="1">
        <v>233.40406798999999</v>
      </c>
    </row>
    <row r="276" spans="9:14" ht="12.75" customHeight="1" x14ac:dyDescent="0.25">
      <c r="I276" s="1" t="s">
        <v>37</v>
      </c>
      <c r="J276" s="1">
        <v>5656.9501953099998</v>
      </c>
      <c r="K276" s="1">
        <v>11.27213478</v>
      </c>
      <c r="L276" s="1">
        <v>6030.16015625</v>
      </c>
      <c r="M276" s="1">
        <v>5.5903806700000001</v>
      </c>
      <c r="N276" s="2">
        <v>18097.771499999999</v>
      </c>
    </row>
    <row r="277" spans="9:14" ht="12.75" customHeight="1" x14ac:dyDescent="0.25">
      <c r="I277" s="1" t="s">
        <v>37</v>
      </c>
      <c r="J277" s="1">
        <v>6390.1699218800004</v>
      </c>
      <c r="K277" s="1">
        <v>8.8375358599999991</v>
      </c>
      <c r="L277" s="1">
        <v>6757.3798828099998</v>
      </c>
      <c r="M277" s="1">
        <v>6.5160398500000003</v>
      </c>
      <c r="N277" s="2">
        <v>20540.3223</v>
      </c>
    </row>
    <row r="278" spans="9:14" ht="12.75" customHeight="1" x14ac:dyDescent="0.25">
      <c r="I278" s="1" t="s">
        <v>37</v>
      </c>
      <c r="J278" s="1">
        <v>7126.9902343800004</v>
      </c>
      <c r="K278" s="1">
        <v>4.0738854399999997</v>
      </c>
      <c r="L278" s="1">
        <v>7521.8100585900002</v>
      </c>
      <c r="M278" s="1">
        <v>5.0931077</v>
      </c>
      <c r="N278" s="2">
        <v>17967.4277</v>
      </c>
    </row>
    <row r="279" spans="9:14" ht="12.75" customHeight="1" x14ac:dyDescent="0.25">
      <c r="I279" s="1" t="s">
        <v>37</v>
      </c>
      <c r="J279" s="1">
        <v>7869.8198242199996</v>
      </c>
      <c r="K279" s="1">
        <v>15.506968499999999</v>
      </c>
      <c r="L279" s="1">
        <v>8174.6201171900002</v>
      </c>
      <c r="M279" s="1">
        <v>5.3338232000000003</v>
      </c>
      <c r="N279" s="2">
        <v>13488.793</v>
      </c>
    </row>
    <row r="280" spans="9:14" ht="12.75" customHeight="1" x14ac:dyDescent="0.25">
      <c r="I280" s="1" t="s">
        <v>37</v>
      </c>
      <c r="J280" s="1">
        <v>8599.4296875</v>
      </c>
      <c r="K280" s="1">
        <v>3.3420603299999998</v>
      </c>
      <c r="L280" s="1">
        <v>8849.0400390600007</v>
      </c>
      <c r="M280" s="1">
        <v>8.6407127399999997</v>
      </c>
      <c r="N280" s="1">
        <v>6120.7509765599998</v>
      </c>
    </row>
    <row r="281" spans="9:14" ht="12.75" customHeight="1" x14ac:dyDescent="0.25">
      <c r="I281" s="1" t="s">
        <v>37</v>
      </c>
      <c r="J281" s="1">
        <v>9344.66015625</v>
      </c>
      <c r="K281" s="1">
        <v>10.77574158</v>
      </c>
      <c r="L281" s="1">
        <v>9644.66015625</v>
      </c>
      <c r="M281" s="1">
        <v>6.43284082</v>
      </c>
      <c r="N281" s="1">
        <v>7435.1806640599998</v>
      </c>
    </row>
    <row r="282" spans="9:14" ht="12.75" customHeight="1" x14ac:dyDescent="0.25">
      <c r="I282" s="1" t="s">
        <v>37</v>
      </c>
      <c r="J282" s="2">
        <v>10073.0996</v>
      </c>
      <c r="K282" s="1">
        <v>4.3025503199999999</v>
      </c>
      <c r="L282" s="2">
        <v>10467.9004</v>
      </c>
      <c r="M282" s="1">
        <v>10.47927666</v>
      </c>
      <c r="N282" s="2">
        <v>83706.546900000001</v>
      </c>
    </row>
    <row r="283" spans="9:14" ht="12.75" customHeight="1" x14ac:dyDescent="0.25">
      <c r="I283" s="1" t="s">
        <v>37</v>
      </c>
      <c r="J283" s="2">
        <v>10813.5</v>
      </c>
      <c r="K283" s="1">
        <v>7.7892980600000001</v>
      </c>
      <c r="L283" s="2">
        <v>11249.0996</v>
      </c>
      <c r="M283" s="1">
        <v>20.71156311</v>
      </c>
      <c r="N283" s="2">
        <v>766379.75</v>
      </c>
    </row>
    <row r="284" spans="9:14" ht="12.75" customHeight="1" x14ac:dyDescent="0.25">
      <c r="I284" s="1" t="s">
        <v>37</v>
      </c>
      <c r="J284" s="2">
        <v>11666.700199999999</v>
      </c>
      <c r="K284" s="1">
        <v>3.9119839700000001</v>
      </c>
      <c r="L284" s="2">
        <v>12179.0996</v>
      </c>
      <c r="M284" s="1">
        <v>23.874486919999999</v>
      </c>
      <c r="N284" s="2">
        <v>598636.31200000003</v>
      </c>
    </row>
    <row r="285" spans="9:14" ht="12.75" customHeight="1" x14ac:dyDescent="0.25"/>
    <row r="286" spans="9:14" ht="12.75" customHeight="1" x14ac:dyDescent="0.25">
      <c r="I286" s="1" t="s">
        <v>17</v>
      </c>
    </row>
    <row r="287" spans="9:14" ht="12.75" customHeight="1" x14ac:dyDescent="0.25">
      <c r="I287" s="1" t="s">
        <v>0</v>
      </c>
      <c r="J287" s="1" t="s">
        <v>1</v>
      </c>
      <c r="K287" s="1" t="s">
        <v>2</v>
      </c>
      <c r="L287" s="1" t="s">
        <v>3</v>
      </c>
      <c r="M287" s="1" t="s">
        <v>4</v>
      </c>
      <c r="N287" s="1" t="s">
        <v>5</v>
      </c>
    </row>
    <row r="288" spans="9:14" ht="12.75" customHeight="1" x14ac:dyDescent="0.25">
      <c r="I288" s="1" t="s">
        <v>38</v>
      </c>
      <c r="J288" s="1">
        <v>1838.4499511700001</v>
      </c>
      <c r="K288" s="1">
        <v>23.82395172</v>
      </c>
      <c r="L288" s="1">
        <v>2142.0600585900002</v>
      </c>
      <c r="M288" s="1">
        <v>54.431484220000002</v>
      </c>
      <c r="N288" s="2">
        <v>249821.29699999999</v>
      </c>
    </row>
    <row r="289" spans="1:14" ht="12.75" customHeight="1" x14ac:dyDescent="0.25">
      <c r="I289" s="1" t="s">
        <v>38</v>
      </c>
      <c r="J289" s="1">
        <v>2587.2700195299999</v>
      </c>
      <c r="K289" s="1">
        <v>12.88785648</v>
      </c>
      <c r="L289" s="1">
        <v>2733.6699218799999</v>
      </c>
      <c r="M289" s="1">
        <v>10.79999542</v>
      </c>
      <c r="N289" s="1">
        <v>1894.86450195</v>
      </c>
    </row>
    <row r="290" spans="1:14" ht="12.75" customHeight="1" x14ac:dyDescent="0.25">
      <c r="I290" s="1" t="s">
        <v>38</v>
      </c>
      <c r="J290" s="1">
        <v>3325.2900390599998</v>
      </c>
      <c r="K290" s="1">
        <v>8.0356683699999998</v>
      </c>
      <c r="L290" s="1">
        <v>3507.6999511700001</v>
      </c>
      <c r="M290" s="1">
        <v>6.4656596200000003</v>
      </c>
      <c r="N290" s="1">
        <v>2984.1005859400002</v>
      </c>
    </row>
    <row r="291" spans="1:14" ht="12.75" customHeight="1" x14ac:dyDescent="0.25">
      <c r="I291" s="1" t="s">
        <v>38</v>
      </c>
      <c r="J291" s="1">
        <v>4922.5297851599998</v>
      </c>
      <c r="K291" s="1">
        <v>3.2746469999999999</v>
      </c>
      <c r="L291" s="1">
        <v>5133.7402343800004</v>
      </c>
      <c r="M291" s="1">
        <v>2.1606941200000001</v>
      </c>
      <c r="N291" s="1">
        <v>1914.58410645</v>
      </c>
    </row>
    <row r="292" spans="1:14" ht="12.75" customHeight="1" x14ac:dyDescent="0.25">
      <c r="I292" s="1" t="s">
        <v>38</v>
      </c>
      <c r="J292" s="1">
        <v>5656.9501953099998</v>
      </c>
      <c r="K292" s="1">
        <v>11.657152180000001</v>
      </c>
      <c r="L292" s="1">
        <v>6036.16015625</v>
      </c>
      <c r="M292" s="1">
        <v>4.6992449799999996</v>
      </c>
      <c r="N292" s="2">
        <v>24785.353500000001</v>
      </c>
    </row>
    <row r="293" spans="1:14" ht="12.75" customHeight="1" x14ac:dyDescent="0.25">
      <c r="I293" s="1" t="s">
        <v>38</v>
      </c>
      <c r="J293" s="1">
        <v>6388.9702148400002</v>
      </c>
      <c r="K293" s="1">
        <v>6.5050115599999998</v>
      </c>
      <c r="L293" s="1">
        <v>6736.9799804699996</v>
      </c>
      <c r="M293" s="1">
        <v>8.1989259699999995</v>
      </c>
      <c r="N293" s="2">
        <v>26525.234400000001</v>
      </c>
    </row>
    <row r="294" spans="1:14" ht="12.75" customHeight="1" x14ac:dyDescent="0.25">
      <c r="I294" s="1" t="s">
        <v>38</v>
      </c>
      <c r="J294" s="1">
        <v>7125.7900390599998</v>
      </c>
      <c r="K294" s="1">
        <v>0.48942040999999997</v>
      </c>
      <c r="L294" s="1">
        <v>7485.7998046900002</v>
      </c>
      <c r="M294" s="1">
        <v>7.81554985</v>
      </c>
      <c r="N294" s="2">
        <v>28245.148399999998</v>
      </c>
    </row>
    <row r="295" spans="1:14" ht="12.75" customHeight="1" x14ac:dyDescent="0.25">
      <c r="I295" s="1" t="s">
        <v>38</v>
      </c>
      <c r="J295" s="1">
        <v>7861.41015625</v>
      </c>
      <c r="K295" s="1">
        <v>0.62390298</v>
      </c>
      <c r="L295" s="1">
        <v>8351.0302734399993</v>
      </c>
      <c r="M295" s="1">
        <v>2.54621911</v>
      </c>
      <c r="N295" s="2">
        <v>246456.484</v>
      </c>
    </row>
    <row r="296" spans="1:14" ht="12.75" customHeight="1" x14ac:dyDescent="0.25">
      <c r="I296" s="1" t="s">
        <v>38</v>
      </c>
      <c r="J296" s="1">
        <v>8582.6298828100007</v>
      </c>
      <c r="K296" s="1">
        <v>0.80334782999999998</v>
      </c>
      <c r="L296" s="1">
        <v>8888.6396484399993</v>
      </c>
      <c r="M296" s="1">
        <v>0.87249642999999999</v>
      </c>
      <c r="N296" s="1">
        <v>332.13812256</v>
      </c>
    </row>
    <row r="297" spans="1:14" ht="12.75" customHeight="1" x14ac:dyDescent="0.25">
      <c r="I297" s="1" t="s">
        <v>38</v>
      </c>
      <c r="J297" s="1">
        <v>9321.8496093800004</v>
      </c>
      <c r="K297" s="1">
        <v>0.91361004000000001</v>
      </c>
      <c r="L297" s="1">
        <v>9717.8701171899993</v>
      </c>
      <c r="M297" s="1">
        <v>1.1804361299999999</v>
      </c>
      <c r="N297" s="1">
        <v>207.47328185999999</v>
      </c>
    </row>
    <row r="298" spans="1:14" ht="12.75" customHeight="1" x14ac:dyDescent="0.25">
      <c r="I298" s="1" t="s">
        <v>38</v>
      </c>
      <c r="J298" s="2">
        <v>10080.299800000001</v>
      </c>
      <c r="K298" s="1">
        <v>1.1113301499999999</v>
      </c>
      <c r="L298" s="2">
        <v>10515.9004</v>
      </c>
      <c r="M298" s="1">
        <v>0.69689506000000001</v>
      </c>
      <c r="N298" s="1">
        <v>2094.109375</v>
      </c>
    </row>
    <row r="299" spans="1:14" ht="12.75" customHeight="1" x14ac:dyDescent="0.25">
      <c r="I299" s="1" t="s">
        <v>38</v>
      </c>
      <c r="J299" s="2">
        <v>10808.700199999999</v>
      </c>
      <c r="K299" s="1">
        <v>0.75488829999999996</v>
      </c>
      <c r="L299" s="2">
        <v>11246.700199999999</v>
      </c>
      <c r="M299" s="1">
        <v>1.4358390599999999</v>
      </c>
      <c r="N299" s="2">
        <v>17197.466799999998</v>
      </c>
    </row>
    <row r="300" spans="1:14" ht="12.75" customHeight="1" x14ac:dyDescent="0.25">
      <c r="I300" s="1" t="s">
        <v>38</v>
      </c>
      <c r="J300" s="2">
        <v>11736.299800000001</v>
      </c>
      <c r="K300" s="1">
        <v>2.89562249</v>
      </c>
      <c r="L300" s="2">
        <v>12344.700199999999</v>
      </c>
      <c r="M300" s="1">
        <v>1.12688816</v>
      </c>
      <c r="N300" s="2">
        <v>12854.3457</v>
      </c>
    </row>
    <row r="301" spans="1:14" ht="12.75" customHeight="1" x14ac:dyDescent="0.25"/>
    <row r="302" spans="1:14" ht="12.75" customHeight="1" x14ac:dyDescent="0.25"/>
    <row r="303" spans="1:14" ht="12.75" customHeight="1" x14ac:dyDescent="0.25">
      <c r="A303" s="6">
        <v>45684</v>
      </c>
      <c r="I303" s="1" t="s">
        <v>39</v>
      </c>
    </row>
    <row r="304" spans="1:14" ht="12.75" customHeight="1" x14ac:dyDescent="0.25">
      <c r="I304" s="1" t="s">
        <v>0</v>
      </c>
      <c r="J304" s="1" t="s">
        <v>1</v>
      </c>
      <c r="K304" s="1" t="s">
        <v>2</v>
      </c>
      <c r="L304" s="1" t="s">
        <v>3</v>
      </c>
      <c r="M304" s="1" t="s">
        <v>4</v>
      </c>
      <c r="N304" s="1" t="s">
        <v>5</v>
      </c>
    </row>
    <row r="305" spans="9:14" ht="12.75" customHeight="1" x14ac:dyDescent="0.25">
      <c r="I305" s="1" t="s">
        <v>40</v>
      </c>
      <c r="J305" s="1">
        <v>837.62298583999996</v>
      </c>
      <c r="K305" s="1">
        <v>5.8681058899999998</v>
      </c>
      <c r="L305" s="1">
        <v>1149.6300048799999</v>
      </c>
      <c r="M305" s="1">
        <v>3.0453653300000001</v>
      </c>
      <c r="N305" s="1">
        <v>890.28808593999997</v>
      </c>
    </row>
    <row r="306" spans="9:14" ht="12.75" customHeight="1" x14ac:dyDescent="0.25">
      <c r="I306" s="1" t="s">
        <v>40</v>
      </c>
      <c r="J306" s="1">
        <v>1570.8399658200001</v>
      </c>
      <c r="K306" s="1">
        <v>2.9624917499999999</v>
      </c>
      <c r="L306" s="1">
        <v>1914.0500488299999</v>
      </c>
      <c r="M306" s="1">
        <v>2.3594045600000002</v>
      </c>
      <c r="N306" s="2">
        <v>12857.8184</v>
      </c>
    </row>
    <row r="307" spans="9:14" ht="12.75" customHeight="1" x14ac:dyDescent="0.25">
      <c r="I307" s="1" t="s">
        <v>40</v>
      </c>
      <c r="J307" s="1">
        <v>2308.8601074200001</v>
      </c>
      <c r="K307" s="1">
        <v>2.8045911800000001</v>
      </c>
      <c r="L307" s="1">
        <v>2670.0700683599998</v>
      </c>
      <c r="M307" s="1">
        <v>5.7524971999999996</v>
      </c>
      <c r="N307" s="2">
        <v>122674.359</v>
      </c>
    </row>
    <row r="308" spans="9:14" ht="12.75" customHeight="1" x14ac:dyDescent="0.25">
      <c r="I308" s="1" t="s">
        <v>40</v>
      </c>
      <c r="J308" s="1">
        <v>3043.2800293</v>
      </c>
      <c r="K308" s="1">
        <v>0.21572221999999999</v>
      </c>
      <c r="L308" s="1">
        <v>3409.2900390599998</v>
      </c>
      <c r="M308" s="1">
        <v>14.25753593</v>
      </c>
      <c r="N308" s="2">
        <v>208118.93799999999</v>
      </c>
    </row>
    <row r="309" spans="9:14" ht="12.75" customHeight="1" x14ac:dyDescent="0.25">
      <c r="I309" s="1" t="s">
        <v>40</v>
      </c>
      <c r="J309" s="1">
        <v>3781.3000488299999</v>
      </c>
      <c r="K309" s="1">
        <v>2.32649565</v>
      </c>
      <c r="L309" s="1">
        <v>4278.1201171900002</v>
      </c>
      <c r="M309" s="1">
        <v>8.14270782</v>
      </c>
      <c r="N309" s="2">
        <v>1107834.8799999999</v>
      </c>
    </row>
    <row r="310" spans="9:14" ht="12.75" customHeight="1" x14ac:dyDescent="0.25">
      <c r="I310" s="1" t="s">
        <v>40</v>
      </c>
      <c r="J310" s="1">
        <v>4520.5200195300004</v>
      </c>
      <c r="K310" s="1">
        <v>3.1183557500000001</v>
      </c>
      <c r="L310" s="1">
        <v>4974.1401367199996</v>
      </c>
      <c r="M310" s="1">
        <v>8.4557781199999997</v>
      </c>
      <c r="N310" s="2">
        <v>312937.375</v>
      </c>
    </row>
    <row r="311" spans="9:14" ht="12.75" customHeight="1" x14ac:dyDescent="0.25">
      <c r="I311" s="1" t="s">
        <v>40</v>
      </c>
      <c r="J311" s="1">
        <v>5258.5400390599998</v>
      </c>
      <c r="K311" s="1">
        <v>3.6445372100000002</v>
      </c>
      <c r="L311" s="1">
        <v>5696.5600585900002</v>
      </c>
      <c r="M311" s="1">
        <v>5.60184908</v>
      </c>
      <c r="N311" s="2">
        <v>156575.59400000001</v>
      </c>
    </row>
    <row r="312" spans="9:14" ht="12.75" customHeight="1" x14ac:dyDescent="0.25">
      <c r="I312" s="1" t="s">
        <v>40</v>
      </c>
      <c r="J312" s="1">
        <v>6667.3798828099998</v>
      </c>
      <c r="K312" s="1">
        <v>5.7633156799999998</v>
      </c>
      <c r="L312" s="1">
        <v>6819.7900390599998</v>
      </c>
      <c r="M312" s="1">
        <v>6.9069762199999998</v>
      </c>
      <c r="N312" s="1">
        <v>2035.0743408200001</v>
      </c>
    </row>
    <row r="313" spans="9:14" ht="12.75" customHeight="1" x14ac:dyDescent="0.25">
      <c r="I313" s="1" t="s">
        <v>40</v>
      </c>
      <c r="J313" s="1">
        <v>7406.6000976599998</v>
      </c>
      <c r="K313" s="1">
        <v>6.5815510699999997</v>
      </c>
      <c r="L313" s="1">
        <v>7709.0097656199996</v>
      </c>
      <c r="M313" s="1">
        <v>4.0817027100000001</v>
      </c>
      <c r="N313" s="1">
        <v>861.89959716999999</v>
      </c>
    </row>
    <row r="314" spans="9:14" ht="12.75" customHeight="1" x14ac:dyDescent="0.25">
      <c r="I314" s="1" t="s">
        <v>40</v>
      </c>
      <c r="J314" s="1">
        <v>8133.8198242199996</v>
      </c>
      <c r="K314" s="1">
        <v>2.5774524200000002</v>
      </c>
      <c r="L314" s="1">
        <v>8269.4296875</v>
      </c>
      <c r="M314" s="1">
        <v>2.9397177700000001</v>
      </c>
      <c r="N314" s="1">
        <v>286.88043212999997</v>
      </c>
    </row>
    <row r="315" spans="9:14" ht="12.75" customHeight="1" x14ac:dyDescent="0.25">
      <c r="I315" s="1" t="s">
        <v>40</v>
      </c>
      <c r="J315" s="1">
        <v>8562.23046875</v>
      </c>
      <c r="K315" s="1">
        <v>3.1785356999999999</v>
      </c>
      <c r="L315" s="1">
        <v>8735.0400390600007</v>
      </c>
      <c r="M315" s="1">
        <v>5.4865937200000001</v>
      </c>
      <c r="N315" s="1">
        <v>1231.8666992200001</v>
      </c>
    </row>
    <row r="316" spans="9:14" ht="12.75" customHeight="1" x14ac:dyDescent="0.25">
      <c r="I316" s="1" t="s">
        <v>40</v>
      </c>
      <c r="J316" s="1">
        <v>9065.0498046899993</v>
      </c>
      <c r="K316" s="1">
        <v>3.25351882</v>
      </c>
      <c r="L316" s="1">
        <v>9239.0498046899993</v>
      </c>
      <c r="M316" s="1">
        <v>3.5351975000000002</v>
      </c>
      <c r="N316" s="1">
        <v>1340.2285156200001</v>
      </c>
    </row>
    <row r="317" spans="9:14" ht="12.75" customHeight="1" x14ac:dyDescent="0.25">
      <c r="I317" s="1" t="s">
        <v>40</v>
      </c>
      <c r="J317" s="1">
        <v>9553.4599609399993</v>
      </c>
      <c r="K317" s="1">
        <v>3.14278412</v>
      </c>
      <c r="L317" s="2">
        <v>10464.299800000001</v>
      </c>
      <c r="M317" s="1">
        <v>136.22529602</v>
      </c>
      <c r="N317" s="2">
        <v>8895682</v>
      </c>
    </row>
    <row r="318" spans="9:14" ht="12.75" customHeight="1" x14ac:dyDescent="0.25">
      <c r="I318" s="1" t="s">
        <v>40</v>
      </c>
      <c r="J318" s="2">
        <v>10464.299800000001</v>
      </c>
      <c r="K318" s="1">
        <v>136.22529602</v>
      </c>
      <c r="L318" s="2">
        <v>11388.299800000001</v>
      </c>
      <c r="M318" s="1">
        <v>236.18273926000001</v>
      </c>
      <c r="N318" s="2">
        <v>7721706.5</v>
      </c>
    </row>
    <row r="319" spans="9:14" ht="12.75" customHeight="1" x14ac:dyDescent="0.25">
      <c r="I319" s="1" t="s">
        <v>40</v>
      </c>
      <c r="J319" s="2">
        <v>11388.299800000001</v>
      </c>
      <c r="K319" s="1">
        <v>236.18273926000001</v>
      </c>
      <c r="L319" s="2">
        <v>11961.9004</v>
      </c>
      <c r="M319" s="1">
        <v>13.86562443</v>
      </c>
      <c r="N319" s="2">
        <v>2222344.25</v>
      </c>
    </row>
    <row r="320" spans="9:14" ht="12.75" customHeight="1" x14ac:dyDescent="0.25">
      <c r="I320" s="1" t="s">
        <v>40</v>
      </c>
      <c r="J320" s="2">
        <v>12299.0996</v>
      </c>
      <c r="K320" s="1">
        <v>2.409621</v>
      </c>
      <c r="L320" s="2">
        <v>13220.799800000001</v>
      </c>
      <c r="M320" s="1">
        <v>46.271446230000002</v>
      </c>
      <c r="N320" s="2">
        <v>5749208.5</v>
      </c>
    </row>
    <row r="321" spans="9:14" ht="12.75" customHeight="1" x14ac:dyDescent="0.25">
      <c r="I321" s="1" t="s">
        <v>40</v>
      </c>
      <c r="J321" s="2">
        <v>13223.200199999999</v>
      </c>
      <c r="K321" s="1">
        <v>45.585342410000003</v>
      </c>
      <c r="L321" s="2">
        <v>14136.4004</v>
      </c>
      <c r="M321" s="1">
        <v>188.40382385000001</v>
      </c>
      <c r="N321" s="2">
        <v>8320289.5</v>
      </c>
    </row>
    <row r="322" spans="9:14" ht="12.75" customHeight="1" x14ac:dyDescent="0.25">
      <c r="I322" s="1" t="s">
        <v>40</v>
      </c>
      <c r="J322" s="2">
        <v>14136.4004</v>
      </c>
      <c r="K322" s="1">
        <v>188.40382385000001</v>
      </c>
      <c r="L322" s="2">
        <v>14758</v>
      </c>
      <c r="M322" s="1">
        <v>22.057817459999999</v>
      </c>
      <c r="N322" s="2">
        <v>4842767</v>
      </c>
    </row>
    <row r="323" spans="9:14" ht="12.75" customHeight="1" x14ac:dyDescent="0.25">
      <c r="I323" s="1" t="s">
        <v>40</v>
      </c>
      <c r="J323" s="2">
        <v>15726.4004</v>
      </c>
      <c r="K323" s="1">
        <v>6.3157315299999999</v>
      </c>
      <c r="L323" s="2">
        <v>16096</v>
      </c>
      <c r="M323" s="1">
        <v>4.3104052499999996</v>
      </c>
      <c r="N323" s="1">
        <v>4303.2612304699996</v>
      </c>
    </row>
    <row r="324" spans="9:14" ht="12.75" customHeight="1" x14ac:dyDescent="0.25">
      <c r="I324" s="1" t="s">
        <v>40</v>
      </c>
      <c r="J324" s="2">
        <v>16457.199199999999</v>
      </c>
      <c r="K324" s="1">
        <v>3.1153593100000001</v>
      </c>
      <c r="L324" s="2">
        <v>17374.099600000001</v>
      </c>
      <c r="M324" s="1">
        <v>18.194345469999998</v>
      </c>
      <c r="N324" s="2">
        <v>9090344</v>
      </c>
    </row>
    <row r="325" spans="9:14" ht="12.75" customHeight="1" x14ac:dyDescent="0.25">
      <c r="I325" s="1" t="s">
        <v>40</v>
      </c>
      <c r="J325" s="2">
        <v>17380.099600000001</v>
      </c>
      <c r="K325" s="1">
        <v>22.34607506</v>
      </c>
      <c r="L325" s="2">
        <v>18266.900399999999</v>
      </c>
      <c r="M325" s="1">
        <v>18.328062060000001</v>
      </c>
      <c r="N325" s="2">
        <v>8850109</v>
      </c>
    </row>
    <row r="326" spans="9:14" ht="12.75" customHeight="1" x14ac:dyDescent="0.25">
      <c r="I326" s="1" t="s">
        <v>40</v>
      </c>
      <c r="J326" s="2">
        <v>18296.900399999999</v>
      </c>
      <c r="K326" s="1">
        <v>14.372364040000001</v>
      </c>
      <c r="L326" s="2">
        <v>19205.300800000001</v>
      </c>
      <c r="M326" s="1">
        <v>24.00842857</v>
      </c>
      <c r="N326" s="2">
        <v>7580957</v>
      </c>
    </row>
    <row r="327" spans="9:14" ht="12.75" customHeight="1" x14ac:dyDescent="0.25">
      <c r="I327" s="1" t="s">
        <v>40</v>
      </c>
      <c r="J327" s="2">
        <v>19212.5</v>
      </c>
      <c r="K327" s="1">
        <v>23.95307541</v>
      </c>
      <c r="L327" s="2">
        <v>20052.5</v>
      </c>
      <c r="M327" s="1">
        <v>19.273313519999999</v>
      </c>
      <c r="N327" s="2">
        <v>5994955.5</v>
      </c>
    </row>
    <row r="328" spans="9:14" ht="12.75" customHeight="1" x14ac:dyDescent="0.25">
      <c r="I328" s="1" t="s">
        <v>40</v>
      </c>
      <c r="J328" s="2">
        <v>20132.900399999999</v>
      </c>
      <c r="K328" s="1">
        <v>19.421094889999999</v>
      </c>
      <c r="L328" s="2">
        <v>21046.199199999999</v>
      </c>
      <c r="M328" s="1">
        <v>23.51479149</v>
      </c>
      <c r="N328" s="2">
        <v>7725239.5</v>
      </c>
    </row>
    <row r="329" spans="9:14" ht="12.75" customHeight="1" x14ac:dyDescent="0.25">
      <c r="I329" s="1" t="s">
        <v>40</v>
      </c>
      <c r="J329" s="2">
        <v>21049.800800000001</v>
      </c>
      <c r="K329" s="1">
        <v>25.724111560000001</v>
      </c>
      <c r="L329" s="2">
        <v>21738.599600000001</v>
      </c>
      <c r="M329" s="1">
        <v>24.708879469999999</v>
      </c>
      <c r="N329" s="2">
        <v>4226166.5</v>
      </c>
    </row>
    <row r="330" spans="9:14" ht="12.75" customHeight="1" x14ac:dyDescent="0.25"/>
    <row r="331" spans="9:14" ht="12.75" customHeight="1" x14ac:dyDescent="0.25">
      <c r="I331" s="1" t="s">
        <v>10</v>
      </c>
    </row>
    <row r="332" spans="9:14" ht="12.75" customHeight="1" x14ac:dyDescent="0.25">
      <c r="I332" s="1" t="s">
        <v>0</v>
      </c>
      <c r="J332" s="1" t="s">
        <v>1</v>
      </c>
      <c r="K332" s="1" t="s">
        <v>2</v>
      </c>
      <c r="L332" s="1" t="s">
        <v>3</v>
      </c>
      <c r="M332" s="1" t="s">
        <v>4</v>
      </c>
      <c r="N332" s="1" t="s">
        <v>5</v>
      </c>
    </row>
    <row r="333" spans="9:14" ht="12.75" customHeight="1" x14ac:dyDescent="0.25">
      <c r="I333" s="1" t="s">
        <v>41</v>
      </c>
      <c r="J333" s="1">
        <v>838.82299805000002</v>
      </c>
      <c r="K333" s="1">
        <v>1.8636063300000001</v>
      </c>
      <c r="L333" s="1">
        <v>1042.82995605</v>
      </c>
      <c r="M333" s="1">
        <v>2.9133710900000001</v>
      </c>
      <c r="N333" s="1">
        <v>907.22888183999999</v>
      </c>
    </row>
    <row r="334" spans="9:14" ht="12.75" customHeight="1" x14ac:dyDescent="0.25">
      <c r="I334" s="1" t="s">
        <v>41</v>
      </c>
      <c r="J334" s="1">
        <v>1573.2399902300001</v>
      </c>
      <c r="K334" s="1">
        <v>1.1877404499999999</v>
      </c>
      <c r="L334" s="1">
        <v>1822.84997559</v>
      </c>
      <c r="M334" s="1">
        <v>1.5167883600000001</v>
      </c>
      <c r="N334" s="1">
        <v>830.44458008000004</v>
      </c>
    </row>
    <row r="335" spans="9:14" ht="12.75" customHeight="1" x14ac:dyDescent="0.25">
      <c r="I335" s="1" t="s">
        <v>41</v>
      </c>
      <c r="J335" s="1">
        <v>2307.6599121099998</v>
      </c>
      <c r="K335" s="1">
        <v>1.6491252199999999</v>
      </c>
      <c r="L335" s="1">
        <v>2625.6699218799999</v>
      </c>
      <c r="M335" s="1">
        <v>2.81064939</v>
      </c>
      <c r="N335" s="1">
        <v>7345.8989257800004</v>
      </c>
    </row>
    <row r="336" spans="9:14" ht="12.75" customHeight="1" x14ac:dyDescent="0.25">
      <c r="I336" s="1" t="s">
        <v>41</v>
      </c>
      <c r="J336" s="1">
        <v>3046.8798828099998</v>
      </c>
      <c r="K336" s="1">
        <v>1.5773907899999999</v>
      </c>
      <c r="L336" s="1">
        <v>3349.2900390599998</v>
      </c>
      <c r="M336" s="1">
        <v>3.1695764099999999</v>
      </c>
      <c r="N336" s="2">
        <v>12882.2637</v>
      </c>
    </row>
    <row r="337" spans="9:14" ht="12.75" customHeight="1" x14ac:dyDescent="0.25">
      <c r="I337" s="1" t="s">
        <v>41</v>
      </c>
      <c r="J337" s="1">
        <v>3783.6999511700001</v>
      </c>
      <c r="K337" s="1">
        <v>1.88694596</v>
      </c>
      <c r="L337" s="1">
        <v>4204.91015625</v>
      </c>
      <c r="M337" s="1">
        <v>2.3835823500000002</v>
      </c>
      <c r="N337" s="2">
        <v>38372.042999999998</v>
      </c>
    </row>
    <row r="338" spans="9:14" ht="12.75" customHeight="1" x14ac:dyDescent="0.25">
      <c r="I338" s="1" t="s">
        <v>41</v>
      </c>
      <c r="J338" s="1">
        <v>4521.7202148400002</v>
      </c>
      <c r="K338" s="1">
        <v>1.71660328</v>
      </c>
      <c r="L338" s="1">
        <v>4849.3300781199996</v>
      </c>
      <c r="M338" s="1">
        <v>2.3792614900000002</v>
      </c>
      <c r="N338" s="2">
        <v>10863.96</v>
      </c>
    </row>
    <row r="339" spans="9:14" ht="12.75" customHeight="1" x14ac:dyDescent="0.25">
      <c r="I339" s="1" t="s">
        <v>41</v>
      </c>
      <c r="J339" s="1">
        <v>5259.7402343800004</v>
      </c>
      <c r="K339" s="1">
        <v>1.6169095</v>
      </c>
      <c r="L339" s="1">
        <v>5620.9501953099998</v>
      </c>
      <c r="M339" s="1">
        <v>1.3830446000000001</v>
      </c>
      <c r="N339" s="1">
        <v>5834.1879882800004</v>
      </c>
    </row>
    <row r="340" spans="9:14" ht="12.75" customHeight="1" x14ac:dyDescent="0.25">
      <c r="I340" s="1" t="s">
        <v>41</v>
      </c>
      <c r="J340" s="1">
        <v>6662.5800781199996</v>
      </c>
      <c r="K340" s="1">
        <v>1.56324792</v>
      </c>
      <c r="L340" s="1">
        <v>6966.1899414099998</v>
      </c>
      <c r="M340" s="1">
        <v>1.0261091</v>
      </c>
      <c r="N340" s="1">
        <v>1202.7282714800001</v>
      </c>
    </row>
    <row r="341" spans="9:14" ht="12.75" customHeight="1" x14ac:dyDescent="0.25">
      <c r="I341" s="1" t="s">
        <v>41</v>
      </c>
      <c r="J341" s="1">
        <v>7406.6000976599998</v>
      </c>
      <c r="K341" s="1">
        <v>1.17245102</v>
      </c>
      <c r="L341" s="1">
        <v>7730.6098632800004</v>
      </c>
      <c r="M341" s="1">
        <v>0.73904115000000004</v>
      </c>
      <c r="N341" s="1">
        <v>136.71495056000001</v>
      </c>
    </row>
    <row r="342" spans="9:14" ht="12.75" customHeight="1" x14ac:dyDescent="0.25">
      <c r="I342" s="1" t="s">
        <v>41</v>
      </c>
      <c r="J342" s="1">
        <v>8564.6298828100007</v>
      </c>
      <c r="K342" s="1">
        <v>0.80424600999999996</v>
      </c>
      <c r="L342" s="1">
        <v>8900.6396484399993</v>
      </c>
      <c r="M342" s="1">
        <v>0.88561016000000004</v>
      </c>
      <c r="N342" s="1">
        <v>150.91540527000001</v>
      </c>
    </row>
    <row r="343" spans="9:14" ht="12.75" customHeight="1" x14ac:dyDescent="0.25">
      <c r="I343" s="1" t="s">
        <v>41</v>
      </c>
      <c r="J343" s="1">
        <v>9065.0498046899993</v>
      </c>
      <c r="K343" s="1">
        <v>0.36974314000000003</v>
      </c>
      <c r="L343" s="1">
        <v>9348.2597656199996</v>
      </c>
      <c r="M343" s="1">
        <v>2.14370656</v>
      </c>
      <c r="N343" s="1">
        <v>35.164558409999998</v>
      </c>
    </row>
    <row r="344" spans="9:14" ht="12.75" customHeight="1" x14ac:dyDescent="0.25">
      <c r="I344" s="1" t="s">
        <v>41</v>
      </c>
      <c r="J344" s="1">
        <v>9554.66015625</v>
      </c>
      <c r="K344" s="1">
        <v>2.5474915500000002</v>
      </c>
      <c r="L344" s="2">
        <v>10193.0996</v>
      </c>
      <c r="M344" s="1">
        <v>17.742124560000001</v>
      </c>
      <c r="N344" s="2">
        <v>451428.56199999998</v>
      </c>
    </row>
    <row r="345" spans="9:14" ht="12.75" customHeight="1" x14ac:dyDescent="0.25">
      <c r="I345" s="1" t="s">
        <v>41</v>
      </c>
      <c r="J345" s="2">
        <v>10465.5</v>
      </c>
      <c r="K345" s="1">
        <v>9.6199178700000001</v>
      </c>
      <c r="L345" s="2">
        <v>11207.0996</v>
      </c>
      <c r="M345" s="1">
        <v>21.443014139999999</v>
      </c>
      <c r="N345" s="2">
        <v>398689.43800000002</v>
      </c>
    </row>
    <row r="346" spans="9:14" ht="12.75" customHeight="1" x14ac:dyDescent="0.25">
      <c r="I346" s="1" t="s">
        <v>41</v>
      </c>
      <c r="J346" s="2">
        <v>11387.0996</v>
      </c>
      <c r="K346" s="1">
        <v>15.78211308</v>
      </c>
      <c r="L346" s="2">
        <v>11839.5</v>
      </c>
      <c r="M346" s="1">
        <v>5.52850866</v>
      </c>
      <c r="N346" s="2">
        <v>132503.46900000001</v>
      </c>
    </row>
    <row r="347" spans="9:14" ht="12.75" customHeight="1" x14ac:dyDescent="0.25">
      <c r="I347" s="1" t="s">
        <v>41</v>
      </c>
      <c r="J347" s="2">
        <v>12297.9004</v>
      </c>
      <c r="K347" s="1">
        <v>1.81052864</v>
      </c>
      <c r="L347" s="2">
        <v>12791.0996</v>
      </c>
      <c r="M347" s="1">
        <v>7.5272445699999997</v>
      </c>
      <c r="N347" s="2">
        <v>175972.68799999999</v>
      </c>
    </row>
    <row r="348" spans="9:14" ht="12.75" customHeight="1" x14ac:dyDescent="0.25">
      <c r="I348" s="1" t="s">
        <v>41</v>
      </c>
      <c r="J348" s="2">
        <v>13224.4004</v>
      </c>
      <c r="K348" s="1">
        <v>2.6018908000000001</v>
      </c>
      <c r="L348" s="2">
        <v>13798</v>
      </c>
      <c r="M348" s="1">
        <v>16.232070920000002</v>
      </c>
      <c r="N348" s="2">
        <v>249564.266</v>
      </c>
    </row>
    <row r="349" spans="9:14" ht="12.75" customHeight="1" x14ac:dyDescent="0.25">
      <c r="I349" s="1" t="s">
        <v>41</v>
      </c>
      <c r="J349" s="2">
        <v>14138.799800000001</v>
      </c>
      <c r="K349" s="1">
        <v>8.9265413299999992</v>
      </c>
      <c r="L349" s="2">
        <v>14658.4004</v>
      </c>
      <c r="M349" s="1">
        <v>4.2006931300000003</v>
      </c>
      <c r="N349" s="2">
        <v>152303.34400000001</v>
      </c>
    </row>
    <row r="350" spans="9:14" ht="12.75" customHeight="1" x14ac:dyDescent="0.25">
      <c r="I350" s="1" t="s">
        <v>41</v>
      </c>
      <c r="J350" s="2">
        <v>15727.5996</v>
      </c>
      <c r="K350" s="1">
        <v>1.1081855300000001</v>
      </c>
      <c r="L350" s="2">
        <v>16097.200199999999</v>
      </c>
      <c r="M350" s="1">
        <v>1.55327094</v>
      </c>
      <c r="N350" s="1">
        <v>1420.2727050799999</v>
      </c>
    </row>
    <row r="351" spans="9:14" ht="12.75" customHeight="1" x14ac:dyDescent="0.25">
      <c r="I351" s="1" t="s">
        <v>41</v>
      </c>
      <c r="J351" s="2">
        <v>16462</v>
      </c>
      <c r="K351" s="1">
        <v>1.5495702</v>
      </c>
      <c r="L351" s="2">
        <v>17076.5</v>
      </c>
      <c r="M351" s="1">
        <v>9.0633821500000007</v>
      </c>
      <c r="N351" s="2">
        <v>464049.21899999998</v>
      </c>
    </row>
    <row r="352" spans="9:14" ht="12.75" customHeight="1" x14ac:dyDescent="0.25">
      <c r="I352" s="1" t="s">
        <v>41</v>
      </c>
      <c r="J352" s="2">
        <v>17381.300800000001</v>
      </c>
      <c r="K352" s="1">
        <v>5.9539713900000004</v>
      </c>
      <c r="L352" s="2">
        <v>18054.5</v>
      </c>
      <c r="M352" s="1">
        <v>5.40378618</v>
      </c>
      <c r="N352" s="2">
        <v>458110.03100000002</v>
      </c>
    </row>
    <row r="353" spans="9:14" ht="12.75" customHeight="1" x14ac:dyDescent="0.25">
      <c r="I353" s="1" t="s">
        <v>41</v>
      </c>
      <c r="J353" s="2">
        <v>18296.900399999999</v>
      </c>
      <c r="K353" s="1">
        <v>2.6492841199999999</v>
      </c>
      <c r="L353" s="2">
        <v>18894.5</v>
      </c>
      <c r="M353" s="1">
        <v>10.18641663</v>
      </c>
      <c r="N353" s="2">
        <v>408530.18800000002</v>
      </c>
    </row>
    <row r="354" spans="9:14" ht="12.75" customHeight="1" x14ac:dyDescent="0.25">
      <c r="I354" s="1" t="s">
        <v>41</v>
      </c>
      <c r="J354" s="2">
        <v>19212.5</v>
      </c>
      <c r="K354" s="1">
        <v>3.6539552199999998</v>
      </c>
      <c r="L354" s="2">
        <v>19727.300800000001</v>
      </c>
      <c r="M354" s="1">
        <v>8.4758367499999991</v>
      </c>
      <c r="N354" s="2">
        <v>184684.07800000001</v>
      </c>
    </row>
    <row r="355" spans="9:14" ht="12.75" customHeight="1" x14ac:dyDescent="0.25">
      <c r="I355" s="1" t="s">
        <v>41</v>
      </c>
      <c r="J355" s="2">
        <v>20129.300800000001</v>
      </c>
      <c r="K355" s="1">
        <v>2.31064582</v>
      </c>
      <c r="L355" s="2">
        <v>20688.599600000001</v>
      </c>
      <c r="M355" s="1">
        <v>11.433461189999999</v>
      </c>
      <c r="N355" s="2">
        <v>240627.04699999999</v>
      </c>
    </row>
    <row r="356" spans="9:14" ht="12.75" customHeight="1" x14ac:dyDescent="0.25">
      <c r="I356" s="1" t="s">
        <v>41</v>
      </c>
      <c r="J356" s="2">
        <v>21051</v>
      </c>
      <c r="K356" s="1">
        <v>2.8081870100000002</v>
      </c>
      <c r="L356" s="2">
        <v>21610.199199999999</v>
      </c>
      <c r="M356" s="1">
        <v>4.3896713299999996</v>
      </c>
      <c r="N356" s="2">
        <v>137676.17199999999</v>
      </c>
    </row>
    <row r="357" spans="9:14" ht="12.75" customHeight="1" x14ac:dyDescent="0.25"/>
    <row r="358" spans="9:14" ht="12.75" customHeight="1" x14ac:dyDescent="0.25">
      <c r="I358" s="1" t="s">
        <v>12</v>
      </c>
    </row>
    <row r="359" spans="9:14" ht="12.75" customHeight="1" x14ac:dyDescent="0.25">
      <c r="I359" s="1" t="s">
        <v>0</v>
      </c>
      <c r="J359" s="1" t="s">
        <v>1</v>
      </c>
      <c r="K359" s="1" t="s">
        <v>2</v>
      </c>
      <c r="L359" s="1" t="s">
        <v>3</v>
      </c>
      <c r="M359" s="1" t="s">
        <v>4</v>
      </c>
      <c r="N359" s="1" t="s">
        <v>5</v>
      </c>
    </row>
    <row r="360" spans="9:14" ht="12.75" customHeight="1" x14ac:dyDescent="0.25">
      <c r="I360" s="1" t="s">
        <v>42</v>
      </c>
      <c r="J360" s="1">
        <v>836.42297363</v>
      </c>
      <c r="K360" s="1">
        <v>9.3823738100000007</v>
      </c>
      <c r="L360" s="1">
        <v>1126.82995605</v>
      </c>
      <c r="M360" s="1">
        <v>8.6399526600000005</v>
      </c>
      <c r="N360" s="2">
        <v>14594.9355</v>
      </c>
    </row>
    <row r="361" spans="9:14" ht="12.75" customHeight="1" x14ac:dyDescent="0.25">
      <c r="I361" s="1" t="s">
        <v>42</v>
      </c>
      <c r="J361" s="1">
        <v>1573.2399902300001</v>
      </c>
      <c r="K361" s="1">
        <v>5.1298165300000003</v>
      </c>
      <c r="L361" s="1">
        <v>1818.0500488299999</v>
      </c>
      <c r="M361" s="1">
        <v>6.0114674600000004</v>
      </c>
      <c r="N361" s="1">
        <v>739.87963866999996</v>
      </c>
    </row>
    <row r="362" spans="9:14" ht="12.75" customHeight="1" x14ac:dyDescent="0.25">
      <c r="I362" s="1" t="s">
        <v>42</v>
      </c>
      <c r="J362" s="1">
        <v>2307.6599121099998</v>
      </c>
      <c r="K362" s="1">
        <v>5.28543377</v>
      </c>
      <c r="L362" s="1">
        <v>2614.8701171900002</v>
      </c>
      <c r="M362" s="1">
        <v>7.3095803300000002</v>
      </c>
      <c r="N362" s="1">
        <v>6753.6826171900002</v>
      </c>
    </row>
    <row r="363" spans="9:14" ht="12.75" customHeight="1" x14ac:dyDescent="0.25">
      <c r="I363" s="1" t="s">
        <v>42</v>
      </c>
      <c r="J363" s="1">
        <v>3048.0800781200001</v>
      </c>
      <c r="K363" s="1">
        <v>8.9529943500000009</v>
      </c>
      <c r="L363" s="1">
        <v>3346.8898925799999</v>
      </c>
      <c r="M363" s="1">
        <v>8.3423986400000008</v>
      </c>
      <c r="N363" s="1">
        <v>9985.3535156199996</v>
      </c>
    </row>
    <row r="364" spans="9:14" ht="12.75" customHeight="1" x14ac:dyDescent="0.25">
      <c r="I364" s="1" t="s">
        <v>42</v>
      </c>
      <c r="J364" s="1">
        <v>3786.1000976599998</v>
      </c>
      <c r="K364" s="1">
        <v>13.01687622</v>
      </c>
      <c r="L364" s="1">
        <v>4178.5097656199996</v>
      </c>
      <c r="M364" s="1">
        <v>7.1375398600000004</v>
      </c>
      <c r="N364" s="2">
        <v>50816.351600000002</v>
      </c>
    </row>
    <row r="365" spans="9:14" ht="12.75" customHeight="1" x14ac:dyDescent="0.25">
      <c r="I365" s="1" t="s">
        <v>42</v>
      </c>
      <c r="J365" s="1">
        <v>4521.7202148400002</v>
      </c>
      <c r="K365" s="1">
        <v>5.9421744299999997</v>
      </c>
      <c r="L365" s="1">
        <v>4849.3300781199996</v>
      </c>
      <c r="M365" s="1">
        <v>9.8800287200000003</v>
      </c>
      <c r="N365" s="2">
        <v>14913.4697</v>
      </c>
    </row>
    <row r="366" spans="9:14" ht="12.75" customHeight="1" x14ac:dyDescent="0.25">
      <c r="I366" s="1" t="s">
        <v>42</v>
      </c>
      <c r="J366" s="1">
        <v>5258.5400390599998</v>
      </c>
      <c r="K366" s="1">
        <v>6.1439971900000003</v>
      </c>
      <c r="L366" s="1">
        <v>5589.75</v>
      </c>
      <c r="M366" s="1">
        <v>8.4933128399999998</v>
      </c>
      <c r="N366" s="1">
        <v>7963.6108398400002</v>
      </c>
    </row>
    <row r="367" spans="9:14" ht="12.75" customHeight="1" x14ac:dyDescent="0.25">
      <c r="I367" s="1" t="s">
        <v>42</v>
      </c>
      <c r="J367" s="1">
        <v>6662.5800781199996</v>
      </c>
      <c r="K367" s="1">
        <v>5.7529983500000004</v>
      </c>
      <c r="L367" s="1">
        <v>6990.1899414099998</v>
      </c>
      <c r="M367" s="1">
        <v>5.6014218299999996</v>
      </c>
      <c r="N367" s="2">
        <v>16158.104499999999</v>
      </c>
    </row>
    <row r="368" spans="9:14" ht="12.75" customHeight="1" x14ac:dyDescent="0.25">
      <c r="I368" s="1" t="s">
        <v>42</v>
      </c>
      <c r="J368" s="1">
        <v>7401.7998046900002</v>
      </c>
      <c r="K368" s="1">
        <v>4.7426686299999998</v>
      </c>
      <c r="L368" s="1">
        <v>7746.2099609400002</v>
      </c>
      <c r="M368" s="1">
        <v>4.2370963100000001</v>
      </c>
      <c r="N368" s="1">
        <v>29.631290440000001</v>
      </c>
    </row>
    <row r="369" spans="9:14" ht="12.75" customHeight="1" x14ac:dyDescent="0.25">
      <c r="I369" s="1" t="s">
        <v>42</v>
      </c>
      <c r="J369" s="1">
        <v>8569.4296875</v>
      </c>
      <c r="K369" s="1">
        <v>4.5255641899999999</v>
      </c>
      <c r="L369" s="1">
        <v>8881.4404296899993</v>
      </c>
      <c r="M369" s="1">
        <v>4.4001913100000003</v>
      </c>
      <c r="N369" s="1">
        <v>78.943832400000005</v>
      </c>
    </row>
    <row r="370" spans="9:14" ht="12.75" customHeight="1" x14ac:dyDescent="0.25">
      <c r="I370" s="1" t="s">
        <v>42</v>
      </c>
      <c r="J370" s="1">
        <v>9066.25</v>
      </c>
      <c r="K370" s="1">
        <v>3.7914907900000001</v>
      </c>
      <c r="L370" s="1">
        <v>9482.66015625</v>
      </c>
      <c r="M370" s="1">
        <v>4.6292772299999996</v>
      </c>
      <c r="N370" s="1">
        <v>249.51336670000001</v>
      </c>
    </row>
    <row r="371" spans="9:14" ht="12.75" customHeight="1" x14ac:dyDescent="0.25">
      <c r="I371" s="1" t="s">
        <v>42</v>
      </c>
      <c r="J371" s="1">
        <v>9553.4599609399993</v>
      </c>
      <c r="K371" s="1">
        <v>5.3833522800000004</v>
      </c>
      <c r="L371" s="2">
        <v>10230.299800000001</v>
      </c>
      <c r="M371" s="1">
        <v>15.856389050000001</v>
      </c>
      <c r="N371" s="2">
        <v>380516.84399999998</v>
      </c>
    </row>
    <row r="372" spans="9:14" ht="12.75" customHeight="1" x14ac:dyDescent="0.25">
      <c r="I372" s="1" t="s">
        <v>42</v>
      </c>
      <c r="J372" s="2">
        <v>10463.0996</v>
      </c>
      <c r="K372" s="1">
        <v>12.16090679</v>
      </c>
      <c r="L372" s="2">
        <v>11040.299800000001</v>
      </c>
      <c r="M372" s="1">
        <v>28.043567660000001</v>
      </c>
      <c r="N372" s="2">
        <v>327704.71899999998</v>
      </c>
    </row>
    <row r="373" spans="9:14" ht="12.75" customHeight="1" x14ac:dyDescent="0.25">
      <c r="I373" s="1" t="s">
        <v>42</v>
      </c>
      <c r="J373" s="2">
        <v>11388.299800000001</v>
      </c>
      <c r="K373" s="1">
        <v>16.81947899</v>
      </c>
      <c r="L373" s="2">
        <v>11779.5</v>
      </c>
      <c r="M373" s="1">
        <v>10.99429703</v>
      </c>
      <c r="N373" s="2">
        <v>105173.109</v>
      </c>
    </row>
    <row r="374" spans="9:14" ht="12.75" customHeight="1" x14ac:dyDescent="0.25">
      <c r="I374" s="1" t="s">
        <v>42</v>
      </c>
      <c r="J374" s="2">
        <v>12301.5</v>
      </c>
      <c r="K374" s="1">
        <v>4.1935658499999997</v>
      </c>
      <c r="L374" s="2">
        <v>12791.0996</v>
      </c>
      <c r="M374" s="1">
        <v>13.495371820000001</v>
      </c>
      <c r="N374" s="2">
        <v>246952.09400000001</v>
      </c>
    </row>
    <row r="375" spans="9:14" ht="12.75" customHeight="1" x14ac:dyDescent="0.25">
      <c r="I375" s="1" t="s">
        <v>42</v>
      </c>
      <c r="J375" s="2">
        <v>13226.799800000001</v>
      </c>
      <c r="K375" s="1">
        <v>14.64456558</v>
      </c>
      <c r="L375" s="2">
        <v>13810</v>
      </c>
      <c r="M375" s="1">
        <v>21.291177749999999</v>
      </c>
      <c r="N375" s="2">
        <v>341280.5</v>
      </c>
    </row>
    <row r="376" spans="9:14" ht="12.75" customHeight="1" x14ac:dyDescent="0.25">
      <c r="I376" s="1" t="s">
        <v>42</v>
      </c>
      <c r="J376" s="2">
        <v>14138.799800000001</v>
      </c>
      <c r="K376" s="1">
        <v>13.02306271</v>
      </c>
      <c r="L376" s="2">
        <v>14633.200199999999</v>
      </c>
      <c r="M376" s="1">
        <v>7.7692289399999996</v>
      </c>
      <c r="N376" s="2">
        <v>213908.016</v>
      </c>
    </row>
    <row r="377" spans="9:14" ht="12.75" customHeight="1" x14ac:dyDescent="0.25">
      <c r="I377" s="1" t="s">
        <v>42</v>
      </c>
      <c r="J377" s="2">
        <v>15728.799800000001</v>
      </c>
      <c r="K377" s="1">
        <v>8.8943538699999998</v>
      </c>
      <c r="L377" s="2">
        <v>16032.4004</v>
      </c>
      <c r="M377" s="1">
        <v>6.8463253999999996</v>
      </c>
      <c r="N377" s="2">
        <v>16365.3125</v>
      </c>
    </row>
    <row r="378" spans="9:14" ht="12.75" customHeight="1" x14ac:dyDescent="0.25">
      <c r="I378" s="1" t="s">
        <v>42</v>
      </c>
      <c r="J378" s="2">
        <v>16460.800800000001</v>
      </c>
      <c r="K378" s="1">
        <v>3.1808745900000002</v>
      </c>
      <c r="L378" s="2">
        <v>17146.099600000001</v>
      </c>
      <c r="M378" s="1">
        <v>11.19124508</v>
      </c>
      <c r="N378" s="2">
        <v>399234.75</v>
      </c>
    </row>
    <row r="379" spans="9:14" ht="12.75" customHeight="1" x14ac:dyDescent="0.25">
      <c r="I379" s="1" t="s">
        <v>42</v>
      </c>
      <c r="J379" s="2">
        <v>17380.099600000001</v>
      </c>
      <c r="K379" s="1">
        <v>8.9185314200000008</v>
      </c>
      <c r="L379" s="2">
        <v>17981.300800000001</v>
      </c>
      <c r="M379" s="1">
        <v>11.94722176</v>
      </c>
      <c r="N379" s="2">
        <v>384776.625</v>
      </c>
    </row>
    <row r="380" spans="9:14" ht="12.75" customHeight="1" x14ac:dyDescent="0.25">
      <c r="I380" s="1" t="s">
        <v>42</v>
      </c>
      <c r="J380" s="2">
        <v>18298.099600000001</v>
      </c>
      <c r="K380" s="1">
        <v>7.8816309000000002</v>
      </c>
      <c r="L380" s="2">
        <v>19024.099600000001</v>
      </c>
      <c r="M380" s="1">
        <v>8.9840726899999996</v>
      </c>
      <c r="N380" s="2">
        <v>340355.34399999998</v>
      </c>
    </row>
    <row r="381" spans="9:14" ht="12.75" customHeight="1" x14ac:dyDescent="0.25">
      <c r="I381" s="1" t="s">
        <v>42</v>
      </c>
      <c r="J381" s="2">
        <v>19213.699199999999</v>
      </c>
      <c r="K381" s="1">
        <v>8.0788021099999998</v>
      </c>
      <c r="L381" s="2">
        <v>19774.099600000001</v>
      </c>
      <c r="M381" s="1">
        <v>12.32409286</v>
      </c>
      <c r="N381" s="2">
        <v>260838.04699999999</v>
      </c>
    </row>
    <row r="382" spans="9:14" ht="12.75" customHeight="1" x14ac:dyDescent="0.25">
      <c r="I382" s="1" t="s">
        <v>42</v>
      </c>
      <c r="J382" s="2">
        <v>20132.900399999999</v>
      </c>
      <c r="K382" s="1">
        <v>8.0418090800000002</v>
      </c>
      <c r="L382" s="2">
        <v>20755.800800000001</v>
      </c>
      <c r="M382" s="1">
        <v>13.49491978</v>
      </c>
      <c r="N382" s="2">
        <v>328777.75</v>
      </c>
    </row>
    <row r="383" spans="9:14" ht="12.75" customHeight="1" x14ac:dyDescent="0.25">
      <c r="I383" s="1" t="s">
        <v>42</v>
      </c>
      <c r="J383" s="2">
        <v>21048.599600000001</v>
      </c>
      <c r="K383" s="1">
        <v>7.4081673600000002</v>
      </c>
      <c r="L383" s="2">
        <v>21598.199199999999</v>
      </c>
      <c r="M383" s="1">
        <v>7.8210287100000002</v>
      </c>
      <c r="N383" s="2">
        <v>191084.65599999999</v>
      </c>
    </row>
    <row r="384" spans="9:14" ht="12.75" customHeight="1" x14ac:dyDescent="0.25"/>
    <row r="385" spans="9:14" ht="12.75" customHeight="1" x14ac:dyDescent="0.25">
      <c r="I385" s="1" t="s">
        <v>17</v>
      </c>
    </row>
    <row r="386" spans="9:14" ht="12.75" customHeight="1" x14ac:dyDescent="0.25">
      <c r="I386" s="1" t="s">
        <v>0</v>
      </c>
      <c r="J386" s="1" t="s">
        <v>1</v>
      </c>
      <c r="K386" s="1" t="s">
        <v>2</v>
      </c>
      <c r="L386" s="1" t="s">
        <v>3</v>
      </c>
      <c r="M386" s="1" t="s">
        <v>4</v>
      </c>
      <c r="N386" s="1" t="s">
        <v>5</v>
      </c>
    </row>
    <row r="387" spans="9:14" ht="12.75" customHeight="1" x14ac:dyDescent="0.25">
      <c r="I387" s="1" t="s">
        <v>43</v>
      </c>
      <c r="J387" s="1">
        <v>834.02301024999997</v>
      </c>
      <c r="K387" s="1">
        <v>6.2027020500000001</v>
      </c>
      <c r="L387" s="1">
        <v>1316.4399414100001</v>
      </c>
      <c r="M387" s="1">
        <v>3.6427393000000001</v>
      </c>
      <c r="N387" s="2">
        <v>253327.56200000001</v>
      </c>
    </row>
    <row r="388" spans="9:14" ht="12.75" customHeight="1" x14ac:dyDescent="0.25">
      <c r="I388" s="1" t="s">
        <v>43</v>
      </c>
      <c r="J388" s="1">
        <v>1576.8399658200001</v>
      </c>
      <c r="K388" s="1">
        <v>1.6354113800000001</v>
      </c>
      <c r="L388" s="1">
        <v>1798.84997559</v>
      </c>
      <c r="M388" s="1">
        <v>1.76651633</v>
      </c>
      <c r="N388" s="1">
        <v>497.03436278999999</v>
      </c>
    </row>
    <row r="389" spans="9:14" ht="12.75" customHeight="1" x14ac:dyDescent="0.25">
      <c r="I389" s="1" t="s">
        <v>43</v>
      </c>
      <c r="J389" s="1">
        <v>2308.8601074200001</v>
      </c>
      <c r="K389" s="1">
        <v>1.3977905500000001</v>
      </c>
      <c r="L389" s="1">
        <v>2653.2700195299999</v>
      </c>
      <c r="M389" s="1">
        <v>1.60319674</v>
      </c>
      <c r="N389" s="1">
        <v>3060.2731933599998</v>
      </c>
    </row>
    <row r="390" spans="9:14" ht="12.75" customHeight="1" x14ac:dyDescent="0.25">
      <c r="I390" s="1" t="s">
        <v>43</v>
      </c>
      <c r="J390" s="1">
        <v>3051.6799316400002</v>
      </c>
      <c r="K390" s="1">
        <v>4.84414911</v>
      </c>
      <c r="L390" s="1">
        <v>3393.6899414099998</v>
      </c>
      <c r="M390" s="1">
        <v>1.1017864900000001</v>
      </c>
      <c r="N390" s="1">
        <v>4444.7358398400002</v>
      </c>
    </row>
    <row r="391" spans="9:14" ht="12.75" customHeight="1" x14ac:dyDescent="0.25">
      <c r="I391" s="1" t="s">
        <v>43</v>
      </c>
      <c r="J391" s="1">
        <v>3784.8999023400002</v>
      </c>
      <c r="K391" s="1">
        <v>2.9820632900000001</v>
      </c>
      <c r="L391" s="1">
        <v>4192.91015625</v>
      </c>
      <c r="M391" s="1">
        <v>2.6660251599999998</v>
      </c>
      <c r="N391" s="2">
        <v>36858.925799999997</v>
      </c>
    </row>
    <row r="392" spans="9:14" ht="12.75" customHeight="1" x14ac:dyDescent="0.25">
      <c r="I392" s="1" t="s">
        <v>43</v>
      </c>
      <c r="J392" s="1">
        <v>4521.7202148400002</v>
      </c>
      <c r="K392" s="1">
        <v>1.27523243</v>
      </c>
      <c r="L392" s="1">
        <v>4906.9301757800004</v>
      </c>
      <c r="M392" s="1">
        <v>1.0431772500000001</v>
      </c>
      <c r="N392" s="2">
        <v>10204.088900000001</v>
      </c>
    </row>
    <row r="393" spans="9:14" ht="12.75" customHeight="1" x14ac:dyDescent="0.25">
      <c r="I393" s="1" t="s">
        <v>43</v>
      </c>
      <c r="J393" s="1">
        <v>5262.1401367199996</v>
      </c>
      <c r="K393" s="1">
        <v>3.1350707999999998</v>
      </c>
      <c r="L393" s="1">
        <v>5578.9501953099998</v>
      </c>
      <c r="M393" s="1">
        <v>1.82530272</v>
      </c>
      <c r="N393" s="1">
        <v>4403.4980468800004</v>
      </c>
    </row>
    <row r="394" spans="9:14" ht="12.75" customHeight="1" x14ac:dyDescent="0.25">
      <c r="I394" s="1" t="s">
        <v>43</v>
      </c>
      <c r="J394" s="1">
        <v>6658.9799804699996</v>
      </c>
      <c r="K394" s="1">
        <v>0.88896763000000001</v>
      </c>
      <c r="L394" s="1">
        <v>7104.1899414099998</v>
      </c>
      <c r="M394" s="1">
        <v>5.4495487200000001</v>
      </c>
      <c r="N394" s="2">
        <v>260672.34400000001</v>
      </c>
    </row>
    <row r="395" spans="9:14" ht="12.75" customHeight="1" x14ac:dyDescent="0.25">
      <c r="I395" s="1" t="s">
        <v>43</v>
      </c>
      <c r="J395" s="1">
        <v>7400.6000976599998</v>
      </c>
      <c r="K395" s="1">
        <v>1.2665969100000001</v>
      </c>
      <c r="L395" s="1">
        <v>7848.2099609400002</v>
      </c>
      <c r="M395" s="1">
        <v>0.66182291999999998</v>
      </c>
      <c r="N395" s="1">
        <v>104.80192565999999</v>
      </c>
    </row>
    <row r="396" spans="9:14" ht="12.75" customHeight="1" x14ac:dyDescent="0.25">
      <c r="I396" s="1" t="s">
        <v>43</v>
      </c>
      <c r="J396" s="1">
        <v>8145.8198242199996</v>
      </c>
      <c r="K396" s="1">
        <v>0.87728214000000004</v>
      </c>
      <c r="L396" s="1">
        <v>8293.4296875</v>
      </c>
      <c r="M396" s="1">
        <v>1.1608464700000001</v>
      </c>
      <c r="N396" s="1">
        <v>30.512613300000002</v>
      </c>
    </row>
    <row r="397" spans="9:14" ht="12.75" customHeight="1" x14ac:dyDescent="0.25">
      <c r="I397" s="1" t="s">
        <v>43</v>
      </c>
      <c r="J397" s="1">
        <v>8561.0302734399993</v>
      </c>
      <c r="K397" s="1">
        <v>1.1632936</v>
      </c>
      <c r="L397" s="1">
        <v>8879.0400390600007</v>
      </c>
      <c r="M397" s="1">
        <v>1.3634097599999999</v>
      </c>
      <c r="N397" s="1">
        <v>-90.810012819999997</v>
      </c>
    </row>
    <row r="398" spans="9:14" ht="12.75" customHeight="1" x14ac:dyDescent="0.25">
      <c r="I398" s="1" t="s">
        <v>43</v>
      </c>
      <c r="J398" s="1">
        <v>9074.6503906199996</v>
      </c>
      <c r="K398" s="1">
        <v>1.4841592299999999</v>
      </c>
      <c r="L398" s="1">
        <v>9420.2597656199996</v>
      </c>
      <c r="M398" s="1">
        <v>1.1030781300000001</v>
      </c>
      <c r="N398" s="1">
        <v>-77.172973630000001</v>
      </c>
    </row>
    <row r="399" spans="9:14" ht="12.75" customHeight="1" x14ac:dyDescent="0.25">
      <c r="I399" s="1" t="s">
        <v>43</v>
      </c>
      <c r="J399" s="1">
        <v>9553.4599609399993</v>
      </c>
      <c r="K399" s="1">
        <v>0.87210821999999999</v>
      </c>
      <c r="L399" s="2">
        <v>10071.9004</v>
      </c>
      <c r="M399" s="1">
        <v>15.9967804</v>
      </c>
      <c r="N399" s="2">
        <v>236744.06200000001</v>
      </c>
    </row>
    <row r="400" spans="9:14" ht="12.75" customHeight="1" x14ac:dyDescent="0.25">
      <c r="I400" s="1" t="s">
        <v>43</v>
      </c>
      <c r="J400" s="2">
        <v>10465.5</v>
      </c>
      <c r="K400" s="1">
        <v>6.0850863500000001</v>
      </c>
      <c r="L400" s="2">
        <v>10940.700199999999</v>
      </c>
      <c r="M400" s="1">
        <v>19.53555489</v>
      </c>
      <c r="N400" s="2">
        <v>196200.59400000001</v>
      </c>
    </row>
    <row r="401" spans="1:14" ht="12.75" customHeight="1" x14ac:dyDescent="0.25">
      <c r="I401" s="1" t="s">
        <v>43</v>
      </c>
      <c r="J401" s="2">
        <v>11390.700199999999</v>
      </c>
      <c r="K401" s="1">
        <v>8.8113155400000007</v>
      </c>
      <c r="L401" s="2">
        <v>11772.299800000001</v>
      </c>
      <c r="M401" s="1">
        <v>6.1808633799999999</v>
      </c>
      <c r="N401" s="2">
        <v>76065.054699999993</v>
      </c>
    </row>
    <row r="402" spans="1:14" ht="12.75" customHeight="1" x14ac:dyDescent="0.25">
      <c r="I402" s="1" t="s">
        <v>43</v>
      </c>
      <c r="J402" s="2">
        <v>12300.299800000001</v>
      </c>
      <c r="K402" s="1">
        <v>0.93832826999999996</v>
      </c>
      <c r="L402" s="2">
        <v>12801.9004</v>
      </c>
      <c r="M402" s="1">
        <v>7.3546624200000004</v>
      </c>
      <c r="N402" s="2">
        <v>186154.40599999999</v>
      </c>
    </row>
    <row r="403" spans="1:14" ht="12.75" customHeight="1" x14ac:dyDescent="0.25">
      <c r="I403" s="1" t="s">
        <v>43</v>
      </c>
      <c r="J403" s="2">
        <v>13226.799800000001</v>
      </c>
      <c r="K403" s="1">
        <v>7.78399515</v>
      </c>
      <c r="L403" s="2">
        <v>13738</v>
      </c>
      <c r="M403" s="1">
        <v>12.3958931</v>
      </c>
      <c r="N403" s="2">
        <v>184007.734</v>
      </c>
    </row>
    <row r="404" spans="1:14" ht="12.75" customHeight="1" x14ac:dyDescent="0.25">
      <c r="I404" s="1" t="s">
        <v>43</v>
      </c>
      <c r="J404" s="2">
        <v>14135.200199999999</v>
      </c>
      <c r="K404" s="1">
        <v>6.0011844600000002</v>
      </c>
      <c r="L404" s="2">
        <v>14599.5996</v>
      </c>
      <c r="M404" s="1">
        <v>5.3910379400000004</v>
      </c>
      <c r="N404" s="2">
        <v>180600</v>
      </c>
    </row>
    <row r="405" spans="1:14" ht="12.75" customHeight="1" x14ac:dyDescent="0.25">
      <c r="I405" s="1" t="s">
        <v>43</v>
      </c>
      <c r="J405" s="2">
        <v>15726.4004</v>
      </c>
      <c r="K405" s="1">
        <v>8.1984643899999998</v>
      </c>
      <c r="L405" s="2">
        <v>16192</v>
      </c>
      <c r="M405" s="1">
        <v>4.7966666199999999</v>
      </c>
      <c r="N405" s="2">
        <v>265392.90600000002</v>
      </c>
    </row>
    <row r="406" spans="1:14" ht="12.75" customHeight="1" x14ac:dyDescent="0.25">
      <c r="I406" s="1" t="s">
        <v>43</v>
      </c>
      <c r="J406" s="2">
        <v>16463.199199999999</v>
      </c>
      <c r="K406" s="1">
        <v>4.2778558699999998</v>
      </c>
      <c r="L406" s="2">
        <v>16978.099600000001</v>
      </c>
      <c r="M406" s="1">
        <v>11.195211410000001</v>
      </c>
      <c r="N406" s="2">
        <v>232553.20300000001</v>
      </c>
    </row>
    <row r="407" spans="1:14" ht="12.75" customHeight="1" x14ac:dyDescent="0.25">
      <c r="I407" s="1" t="s">
        <v>43</v>
      </c>
      <c r="J407" s="2">
        <v>17382.5</v>
      </c>
      <c r="K407" s="1">
        <v>10.277301789999999</v>
      </c>
      <c r="L407" s="2">
        <v>17863.699199999999</v>
      </c>
      <c r="M407" s="1">
        <v>12.05366611</v>
      </c>
      <c r="N407" s="2">
        <v>226258.016</v>
      </c>
    </row>
    <row r="408" spans="1:14" ht="12.75" customHeight="1" x14ac:dyDescent="0.25">
      <c r="I408" s="1" t="s">
        <v>43</v>
      </c>
      <c r="J408" s="2">
        <v>18296.900399999999</v>
      </c>
      <c r="K408" s="1">
        <v>1.9288525599999999</v>
      </c>
      <c r="L408" s="2">
        <v>18900.5</v>
      </c>
      <c r="M408" s="1">
        <v>5.1460313800000002</v>
      </c>
      <c r="N408" s="2">
        <v>229595.75</v>
      </c>
    </row>
    <row r="409" spans="1:14" ht="12.75" customHeight="1" x14ac:dyDescent="0.25">
      <c r="I409" s="1" t="s">
        <v>43</v>
      </c>
      <c r="J409" s="2">
        <v>19213.699199999999</v>
      </c>
      <c r="K409" s="1">
        <v>2.1760232400000001</v>
      </c>
      <c r="L409" s="2">
        <v>19670.900399999999</v>
      </c>
      <c r="M409" s="1">
        <v>13.776568409999999</v>
      </c>
      <c r="N409" s="2">
        <v>146471.34400000001</v>
      </c>
    </row>
    <row r="410" spans="1:14" ht="12.75" customHeight="1" x14ac:dyDescent="0.25">
      <c r="I410" s="1" t="s">
        <v>43</v>
      </c>
      <c r="J410" s="2">
        <v>20126.900399999999</v>
      </c>
      <c r="K410" s="1">
        <v>0.99054103999999998</v>
      </c>
      <c r="L410" s="2">
        <v>20639.400399999999</v>
      </c>
      <c r="M410" s="1">
        <v>12.196480749999999</v>
      </c>
      <c r="N410" s="2">
        <v>151431.875</v>
      </c>
    </row>
    <row r="411" spans="1:14" ht="12.75" customHeight="1" x14ac:dyDescent="0.25">
      <c r="I411" s="1" t="s">
        <v>43</v>
      </c>
      <c r="J411" s="2">
        <v>21052.199199999999</v>
      </c>
      <c r="K411" s="1">
        <v>3.1790096800000001</v>
      </c>
      <c r="L411" s="2">
        <v>21526.199199999999</v>
      </c>
      <c r="M411" s="1">
        <v>6.3414492600000001</v>
      </c>
      <c r="N411" s="2">
        <v>136638.42199999999</v>
      </c>
    </row>
    <row r="412" spans="1:14" ht="12.75" customHeight="1" x14ac:dyDescent="0.25"/>
    <row r="413" spans="1:14" ht="12.75" customHeight="1" x14ac:dyDescent="0.25">
      <c r="A413" s="6">
        <v>45685</v>
      </c>
      <c r="I413" s="1" t="s">
        <v>39</v>
      </c>
    </row>
    <row r="414" spans="1:14" ht="12.75" customHeight="1" x14ac:dyDescent="0.25">
      <c r="I414" s="1" t="s">
        <v>0</v>
      </c>
      <c r="J414" s="1" t="s">
        <v>1</v>
      </c>
      <c r="K414" s="1" t="s">
        <v>2</v>
      </c>
      <c r="L414" s="1" t="s">
        <v>3</v>
      </c>
      <c r="M414" s="1" t="s">
        <v>4</v>
      </c>
      <c r="N414" s="1" t="s">
        <v>5</v>
      </c>
    </row>
    <row r="415" spans="1:14" ht="12.75" customHeight="1" x14ac:dyDescent="0.25">
      <c r="I415" s="1" t="s">
        <v>44</v>
      </c>
      <c r="J415" s="1">
        <v>792.02197265999996</v>
      </c>
      <c r="K415" s="1">
        <v>3.3778226400000002</v>
      </c>
      <c r="L415" s="1">
        <v>1532.4399414100001</v>
      </c>
      <c r="M415" s="1">
        <v>9.0236768699999992</v>
      </c>
      <c r="N415" s="2">
        <v>2191838.25</v>
      </c>
    </row>
    <row r="416" spans="1:14" ht="12.75" customHeight="1" x14ac:dyDescent="0.25">
      <c r="I416" s="1" t="s">
        <v>44</v>
      </c>
      <c r="J416" s="1">
        <v>1532.4399414100001</v>
      </c>
      <c r="K416" s="1">
        <v>9.0236768699999992</v>
      </c>
      <c r="L416" s="1">
        <v>2245.2600097700001</v>
      </c>
      <c r="M416" s="1">
        <v>3.84991503</v>
      </c>
      <c r="N416" s="2">
        <v>2139663.25</v>
      </c>
    </row>
    <row r="417" spans="9:14" ht="12.75" customHeight="1" x14ac:dyDescent="0.25">
      <c r="I417" s="1" t="s">
        <v>44</v>
      </c>
      <c r="J417" s="1">
        <v>2269.2600097700001</v>
      </c>
      <c r="K417" s="1">
        <v>3.73766446</v>
      </c>
      <c r="L417" s="1">
        <v>3272.4899902299999</v>
      </c>
      <c r="M417" s="1">
        <v>4.3438920999999997</v>
      </c>
      <c r="N417" s="2">
        <v>2060102.38</v>
      </c>
    </row>
    <row r="418" spans="9:14" ht="12.75" customHeight="1" x14ac:dyDescent="0.25">
      <c r="I418" s="1" t="s">
        <v>44</v>
      </c>
      <c r="J418" s="1">
        <v>3745.3000488299999</v>
      </c>
      <c r="K418" s="1">
        <v>2.7797126799999998</v>
      </c>
      <c r="L418" s="1">
        <v>4210.9199218800004</v>
      </c>
      <c r="M418" s="1">
        <v>4.2612681400000003</v>
      </c>
      <c r="N418" s="1">
        <v>2242.6826171900002</v>
      </c>
    </row>
    <row r="419" spans="9:14" ht="12.75" customHeight="1" x14ac:dyDescent="0.25">
      <c r="I419" s="1" t="s">
        <v>44</v>
      </c>
      <c r="J419" s="1">
        <v>4491.7202148400002</v>
      </c>
      <c r="K419" s="1">
        <v>2.9931449899999998</v>
      </c>
      <c r="L419" s="1">
        <v>5085.7402343800004</v>
      </c>
      <c r="M419" s="1">
        <v>2.86868072</v>
      </c>
      <c r="N419" s="1">
        <v>2322.0825195299999</v>
      </c>
    </row>
    <row r="420" spans="9:14" ht="12.75" customHeight="1" x14ac:dyDescent="0.25">
      <c r="I420" s="1" t="s">
        <v>44</v>
      </c>
      <c r="J420" s="1">
        <v>5221.33984375</v>
      </c>
      <c r="K420" s="1">
        <v>3.2297170199999998</v>
      </c>
      <c r="L420" s="1">
        <v>5620.9501953099998</v>
      </c>
      <c r="M420" s="1">
        <v>3.0990130900000001</v>
      </c>
      <c r="N420" s="1">
        <v>2346.4848632799999</v>
      </c>
    </row>
    <row r="421" spans="9:14" ht="12.75" customHeight="1" x14ac:dyDescent="0.25">
      <c r="I421" s="1" t="s">
        <v>44</v>
      </c>
      <c r="J421" s="1">
        <v>5938.9599609400002</v>
      </c>
      <c r="K421" s="1">
        <v>1.90089822</v>
      </c>
      <c r="L421" s="1">
        <v>6099.7700195300004</v>
      </c>
      <c r="M421" s="1">
        <v>3.2225484799999999</v>
      </c>
      <c r="N421" s="1">
        <v>75.456298829999994</v>
      </c>
    </row>
    <row r="422" spans="9:14" ht="12.75" customHeight="1" x14ac:dyDescent="0.25">
      <c r="I422" s="1" t="s">
        <v>44</v>
      </c>
      <c r="J422" s="1">
        <v>6620.5800781199996</v>
      </c>
      <c r="K422" s="1">
        <v>2.8491563800000002</v>
      </c>
      <c r="L422" s="1">
        <v>6952.9902343800004</v>
      </c>
      <c r="M422" s="1">
        <v>0.88550496000000001</v>
      </c>
      <c r="N422" s="1">
        <v>3006.7092285200001</v>
      </c>
    </row>
    <row r="423" spans="9:14" ht="12.75" customHeight="1" x14ac:dyDescent="0.25">
      <c r="I423" s="1" t="s">
        <v>44</v>
      </c>
      <c r="J423" s="1">
        <v>7362.2001953099998</v>
      </c>
      <c r="K423" s="1">
        <v>2.0602443199999998</v>
      </c>
      <c r="L423" s="1">
        <v>7706.6098632800004</v>
      </c>
      <c r="M423" s="1">
        <v>3.2048554400000002</v>
      </c>
      <c r="N423" s="1">
        <v>2382.8103027299999</v>
      </c>
    </row>
    <row r="424" spans="9:14" ht="12.75" customHeight="1" x14ac:dyDescent="0.25">
      <c r="I424" s="1" t="s">
        <v>44</v>
      </c>
      <c r="J424" s="1">
        <v>8105.0200195300004</v>
      </c>
      <c r="K424" s="1">
        <v>1.9903444100000001</v>
      </c>
      <c r="L424" s="1">
        <v>8451.8300781199996</v>
      </c>
      <c r="M424" s="1">
        <v>2.9659440500000001</v>
      </c>
      <c r="N424" s="1">
        <v>3019.8081054700001</v>
      </c>
    </row>
    <row r="425" spans="9:14" ht="12.75" customHeight="1" x14ac:dyDescent="0.25">
      <c r="I425" s="1" t="s">
        <v>44</v>
      </c>
      <c r="J425" s="1">
        <v>8831.0400390600007</v>
      </c>
      <c r="K425" s="1">
        <v>2.9254479400000002</v>
      </c>
      <c r="L425" s="1">
        <v>9179.0498046899993</v>
      </c>
      <c r="M425" s="1">
        <v>0.85721879999999995</v>
      </c>
      <c r="N425" s="2">
        <v>17081.273399999998</v>
      </c>
    </row>
    <row r="426" spans="9:14" ht="12.75" customHeight="1" x14ac:dyDescent="0.25">
      <c r="I426" s="1" t="s">
        <v>44</v>
      </c>
      <c r="J426" s="1">
        <v>9566.66015625</v>
      </c>
      <c r="K426" s="1">
        <v>0.83591831000000005</v>
      </c>
      <c r="L426" s="1">
        <v>9993.8701171899993</v>
      </c>
      <c r="M426" s="1">
        <v>2.6041600699999998</v>
      </c>
      <c r="N426" s="2">
        <v>35386.828099999999</v>
      </c>
    </row>
    <row r="427" spans="9:14" ht="12.75" customHeight="1" x14ac:dyDescent="0.25">
      <c r="I427" s="1" t="s">
        <v>44</v>
      </c>
      <c r="J427" s="2">
        <v>10308.299800000001</v>
      </c>
      <c r="K427" s="1">
        <v>-1.06071329</v>
      </c>
      <c r="L427" s="2">
        <v>10755.9004</v>
      </c>
      <c r="M427" s="1">
        <v>2.0484745499999999</v>
      </c>
      <c r="N427" s="2">
        <v>157571</v>
      </c>
    </row>
    <row r="428" spans="9:14" ht="12.75" customHeight="1" x14ac:dyDescent="0.25">
      <c r="I428" s="1" t="s">
        <v>44</v>
      </c>
      <c r="J428" s="2">
        <v>11055.9004</v>
      </c>
      <c r="K428" s="1">
        <v>1.5982782799999999</v>
      </c>
      <c r="L428" s="2">
        <v>11329.5</v>
      </c>
      <c r="M428" s="1">
        <v>3.5737843499999999</v>
      </c>
      <c r="N428" s="1">
        <v>3344.3857421900002</v>
      </c>
    </row>
    <row r="429" spans="9:14" ht="12.75" customHeight="1" x14ac:dyDescent="0.25"/>
    <row r="430" spans="9:14" ht="12.75" customHeight="1" x14ac:dyDescent="0.25">
      <c r="I430" s="1" t="s">
        <v>10</v>
      </c>
    </row>
    <row r="431" spans="9:14" ht="12.75" customHeight="1" x14ac:dyDescent="0.25">
      <c r="I431" s="1" t="s">
        <v>0</v>
      </c>
      <c r="J431" s="1" t="s">
        <v>1</v>
      </c>
      <c r="K431" s="1" t="s">
        <v>2</v>
      </c>
      <c r="L431" s="1" t="s">
        <v>3</v>
      </c>
      <c r="M431" s="1" t="s">
        <v>4</v>
      </c>
      <c r="N431" s="1" t="s">
        <v>5</v>
      </c>
    </row>
    <row r="432" spans="9:14" ht="12.75" customHeight="1" x14ac:dyDescent="0.25">
      <c r="I432" s="1" t="s">
        <v>45</v>
      </c>
      <c r="J432" s="1">
        <v>795.62200928000004</v>
      </c>
      <c r="K432" s="1">
        <v>1.4089521199999999</v>
      </c>
      <c r="L432" s="1">
        <v>1232.43005371</v>
      </c>
      <c r="M432" s="1">
        <v>4.3864436099999997</v>
      </c>
      <c r="N432" s="2">
        <v>62598.761700000003</v>
      </c>
    </row>
    <row r="433" spans="9:14" ht="12.75" customHeight="1" x14ac:dyDescent="0.25">
      <c r="I433" s="1" t="s">
        <v>45</v>
      </c>
      <c r="J433" s="1">
        <v>1533.64001465</v>
      </c>
      <c r="K433" s="1">
        <v>1.56582355</v>
      </c>
      <c r="L433" s="1">
        <v>1986.0500488299999</v>
      </c>
      <c r="M433" s="1">
        <v>2.4924752699999999</v>
      </c>
      <c r="N433" s="2">
        <v>61740.906199999998</v>
      </c>
    </row>
    <row r="434" spans="9:14" ht="12.75" customHeight="1" x14ac:dyDescent="0.25">
      <c r="I434" s="1" t="s">
        <v>45</v>
      </c>
      <c r="J434" s="1">
        <v>2271.6599121099998</v>
      </c>
      <c r="K434" s="1">
        <v>1.6619362799999999</v>
      </c>
      <c r="L434" s="1">
        <v>2803.2800293</v>
      </c>
      <c r="M434" s="1">
        <v>2.4569103700000001</v>
      </c>
      <c r="N434" s="2">
        <v>59093.511700000003</v>
      </c>
    </row>
    <row r="435" spans="9:14" ht="12.75" customHeight="1" x14ac:dyDescent="0.25">
      <c r="I435" s="1" t="s">
        <v>45</v>
      </c>
      <c r="J435" s="1">
        <v>3018.0800781200001</v>
      </c>
      <c r="K435" s="1">
        <v>3.7225820999999999</v>
      </c>
      <c r="L435" s="1">
        <v>3268.8898925799999</v>
      </c>
      <c r="M435" s="1">
        <v>1.31978285</v>
      </c>
      <c r="N435" s="1">
        <v>841.31298828000001</v>
      </c>
    </row>
    <row r="436" spans="9:14" ht="12.75" customHeight="1" x14ac:dyDescent="0.25">
      <c r="I436" s="1" t="s">
        <v>45</v>
      </c>
      <c r="J436" s="1">
        <v>3741.6999511700001</v>
      </c>
      <c r="K436" s="1">
        <v>1.4182915700000001</v>
      </c>
      <c r="L436" s="1">
        <v>4036.9099121099998</v>
      </c>
      <c r="M436" s="1">
        <v>1.35150707</v>
      </c>
      <c r="N436" s="1">
        <v>104.63796234</v>
      </c>
    </row>
    <row r="437" spans="9:14" ht="12.75" customHeight="1" x14ac:dyDescent="0.25">
      <c r="I437" s="1" t="s">
        <v>45</v>
      </c>
      <c r="J437" s="1">
        <v>4484.5200195300004</v>
      </c>
      <c r="K437" s="1">
        <v>1.2007827799999999</v>
      </c>
      <c r="L437" s="1">
        <v>4857.7299804699996</v>
      </c>
      <c r="M437" s="1">
        <v>0.67245138000000004</v>
      </c>
      <c r="N437" s="1">
        <v>210.02626038</v>
      </c>
    </row>
    <row r="438" spans="9:14" ht="12.75" customHeight="1" x14ac:dyDescent="0.25">
      <c r="I438" s="1" t="s">
        <v>45</v>
      </c>
      <c r="J438" s="1">
        <v>5222.5400390599998</v>
      </c>
      <c r="K438" s="1">
        <v>1.27109373</v>
      </c>
      <c r="L438" s="1">
        <v>5511.75</v>
      </c>
      <c r="M438" s="1">
        <v>1.42609143</v>
      </c>
      <c r="N438" s="1">
        <v>82.442581180000005</v>
      </c>
    </row>
    <row r="439" spans="9:14" ht="12.75" customHeight="1" x14ac:dyDescent="0.25">
      <c r="I439" s="1" t="s">
        <v>45</v>
      </c>
      <c r="J439" s="1">
        <v>6616.9799804699996</v>
      </c>
      <c r="K439" s="1">
        <v>1.2912912400000001</v>
      </c>
      <c r="L439" s="1">
        <v>6870.1899414099998</v>
      </c>
      <c r="M439" s="1">
        <v>1.0608937700000001</v>
      </c>
      <c r="N439" s="1">
        <v>138.91542053000001</v>
      </c>
    </row>
    <row r="440" spans="9:14" ht="12.75" customHeight="1" x14ac:dyDescent="0.25">
      <c r="I440" s="1" t="s">
        <v>45</v>
      </c>
      <c r="J440" s="1">
        <v>7363.3999023400002</v>
      </c>
      <c r="K440" s="1">
        <v>1.2185899</v>
      </c>
      <c r="L440" s="1">
        <v>7641.8100585900002</v>
      </c>
      <c r="M440" s="1">
        <v>0.77418094999999998</v>
      </c>
      <c r="N440" s="1">
        <v>176.77420043999999</v>
      </c>
    </row>
    <row r="441" spans="9:14" ht="12.75" customHeight="1" x14ac:dyDescent="0.25">
      <c r="I441" s="1" t="s">
        <v>45</v>
      </c>
      <c r="J441" s="1">
        <v>8107.4199218800004</v>
      </c>
      <c r="K441" s="1">
        <v>0.86173372999999998</v>
      </c>
      <c r="L441" s="1">
        <v>8405.0302734399993</v>
      </c>
      <c r="M441" s="1">
        <v>0.78117674999999998</v>
      </c>
      <c r="N441" s="1">
        <v>211.69734192000001</v>
      </c>
    </row>
    <row r="442" spans="9:14" ht="12.75" customHeight="1" x14ac:dyDescent="0.25">
      <c r="I442" s="1" t="s">
        <v>45</v>
      </c>
      <c r="J442" s="1">
        <v>8839.4404296899993</v>
      </c>
      <c r="K442" s="1">
        <v>1.2337085000000001</v>
      </c>
      <c r="L442" s="1">
        <v>9113.0498046899993</v>
      </c>
      <c r="M442" s="1">
        <v>1.6163562499999999</v>
      </c>
      <c r="N442" s="1">
        <v>462.59933472</v>
      </c>
    </row>
    <row r="443" spans="9:14" ht="12.75" customHeight="1" x14ac:dyDescent="0.25">
      <c r="I443" s="1" t="s">
        <v>45</v>
      </c>
      <c r="J443" s="1">
        <v>9558.2597656199996</v>
      </c>
      <c r="K443" s="1">
        <v>1.1331264999999999</v>
      </c>
      <c r="L443" s="1">
        <v>9948.26953125</v>
      </c>
      <c r="M443" s="1">
        <v>1.75509739</v>
      </c>
      <c r="N443" s="1">
        <v>1027.6831054700001</v>
      </c>
    </row>
    <row r="444" spans="9:14" ht="12.75" customHeight="1" x14ac:dyDescent="0.25">
      <c r="I444" s="1" t="s">
        <v>45</v>
      </c>
      <c r="J444" s="2">
        <v>10305.9004</v>
      </c>
      <c r="K444" s="1">
        <v>1.3626157000000001</v>
      </c>
      <c r="L444" s="2">
        <v>10751.0996</v>
      </c>
      <c r="M444" s="1">
        <v>1.8958854700000001</v>
      </c>
      <c r="N444" s="1">
        <v>4742.0268554699996</v>
      </c>
    </row>
    <row r="445" spans="9:14" ht="12.75" customHeight="1" x14ac:dyDescent="0.25">
      <c r="I445" s="1" t="s">
        <v>45</v>
      </c>
      <c r="J445" s="2">
        <v>11051.0996</v>
      </c>
      <c r="K445" s="1">
        <v>0.87142545000000005</v>
      </c>
      <c r="L445" s="2">
        <v>11414.700199999999</v>
      </c>
      <c r="M445" s="1">
        <v>0.86599504999999999</v>
      </c>
      <c r="N445" s="1">
        <v>1513.4294433600001</v>
      </c>
    </row>
    <row r="446" spans="9:14" ht="12.75" customHeight="1" x14ac:dyDescent="0.25"/>
    <row r="447" spans="9:14" ht="12.75" customHeight="1" x14ac:dyDescent="0.25">
      <c r="I447" s="1" t="s">
        <v>12</v>
      </c>
    </row>
    <row r="448" spans="9:14" ht="12.75" customHeight="1" x14ac:dyDescent="0.25">
      <c r="I448" s="1" t="s">
        <v>0</v>
      </c>
      <c r="J448" s="1" t="s">
        <v>1</v>
      </c>
      <c r="K448" s="1" t="s">
        <v>2</v>
      </c>
      <c r="L448" s="1" t="s">
        <v>3</v>
      </c>
      <c r="M448" s="1" t="s">
        <v>4</v>
      </c>
      <c r="N448" s="1" t="s">
        <v>5</v>
      </c>
    </row>
    <row r="449" spans="9:14" ht="12.75" customHeight="1" x14ac:dyDescent="0.25">
      <c r="I449" s="1" t="s">
        <v>46</v>
      </c>
      <c r="J449" s="1">
        <v>795.62200928000004</v>
      </c>
      <c r="K449" s="1">
        <v>3.6416785699999998</v>
      </c>
      <c r="L449" s="1">
        <v>1464.04003906</v>
      </c>
      <c r="M449" s="1">
        <v>3.1734006400000001</v>
      </c>
      <c r="N449" s="2">
        <v>100439.117</v>
      </c>
    </row>
    <row r="450" spans="9:14" ht="12.75" customHeight="1" x14ac:dyDescent="0.25">
      <c r="I450" s="1" t="s">
        <v>46</v>
      </c>
      <c r="J450" s="1">
        <v>1532.4399414100001</v>
      </c>
      <c r="K450" s="1">
        <v>4.8207011199999998</v>
      </c>
      <c r="L450" s="1">
        <v>2148.0600585900002</v>
      </c>
      <c r="M450" s="1">
        <v>4.2739501000000004</v>
      </c>
      <c r="N450" s="2">
        <v>97646.648400000005</v>
      </c>
    </row>
    <row r="451" spans="9:14" ht="12.75" customHeight="1" x14ac:dyDescent="0.25">
      <c r="I451" s="1" t="s">
        <v>46</v>
      </c>
      <c r="J451" s="1">
        <v>2271.6599121099998</v>
      </c>
      <c r="K451" s="1">
        <v>5.9554619799999999</v>
      </c>
      <c r="L451" s="1">
        <v>3009.6799316400002</v>
      </c>
      <c r="M451" s="1">
        <v>5.9415545500000002</v>
      </c>
      <c r="N451" s="2">
        <v>91657.398400000005</v>
      </c>
    </row>
    <row r="452" spans="9:14" ht="12.75" customHeight="1" x14ac:dyDescent="0.25">
      <c r="I452" s="1" t="s">
        <v>46</v>
      </c>
      <c r="J452" s="1">
        <v>3009.6799316400002</v>
      </c>
      <c r="K452" s="1">
        <v>5.9415545500000002</v>
      </c>
      <c r="L452" s="1">
        <v>3415.2900390599998</v>
      </c>
      <c r="M452" s="1">
        <v>4.5028567300000004</v>
      </c>
      <c r="N452" s="2">
        <v>15352.6582</v>
      </c>
    </row>
    <row r="453" spans="9:14" ht="12.75" customHeight="1" x14ac:dyDescent="0.25">
      <c r="I453" s="1" t="s">
        <v>46</v>
      </c>
      <c r="J453" s="1">
        <v>3754.8999023400002</v>
      </c>
      <c r="K453" s="1">
        <v>5.5064811699999998</v>
      </c>
      <c r="L453" s="1">
        <v>4117.3100585900002</v>
      </c>
      <c r="M453" s="1">
        <v>4.3970699299999998</v>
      </c>
      <c r="N453" s="1">
        <v>221.69357299999999</v>
      </c>
    </row>
    <row r="454" spans="9:14" ht="12.75" customHeight="1" x14ac:dyDescent="0.25">
      <c r="I454" s="1" t="s">
        <v>46</v>
      </c>
      <c r="J454" s="1">
        <v>4489.3198242199996</v>
      </c>
      <c r="K454" s="1">
        <v>4.1328005799999996</v>
      </c>
      <c r="L454" s="1">
        <v>4826.5297851599998</v>
      </c>
      <c r="M454" s="1">
        <v>5.5127492</v>
      </c>
      <c r="N454" s="1">
        <v>278.07818603999999</v>
      </c>
    </row>
    <row r="455" spans="9:14" ht="12.75" customHeight="1" x14ac:dyDescent="0.25">
      <c r="I455" s="1" t="s">
        <v>46</v>
      </c>
      <c r="J455" s="1">
        <v>5229.7402343800004</v>
      </c>
      <c r="K455" s="1">
        <v>5.1492490799999997</v>
      </c>
      <c r="L455" s="1">
        <v>5610.1499023400002</v>
      </c>
      <c r="M455" s="1">
        <v>4.4225234999999996</v>
      </c>
      <c r="N455" s="1">
        <v>201.39982605</v>
      </c>
    </row>
    <row r="456" spans="9:14" ht="12.75" customHeight="1" x14ac:dyDescent="0.25">
      <c r="I456" s="1" t="s">
        <v>46</v>
      </c>
      <c r="J456" s="1">
        <v>5959.3598632800004</v>
      </c>
      <c r="K456" s="1">
        <v>5.0565557500000002</v>
      </c>
      <c r="L456" s="1">
        <v>6094.9702148400002</v>
      </c>
      <c r="M456" s="1">
        <v>2.8070273399999999</v>
      </c>
      <c r="N456" s="1">
        <v>215.82496642999999</v>
      </c>
    </row>
    <row r="457" spans="9:14" ht="12.75" customHeight="1" x14ac:dyDescent="0.25">
      <c r="I457" s="1" t="s">
        <v>46</v>
      </c>
      <c r="J457" s="1">
        <v>6620.5800781199996</v>
      </c>
      <c r="K457" s="1">
        <v>4.5525093099999996</v>
      </c>
      <c r="L457" s="1">
        <v>6883.3901367199996</v>
      </c>
      <c r="M457" s="1">
        <v>4.3638296099999998</v>
      </c>
      <c r="N457" s="1">
        <v>394.04891967999998</v>
      </c>
    </row>
    <row r="458" spans="9:14" ht="12.75" customHeight="1" x14ac:dyDescent="0.25">
      <c r="I458" s="1" t="s">
        <v>46</v>
      </c>
      <c r="J458" s="1">
        <v>7361</v>
      </c>
      <c r="K458" s="1">
        <v>3.3203856900000002</v>
      </c>
      <c r="L458" s="1">
        <v>7715.0097656199996</v>
      </c>
      <c r="M458" s="1">
        <v>4.4732484799999996</v>
      </c>
      <c r="N458" s="1">
        <v>624.05084228999999</v>
      </c>
    </row>
    <row r="459" spans="9:14" ht="12.75" customHeight="1" x14ac:dyDescent="0.25">
      <c r="I459" s="1" t="s">
        <v>46</v>
      </c>
      <c r="J459" s="1">
        <v>8103.8198242199996</v>
      </c>
      <c r="K459" s="1">
        <v>3.6839609100000001</v>
      </c>
      <c r="L459" s="1">
        <v>8408.6298828100007</v>
      </c>
      <c r="M459" s="1">
        <v>4.6799359300000001</v>
      </c>
      <c r="N459" s="1">
        <v>358.77767943999999</v>
      </c>
    </row>
    <row r="460" spans="9:14" ht="12.75" customHeight="1" x14ac:dyDescent="0.25">
      <c r="I460" s="1" t="s">
        <v>46</v>
      </c>
      <c r="J460" s="1">
        <v>8838.2402343800004</v>
      </c>
      <c r="K460" s="1">
        <v>3.6549379800000001</v>
      </c>
      <c r="L460" s="1">
        <v>9222.25</v>
      </c>
      <c r="M460" s="1">
        <v>5.4428706199999999</v>
      </c>
      <c r="N460" s="1">
        <v>1183.3208007799999</v>
      </c>
    </row>
    <row r="461" spans="9:14" ht="12.75" customHeight="1" x14ac:dyDescent="0.25">
      <c r="I461" s="1" t="s">
        <v>46</v>
      </c>
      <c r="J461" s="1">
        <v>9551.0595703100007</v>
      </c>
      <c r="K461" s="1">
        <v>5.5405387900000003</v>
      </c>
      <c r="L461" s="1">
        <v>9927.8701171899993</v>
      </c>
      <c r="M461" s="1">
        <v>3.8269424399999998</v>
      </c>
      <c r="N461" s="1">
        <v>1739.5588378899999</v>
      </c>
    </row>
    <row r="462" spans="9:14" ht="12.75" customHeight="1" x14ac:dyDescent="0.25">
      <c r="I462" s="1" t="s">
        <v>46</v>
      </c>
      <c r="J462" s="2">
        <v>10298.700199999999</v>
      </c>
      <c r="K462" s="1">
        <v>3.5412938600000001</v>
      </c>
      <c r="L462" s="2">
        <v>10722.299800000001</v>
      </c>
      <c r="M462" s="1">
        <v>5.1098999999999997</v>
      </c>
      <c r="N462" s="1">
        <v>7564.20703125</v>
      </c>
    </row>
    <row r="463" spans="9:14" ht="12.75" customHeight="1" x14ac:dyDescent="0.25">
      <c r="I463" s="1" t="s">
        <v>46</v>
      </c>
      <c r="J463" s="2">
        <v>11049.9004</v>
      </c>
      <c r="K463" s="1">
        <v>4.2174973500000004</v>
      </c>
      <c r="L463" s="2">
        <v>11423.0996</v>
      </c>
      <c r="M463" s="1">
        <v>5.4742712999999998</v>
      </c>
      <c r="N463" s="2">
        <v>17276.919900000001</v>
      </c>
    </row>
    <row r="464" spans="9:14" ht="12.75" customHeight="1" x14ac:dyDescent="0.25"/>
    <row r="465" spans="9:14" ht="12.75" customHeight="1" x14ac:dyDescent="0.25">
      <c r="I465" s="1" t="s">
        <v>17</v>
      </c>
    </row>
    <row r="466" spans="9:14" ht="12.75" customHeight="1" x14ac:dyDescent="0.25">
      <c r="I466" s="1" t="s">
        <v>0</v>
      </c>
      <c r="J466" s="1" t="s">
        <v>1</v>
      </c>
      <c r="K466" s="1" t="s">
        <v>2</v>
      </c>
      <c r="L466" s="1" t="s">
        <v>3</v>
      </c>
      <c r="M466" s="1" t="s">
        <v>4</v>
      </c>
      <c r="N466" s="1" t="s">
        <v>5</v>
      </c>
    </row>
    <row r="467" spans="9:14" ht="12.75" customHeight="1" x14ac:dyDescent="0.25">
      <c r="I467" s="1" t="s">
        <v>47</v>
      </c>
      <c r="J467" s="1">
        <v>795.62200928000004</v>
      </c>
      <c r="K467" s="1">
        <v>1.07604444</v>
      </c>
      <c r="L467" s="1">
        <v>1077.6300048799999</v>
      </c>
      <c r="M467" s="1">
        <v>1.6344088299999999</v>
      </c>
      <c r="N467" s="1">
        <v>1957.4024658200001</v>
      </c>
    </row>
    <row r="468" spans="9:14" ht="12.75" customHeight="1" x14ac:dyDescent="0.25">
      <c r="I468" s="1" t="s">
        <v>47</v>
      </c>
      <c r="J468" s="1">
        <v>1533.64001465</v>
      </c>
      <c r="K468" s="1">
        <v>0.46737579000000001</v>
      </c>
      <c r="L468" s="1">
        <v>1815.65002441</v>
      </c>
      <c r="M468" s="1">
        <v>1.9750415100000001</v>
      </c>
      <c r="N468" s="1">
        <v>1930.1274414100001</v>
      </c>
    </row>
    <row r="469" spans="9:14" ht="12.75" customHeight="1" x14ac:dyDescent="0.25">
      <c r="I469" s="1" t="s">
        <v>47</v>
      </c>
      <c r="J469" s="1">
        <v>2271.6599121099998</v>
      </c>
      <c r="K469" s="1">
        <v>0.97703004000000004</v>
      </c>
      <c r="L469" s="1">
        <v>2572.8701171900002</v>
      </c>
      <c r="M469" s="1">
        <v>1.19267762</v>
      </c>
      <c r="N469" s="1">
        <v>1905.1837158200001</v>
      </c>
    </row>
    <row r="470" spans="9:14" ht="12.75" customHeight="1" x14ac:dyDescent="0.25">
      <c r="I470" s="1" t="s">
        <v>47</v>
      </c>
      <c r="J470" s="1">
        <v>3008.4799804700001</v>
      </c>
      <c r="K470" s="1">
        <v>1.2338197200000001</v>
      </c>
      <c r="L470" s="1">
        <v>3579.6999511700001</v>
      </c>
      <c r="M470" s="1">
        <v>1.8544597599999999</v>
      </c>
      <c r="N470" s="2">
        <v>250897.5</v>
      </c>
    </row>
    <row r="471" spans="9:14" ht="12.75" customHeight="1" x14ac:dyDescent="0.25">
      <c r="I471" s="1" t="s">
        <v>47</v>
      </c>
      <c r="J471" s="1">
        <v>3740.5</v>
      </c>
      <c r="K471" s="1">
        <v>0.67146236000000004</v>
      </c>
      <c r="L471" s="1">
        <v>4102.91015625</v>
      </c>
      <c r="M471" s="1">
        <v>2.5274367299999998</v>
      </c>
      <c r="N471" s="2">
        <v>12750.352500000001</v>
      </c>
    </row>
    <row r="472" spans="9:14" ht="12.75" customHeight="1" x14ac:dyDescent="0.25">
      <c r="I472" s="1" t="s">
        <v>47</v>
      </c>
      <c r="J472" s="1">
        <v>4484.5200195300004</v>
      </c>
      <c r="K472" s="1">
        <v>2.4651861199999998</v>
      </c>
      <c r="L472" s="1">
        <v>4866.1298828099998</v>
      </c>
      <c r="M472" s="1">
        <v>2.3318185800000002</v>
      </c>
      <c r="N472" s="2">
        <v>15675.330099999999</v>
      </c>
    </row>
    <row r="473" spans="9:14" ht="12.75" customHeight="1" x14ac:dyDescent="0.25">
      <c r="I473" s="1" t="s">
        <v>47</v>
      </c>
      <c r="J473" s="1">
        <v>5224.9399414099998</v>
      </c>
      <c r="K473" s="1">
        <v>2.1694889100000001</v>
      </c>
      <c r="L473" s="1">
        <v>5602.9501953099998</v>
      </c>
      <c r="M473" s="1">
        <v>2.8460052</v>
      </c>
      <c r="N473" s="2">
        <v>12837.2207</v>
      </c>
    </row>
    <row r="474" spans="9:14" ht="12.75" customHeight="1" x14ac:dyDescent="0.25">
      <c r="I474" s="1" t="s">
        <v>47</v>
      </c>
      <c r="J474" s="1">
        <v>6626.5800781199996</v>
      </c>
      <c r="K474" s="1">
        <v>0.84468960999999998</v>
      </c>
      <c r="L474" s="1">
        <v>6903.7900390599998</v>
      </c>
      <c r="M474" s="1">
        <v>2.9091651399999998</v>
      </c>
      <c r="N474" s="1">
        <v>4565.7709960900002</v>
      </c>
    </row>
    <row r="475" spans="9:14" ht="12.75" customHeight="1" x14ac:dyDescent="0.25">
      <c r="I475" s="1" t="s">
        <v>47</v>
      </c>
      <c r="J475" s="1">
        <v>7365.7998046900002</v>
      </c>
      <c r="K475" s="1">
        <v>0.99990714000000003</v>
      </c>
      <c r="L475" s="1">
        <v>7676.6098632800004</v>
      </c>
      <c r="M475" s="1">
        <v>2.8184390100000001</v>
      </c>
      <c r="N475" s="1">
        <v>3208.1169433599998</v>
      </c>
    </row>
    <row r="476" spans="9:14" ht="12.75" customHeight="1" x14ac:dyDescent="0.25">
      <c r="I476" s="1" t="s">
        <v>47</v>
      </c>
      <c r="J476" s="1">
        <v>8106.2202148400002</v>
      </c>
      <c r="K476" s="1">
        <v>1.41488612</v>
      </c>
      <c r="L476" s="1">
        <v>8365.4296875</v>
      </c>
      <c r="M476" s="1">
        <v>2.6593303700000002</v>
      </c>
      <c r="N476" s="1">
        <v>2695.0961914099998</v>
      </c>
    </row>
    <row r="477" spans="9:14" ht="12.75" customHeight="1" x14ac:dyDescent="0.25">
      <c r="I477" s="1" t="s">
        <v>47</v>
      </c>
      <c r="J477" s="1">
        <v>8840.6396484399993</v>
      </c>
      <c r="K477" s="1">
        <v>1.0825969</v>
      </c>
      <c r="L477" s="1">
        <v>9120.25</v>
      </c>
      <c r="M477" s="1">
        <v>0.92286402000000001</v>
      </c>
      <c r="N477" s="1">
        <v>-2.4391703599999999</v>
      </c>
    </row>
    <row r="478" spans="9:14" ht="12.75" customHeight="1" x14ac:dyDescent="0.25">
      <c r="I478" s="1" t="s">
        <v>47</v>
      </c>
      <c r="J478" s="1">
        <v>9572.66015625</v>
      </c>
      <c r="K478" s="1">
        <v>0.89756899999999995</v>
      </c>
      <c r="L478" s="1">
        <v>9882.26953125</v>
      </c>
      <c r="M478" s="1">
        <v>1.14351749</v>
      </c>
      <c r="N478" s="1">
        <v>46.832580569999998</v>
      </c>
    </row>
    <row r="479" spans="9:14" ht="12.75" customHeight="1" x14ac:dyDescent="0.25">
      <c r="I479" s="1" t="s">
        <v>47</v>
      </c>
      <c r="J479" s="2">
        <v>10307.0996</v>
      </c>
      <c r="K479" s="1">
        <v>0.81979769000000002</v>
      </c>
      <c r="L479" s="2">
        <v>10662.299800000001</v>
      </c>
      <c r="M479" s="1">
        <v>0.73472862999999999</v>
      </c>
      <c r="N479" s="1">
        <v>274.55261230000002</v>
      </c>
    </row>
    <row r="480" spans="9:14" ht="12.75" customHeight="1" x14ac:dyDescent="0.25">
      <c r="I480" s="1" t="s">
        <v>47</v>
      </c>
      <c r="J480" s="2">
        <v>11051.0996</v>
      </c>
      <c r="K480" s="1">
        <v>1.22090232</v>
      </c>
      <c r="L480" s="2">
        <v>11531.0996</v>
      </c>
      <c r="M480" s="1">
        <v>2.7617557000000001</v>
      </c>
      <c r="N480" s="2">
        <v>269357.03100000002</v>
      </c>
    </row>
    <row r="481" spans="1:14" ht="12.75" customHeight="1" x14ac:dyDescent="0.25"/>
    <row r="482" spans="1:14" ht="12.75" customHeight="1" x14ac:dyDescent="0.25">
      <c r="A482" s="1" t="s">
        <v>48</v>
      </c>
      <c r="I482" s="1" t="s">
        <v>39</v>
      </c>
    </row>
    <row r="483" spans="1:14" ht="12.75" customHeight="1" x14ac:dyDescent="0.25">
      <c r="I483" s="1" t="s">
        <v>0</v>
      </c>
      <c r="J483" s="1" t="s">
        <v>1</v>
      </c>
      <c r="K483" s="1" t="s">
        <v>2</v>
      </c>
      <c r="L483" s="1" t="s">
        <v>3</v>
      </c>
      <c r="M483" s="1" t="s">
        <v>4</v>
      </c>
      <c r="N483" s="1" t="s">
        <v>5</v>
      </c>
    </row>
    <row r="484" spans="1:14" ht="12.75" customHeight="1" x14ac:dyDescent="0.25">
      <c r="I484" s="1" t="s">
        <v>49</v>
      </c>
      <c r="J484" s="1">
        <v>1183.2299804700001</v>
      </c>
      <c r="K484" s="1">
        <v>1.8364304300000001</v>
      </c>
      <c r="L484" s="1">
        <v>1830.0500488299999</v>
      </c>
      <c r="M484" s="1">
        <v>1.5278727999999999</v>
      </c>
      <c r="N484" s="1">
        <v>1910.85217285</v>
      </c>
    </row>
    <row r="485" spans="1:14" ht="12.75" customHeight="1" x14ac:dyDescent="0.25">
      <c r="I485" s="1" t="s">
        <v>49</v>
      </c>
      <c r="J485" s="1">
        <v>1933.25</v>
      </c>
      <c r="K485" s="1">
        <v>1.4661520699999999</v>
      </c>
      <c r="L485" s="1">
        <v>2370.0600585900002</v>
      </c>
      <c r="M485" s="1">
        <v>1.74862099</v>
      </c>
      <c r="N485" s="1">
        <v>4407.95703125</v>
      </c>
    </row>
    <row r="486" spans="1:14" ht="12.75" customHeight="1" x14ac:dyDescent="0.25">
      <c r="I486" s="1" t="s">
        <v>49</v>
      </c>
      <c r="J486" s="1">
        <v>2684.4699707</v>
      </c>
      <c r="K486" s="1">
        <v>2.7157015800000002</v>
      </c>
      <c r="L486" s="1">
        <v>3115.2900390599998</v>
      </c>
      <c r="M486" s="1">
        <v>1.03004289</v>
      </c>
      <c r="N486" s="1">
        <v>3918.2309570299999</v>
      </c>
    </row>
    <row r="487" spans="1:14" ht="12.75" customHeight="1" x14ac:dyDescent="0.25">
      <c r="I487" s="1" t="s">
        <v>49</v>
      </c>
      <c r="J487" s="1">
        <v>3424.8898925799999</v>
      </c>
      <c r="K487" s="1">
        <v>2.0955441000000001</v>
      </c>
      <c r="L487" s="1">
        <v>3820.8999023400002</v>
      </c>
      <c r="M487" s="1">
        <v>2.11555648</v>
      </c>
      <c r="N487" s="1">
        <v>3914.8830566400002</v>
      </c>
    </row>
    <row r="488" spans="1:14" ht="12.75" customHeight="1" x14ac:dyDescent="0.25">
      <c r="I488" s="1" t="s">
        <v>49</v>
      </c>
      <c r="J488" s="1">
        <v>4146.1098632800004</v>
      </c>
      <c r="K488" s="1">
        <v>1.99188316</v>
      </c>
      <c r="L488" s="1">
        <v>4587.7299804699996</v>
      </c>
      <c r="M488" s="1">
        <v>2.4053657099999999</v>
      </c>
      <c r="N488" s="1">
        <v>9281.5761718800004</v>
      </c>
    </row>
    <row r="489" spans="1:14" ht="12.75" customHeight="1" x14ac:dyDescent="0.25">
      <c r="I489" s="1" t="s">
        <v>49</v>
      </c>
      <c r="J489" s="1">
        <v>4887.7299804699996</v>
      </c>
      <c r="K489" s="1">
        <v>2.6848070599999998</v>
      </c>
      <c r="L489" s="1">
        <v>5436.1499023400002</v>
      </c>
      <c r="M489" s="1">
        <v>1.95650458</v>
      </c>
      <c r="N489" s="1">
        <v>8141.8784179699996</v>
      </c>
    </row>
    <row r="490" spans="1:14" ht="12.75" customHeight="1" x14ac:dyDescent="0.25">
      <c r="I490" s="1" t="s">
        <v>49</v>
      </c>
      <c r="J490" s="1">
        <v>5632.9501953099998</v>
      </c>
      <c r="K490" s="1">
        <v>2.0971524700000002</v>
      </c>
      <c r="L490" s="1">
        <v>6169.3701171900002</v>
      </c>
      <c r="M490" s="1">
        <v>2.29809785</v>
      </c>
      <c r="N490" s="1">
        <v>6893.91015625</v>
      </c>
    </row>
    <row r="491" spans="1:14" ht="12.75" customHeight="1" x14ac:dyDescent="0.25"/>
    <row r="492" spans="1:14" ht="12.75" customHeight="1" x14ac:dyDescent="0.25">
      <c r="I492" s="1" t="s">
        <v>10</v>
      </c>
    </row>
    <row r="493" spans="1:14" ht="12.75" customHeight="1" x14ac:dyDescent="0.25">
      <c r="I493" s="1" t="s">
        <v>0</v>
      </c>
      <c r="J493" s="1" t="s">
        <v>1</v>
      </c>
      <c r="K493" s="1" t="s">
        <v>2</v>
      </c>
      <c r="L493" s="1" t="s">
        <v>3</v>
      </c>
      <c r="M493" s="1" t="s">
        <v>4</v>
      </c>
      <c r="N493" s="1" t="s">
        <v>5</v>
      </c>
    </row>
    <row r="494" spans="1:14" ht="12.75" customHeight="1" x14ac:dyDescent="0.25">
      <c r="I494" s="1" t="s">
        <v>50</v>
      </c>
      <c r="J494" s="1">
        <v>1212.0300293</v>
      </c>
      <c r="K494" s="1">
        <v>1.2143562999999999</v>
      </c>
      <c r="L494" s="1">
        <v>1556.4399414100001</v>
      </c>
      <c r="M494" s="1">
        <v>0.76000816000000004</v>
      </c>
      <c r="N494" s="1">
        <v>1241.3602294899999</v>
      </c>
    </row>
    <row r="495" spans="1:14" ht="12.75" customHeight="1" x14ac:dyDescent="0.25">
      <c r="I495" s="1" t="s">
        <v>50</v>
      </c>
      <c r="J495" s="1">
        <v>1941.65002441</v>
      </c>
      <c r="K495" s="1">
        <v>0.92176091999999998</v>
      </c>
      <c r="L495" s="1">
        <v>2266.8601074200001</v>
      </c>
      <c r="M495" s="1">
        <v>0.66761744000000001</v>
      </c>
      <c r="N495" s="1">
        <v>297.25689697000001</v>
      </c>
    </row>
    <row r="496" spans="1:14" ht="12.75" customHeight="1" x14ac:dyDescent="0.25">
      <c r="I496" s="1" t="s">
        <v>50</v>
      </c>
      <c r="J496" s="1">
        <v>2682.0700683599998</v>
      </c>
      <c r="K496" s="1">
        <v>0.67234373000000003</v>
      </c>
      <c r="L496" s="1">
        <v>3015.6799316400002</v>
      </c>
      <c r="M496" s="1">
        <v>1.2494554499999999</v>
      </c>
      <c r="N496" s="1">
        <v>211.22009277000001</v>
      </c>
    </row>
    <row r="497" spans="9:14" ht="12.75" customHeight="1" x14ac:dyDescent="0.25">
      <c r="I497" s="1" t="s">
        <v>50</v>
      </c>
      <c r="J497" s="1">
        <v>3432.0900878900002</v>
      </c>
      <c r="K497" s="1">
        <v>1.16637266</v>
      </c>
      <c r="L497" s="1">
        <v>3760.8999023400002</v>
      </c>
      <c r="M497" s="1">
        <v>0.66069405999999997</v>
      </c>
      <c r="N497" s="1">
        <v>261.77276611000002</v>
      </c>
    </row>
    <row r="498" spans="9:14" ht="12.75" customHeight="1" x14ac:dyDescent="0.25">
      <c r="I498" s="1" t="s">
        <v>50</v>
      </c>
      <c r="J498" s="1">
        <v>4154.5097656199996</v>
      </c>
      <c r="K498" s="1">
        <v>0.83408146999999999</v>
      </c>
      <c r="L498" s="1">
        <v>4550.5200195300004</v>
      </c>
      <c r="M498" s="1">
        <v>0.99838411999999999</v>
      </c>
      <c r="N498" s="1">
        <v>403.50219727000001</v>
      </c>
    </row>
    <row r="499" spans="9:14" ht="12.75" customHeight="1" x14ac:dyDescent="0.25">
      <c r="I499" s="1" t="s">
        <v>50</v>
      </c>
      <c r="J499" s="1">
        <v>4893.7299804699996</v>
      </c>
      <c r="K499" s="1">
        <v>0.81970173000000002</v>
      </c>
      <c r="L499" s="1">
        <v>5248.9399414099998</v>
      </c>
      <c r="M499" s="1">
        <v>0.66338598999999998</v>
      </c>
      <c r="N499" s="1">
        <v>428.73040771000001</v>
      </c>
    </row>
    <row r="500" spans="9:14" ht="12.75" customHeight="1" x14ac:dyDescent="0.25">
      <c r="I500" s="1" t="s">
        <v>50</v>
      </c>
      <c r="J500" s="1">
        <v>5625.75</v>
      </c>
      <c r="K500" s="1">
        <v>0.82681446999999997</v>
      </c>
      <c r="L500" s="1">
        <v>6070.9702148400002</v>
      </c>
      <c r="M500" s="1">
        <v>1.15436268</v>
      </c>
      <c r="N500" s="1">
        <v>286.20910644999998</v>
      </c>
    </row>
    <row r="501" spans="9:14" ht="12.75" customHeight="1" x14ac:dyDescent="0.25"/>
    <row r="502" spans="9:14" ht="12.75" customHeight="1" x14ac:dyDescent="0.25">
      <c r="I502" s="1" t="s">
        <v>12</v>
      </c>
    </row>
    <row r="503" spans="9:14" ht="12.75" customHeight="1" x14ac:dyDescent="0.25">
      <c r="I503" s="1" t="s">
        <v>0</v>
      </c>
      <c r="J503" s="1" t="s">
        <v>1</v>
      </c>
      <c r="K503" s="1" t="s">
        <v>2</v>
      </c>
      <c r="L503" s="1" t="s">
        <v>3</v>
      </c>
      <c r="M503" s="1" t="s">
        <v>4</v>
      </c>
      <c r="N503" s="1" t="s">
        <v>5</v>
      </c>
    </row>
    <row r="504" spans="9:14" ht="12.75" customHeight="1" x14ac:dyDescent="0.25">
      <c r="I504" s="1" t="s">
        <v>51</v>
      </c>
      <c r="J504" s="1">
        <v>1212.0300293</v>
      </c>
      <c r="K504" s="1">
        <v>4.1747508</v>
      </c>
      <c r="L504" s="1">
        <v>1765.25</v>
      </c>
      <c r="M504" s="1">
        <v>2.7965099800000002</v>
      </c>
      <c r="N504" s="2">
        <v>16086.3213</v>
      </c>
    </row>
    <row r="505" spans="9:14" ht="12.75" customHeight="1" x14ac:dyDescent="0.25">
      <c r="I505" s="1" t="s">
        <v>51</v>
      </c>
      <c r="J505" s="1">
        <v>1950.0500488299999</v>
      </c>
      <c r="K505" s="1">
        <v>2.6060700400000001</v>
      </c>
      <c r="L505" s="1">
        <v>2352.0600585900002</v>
      </c>
      <c r="M505" s="1">
        <v>3.6005370600000002</v>
      </c>
      <c r="N505" s="1">
        <v>856.55627441000001</v>
      </c>
    </row>
    <row r="506" spans="9:14" ht="12.75" customHeight="1" x14ac:dyDescent="0.25">
      <c r="I506" s="1" t="s">
        <v>51</v>
      </c>
      <c r="J506" s="1">
        <v>2678.4699707</v>
      </c>
      <c r="K506" s="1">
        <v>3.1008932599999999</v>
      </c>
      <c r="L506" s="1">
        <v>2956.8798828099998</v>
      </c>
      <c r="M506" s="1">
        <v>2.5841329100000001</v>
      </c>
      <c r="N506" s="1">
        <v>716.48651123000002</v>
      </c>
    </row>
    <row r="507" spans="9:14" ht="12.75" customHeight="1" x14ac:dyDescent="0.25">
      <c r="I507" s="1" t="s">
        <v>51</v>
      </c>
      <c r="J507" s="1">
        <v>3426.0900878900002</v>
      </c>
      <c r="K507" s="1">
        <v>3.9714872799999998</v>
      </c>
      <c r="L507" s="1">
        <v>3708.1000976599998</v>
      </c>
      <c r="M507" s="1">
        <v>3.2345476199999998</v>
      </c>
      <c r="N507" s="1">
        <v>438.78863525000003</v>
      </c>
    </row>
    <row r="508" spans="9:14" ht="12.75" customHeight="1" x14ac:dyDescent="0.25">
      <c r="I508" s="1" t="s">
        <v>51</v>
      </c>
      <c r="J508" s="1">
        <v>4154.5097656199996</v>
      </c>
      <c r="K508" s="1">
        <v>3.0667424200000002</v>
      </c>
      <c r="L508" s="1">
        <v>4525.3198242199996</v>
      </c>
      <c r="M508" s="1">
        <v>2.8206179100000002</v>
      </c>
      <c r="N508" s="1">
        <v>1055.17700195</v>
      </c>
    </row>
    <row r="509" spans="9:14" ht="12.75" customHeight="1" x14ac:dyDescent="0.25">
      <c r="I509" s="1" t="s">
        <v>51</v>
      </c>
      <c r="J509" s="1">
        <v>4897.3300781199996</v>
      </c>
      <c r="K509" s="1">
        <v>3.4700486700000002</v>
      </c>
      <c r="L509" s="1">
        <v>5254.9399414099998</v>
      </c>
      <c r="M509" s="1">
        <v>3.5148489500000002</v>
      </c>
      <c r="N509" s="1">
        <v>647.57611083999996</v>
      </c>
    </row>
    <row r="510" spans="9:14" ht="12.75" customHeight="1" x14ac:dyDescent="0.25">
      <c r="I510" s="1" t="s">
        <v>51</v>
      </c>
      <c r="J510" s="1">
        <v>5634.1499023400002</v>
      </c>
      <c r="K510" s="1">
        <v>3.2882020500000002</v>
      </c>
      <c r="L510" s="1">
        <v>6085.3701171900002</v>
      </c>
      <c r="M510" s="1">
        <v>3.6953353899999999</v>
      </c>
      <c r="N510" s="1">
        <v>702.35540771000001</v>
      </c>
    </row>
    <row r="511" spans="9:14" ht="12.75" customHeight="1" x14ac:dyDescent="0.25"/>
    <row r="512" spans="9:14" ht="12.75" customHeight="1" x14ac:dyDescent="0.25">
      <c r="I512" s="1" t="s">
        <v>17</v>
      </c>
    </row>
    <row r="513" spans="1:29" ht="12.75" customHeight="1" x14ac:dyDescent="0.25">
      <c r="I513" s="1" t="s">
        <v>0</v>
      </c>
      <c r="J513" s="1" t="s">
        <v>1</v>
      </c>
      <c r="K513" s="1" t="s">
        <v>2</v>
      </c>
      <c r="L513" s="1" t="s">
        <v>3</v>
      </c>
      <c r="M513" s="1" t="s">
        <v>4</v>
      </c>
      <c r="N513" s="1" t="s">
        <v>5</v>
      </c>
    </row>
    <row r="514" spans="1:29" ht="12.75" customHeight="1" x14ac:dyDescent="0.25">
      <c r="I514" s="1" t="s">
        <v>52</v>
      </c>
      <c r="J514" s="1">
        <v>1209.6300048799999</v>
      </c>
      <c r="K514" s="1">
        <v>0.68466031999999999</v>
      </c>
      <c r="L514" s="1">
        <v>1899.65002441</v>
      </c>
      <c r="M514" s="1">
        <v>1.1082209300000001</v>
      </c>
      <c r="N514" s="2">
        <v>243320.891</v>
      </c>
    </row>
    <row r="515" spans="1:29" ht="12.75" customHeight="1" x14ac:dyDescent="0.25">
      <c r="I515" s="1" t="s">
        <v>52</v>
      </c>
      <c r="J515" s="1">
        <v>1947.65002441</v>
      </c>
      <c r="K515" s="1">
        <v>0.84114431999999995</v>
      </c>
      <c r="L515" s="1">
        <v>2542.8701171900002</v>
      </c>
      <c r="M515" s="1">
        <v>1.09860563</v>
      </c>
      <c r="N515" s="1">
        <v>841.54376220999995</v>
      </c>
    </row>
    <row r="516" spans="1:29" ht="12.75" customHeight="1" x14ac:dyDescent="0.25">
      <c r="I516" s="1" t="s">
        <v>52</v>
      </c>
      <c r="J516" s="1">
        <v>2689.2700195299999</v>
      </c>
      <c r="K516" s="1">
        <v>1.3389374000000001</v>
      </c>
      <c r="L516" s="1">
        <v>3219.6899414099998</v>
      </c>
      <c r="M516" s="1">
        <v>1.0758805300000001</v>
      </c>
      <c r="N516" s="1">
        <v>806.17413329999999</v>
      </c>
    </row>
    <row r="517" spans="1:29" ht="12.75" customHeight="1" x14ac:dyDescent="0.25">
      <c r="I517" s="1" t="s">
        <v>52</v>
      </c>
      <c r="J517" s="1">
        <v>3427.2900390599998</v>
      </c>
      <c r="K517" s="1">
        <v>0.91429793999999998</v>
      </c>
      <c r="L517" s="1">
        <v>3926.5100097700001</v>
      </c>
      <c r="M517" s="1">
        <v>0.48690706</v>
      </c>
      <c r="N517" s="1">
        <v>1246.4553222699999</v>
      </c>
    </row>
    <row r="518" spans="1:29" ht="12.75" customHeight="1" x14ac:dyDescent="0.25">
      <c r="I518" s="1" t="s">
        <v>52</v>
      </c>
      <c r="J518" s="1">
        <v>4134.1098632800004</v>
      </c>
      <c r="K518" s="1">
        <v>0.58212131</v>
      </c>
      <c r="L518" s="1">
        <v>4759.3300781199996</v>
      </c>
      <c r="M518" s="1">
        <v>1.2421183600000001</v>
      </c>
      <c r="N518" s="1">
        <v>8916.0527343800004</v>
      </c>
    </row>
    <row r="519" spans="1:29" ht="12.75" customHeight="1" x14ac:dyDescent="0.25">
      <c r="I519" s="1" t="s">
        <v>52</v>
      </c>
      <c r="J519" s="1">
        <v>4885.3300781199996</v>
      </c>
      <c r="K519" s="1">
        <v>0.91564148999999995</v>
      </c>
      <c r="L519" s="1">
        <v>5481.75</v>
      </c>
      <c r="M519" s="1">
        <v>0.80586928000000002</v>
      </c>
      <c r="N519" s="1">
        <v>9070.80859375</v>
      </c>
    </row>
    <row r="520" spans="1:29" ht="12.75" customHeight="1" x14ac:dyDescent="0.25">
      <c r="I520" s="1" t="s">
        <v>52</v>
      </c>
      <c r="J520" s="1">
        <v>5640.1499023400002</v>
      </c>
      <c r="K520" s="1">
        <v>1.66606236</v>
      </c>
      <c r="L520" s="1">
        <v>6223.3701171900002</v>
      </c>
      <c r="M520" s="1">
        <v>0.83106601000000002</v>
      </c>
      <c r="N520" s="1">
        <v>8841.6005859399993</v>
      </c>
    </row>
    <row r="521" spans="1:29" ht="12.75" customHeight="1" x14ac:dyDescent="0.25"/>
    <row r="522" spans="1:29" ht="12.75" customHeight="1" x14ac:dyDescent="0.25">
      <c r="A522" s="1" t="s">
        <v>53</v>
      </c>
      <c r="I522" s="1" t="s">
        <v>54</v>
      </c>
    </row>
    <row r="523" spans="1:29" ht="12.75" customHeight="1" x14ac:dyDescent="0.25">
      <c r="I523" s="1" t="s">
        <v>0</v>
      </c>
      <c r="J523" s="1" t="s">
        <v>1</v>
      </c>
      <c r="K523" s="1" t="s">
        <v>2</v>
      </c>
      <c r="L523" s="1" t="s">
        <v>3</v>
      </c>
      <c r="M523" s="1" t="s">
        <v>4</v>
      </c>
      <c r="N523" s="1" t="s">
        <v>5</v>
      </c>
      <c r="Q523" s="1" t="s">
        <v>55</v>
      </c>
      <c r="R523" s="1" t="s">
        <v>56</v>
      </c>
      <c r="S523" s="1" t="s">
        <v>57</v>
      </c>
      <c r="T523" s="1" t="s">
        <v>58</v>
      </c>
      <c r="U523" s="1" t="s">
        <v>59</v>
      </c>
      <c r="V523" s="1" t="s">
        <v>60</v>
      </c>
      <c r="W523" s="24" t="s">
        <v>61</v>
      </c>
      <c r="X523" s="1" t="s">
        <v>62</v>
      </c>
      <c r="Y523" s="24" t="s">
        <v>63</v>
      </c>
      <c r="Z523" s="24" t="s">
        <v>39</v>
      </c>
      <c r="AA523" s="24" t="s">
        <v>10</v>
      </c>
      <c r="AB523" s="24" t="s">
        <v>12</v>
      </c>
      <c r="AC523" s="24" t="s">
        <v>17</v>
      </c>
    </row>
    <row r="524" spans="1:29" ht="12.75" customHeight="1" x14ac:dyDescent="0.25">
      <c r="I524" s="1" t="s">
        <v>64</v>
      </c>
      <c r="J524" s="1">
        <v>640.81799316000001</v>
      </c>
      <c r="K524" s="1">
        <v>1.86896014</v>
      </c>
      <c r="L524" s="1">
        <v>1045.2299804700001</v>
      </c>
      <c r="M524" s="1">
        <v>2.5279209599999999</v>
      </c>
      <c r="N524" s="1">
        <v>1434.3979492200001</v>
      </c>
      <c r="Q524" s="1" t="s">
        <v>8</v>
      </c>
      <c r="R524" s="1" t="s">
        <v>65</v>
      </c>
      <c r="S524" s="1">
        <v>25</v>
      </c>
      <c r="T524" s="1" t="s">
        <v>66</v>
      </c>
      <c r="U524" s="1" t="s">
        <v>66</v>
      </c>
      <c r="V524" s="1" t="s">
        <v>67</v>
      </c>
      <c r="W524" s="24" t="s">
        <v>68</v>
      </c>
      <c r="Y524" s="24">
        <v>278.40798949999999</v>
      </c>
      <c r="Z524" s="24">
        <f>F2</f>
        <v>54533.933599999997</v>
      </c>
      <c r="AA524" s="24">
        <f>F11</f>
        <v>1619.0815429700001</v>
      </c>
      <c r="AB524" s="24">
        <f>F18</f>
        <v>2811.8496093799999</v>
      </c>
      <c r="AC524" s="28" t="s">
        <v>69</v>
      </c>
    </row>
    <row r="525" spans="1:29" ht="12.75" customHeight="1" x14ac:dyDescent="0.25">
      <c r="I525" s="1" t="s">
        <v>64</v>
      </c>
      <c r="J525" s="1">
        <v>1378.8399658200001</v>
      </c>
      <c r="K525" s="1">
        <v>2.1925354000000001</v>
      </c>
      <c r="L525" s="1">
        <v>1812.0500488299999</v>
      </c>
      <c r="M525" s="1">
        <v>0.37666184000000003</v>
      </c>
      <c r="N525" s="1">
        <v>6281.58203125</v>
      </c>
      <c r="Q525" s="1" t="s">
        <v>8</v>
      </c>
      <c r="R525" s="1" t="s">
        <v>65</v>
      </c>
      <c r="S525" s="1">
        <v>25</v>
      </c>
      <c r="T525" s="1" t="s">
        <v>66</v>
      </c>
      <c r="U525" s="1" t="s">
        <v>66</v>
      </c>
      <c r="V525" s="1" t="s">
        <v>70</v>
      </c>
      <c r="Y525" s="24">
        <f>B4</f>
        <v>1465.2399902300001</v>
      </c>
      <c r="Z525" s="24">
        <f>F4</f>
        <v>97336.070300000007</v>
      </c>
      <c r="AA525" s="24">
        <f>F13</f>
        <v>2932.3041992200001</v>
      </c>
      <c r="AB525" s="24">
        <f>F20</f>
        <v>4729.4262695300004</v>
      </c>
      <c r="AC525" s="24">
        <f>F28</f>
        <v>218.97242736999999</v>
      </c>
    </row>
    <row r="526" spans="1:29" ht="12.75" customHeight="1" x14ac:dyDescent="0.25">
      <c r="I526" s="1" t="s">
        <v>64</v>
      </c>
      <c r="J526" s="1">
        <v>2116.8601074200001</v>
      </c>
      <c r="K526" s="1">
        <v>1.1669691799999999</v>
      </c>
      <c r="L526" s="1">
        <v>2767.2800293</v>
      </c>
      <c r="M526" s="1">
        <v>1.2967876199999999</v>
      </c>
      <c r="N526" s="2">
        <v>82619.296900000001</v>
      </c>
      <c r="Q526" s="1" t="s">
        <v>8</v>
      </c>
      <c r="R526" s="1" t="s">
        <v>65</v>
      </c>
      <c r="S526" s="1">
        <v>25</v>
      </c>
      <c r="T526" s="1" t="s">
        <v>66</v>
      </c>
      <c r="U526" s="1" t="s">
        <v>66</v>
      </c>
      <c r="V526" s="1" t="s">
        <v>71</v>
      </c>
      <c r="X526" s="1" t="s">
        <v>72</v>
      </c>
      <c r="Y526" s="24">
        <f>B7</f>
        <v>3664.8999023400002</v>
      </c>
      <c r="Z526" s="24">
        <f>F7</f>
        <v>8911.9189453100007</v>
      </c>
      <c r="AA526" s="24">
        <f>F15</f>
        <v>293.10775756999999</v>
      </c>
      <c r="AB526" s="24">
        <f>F24</f>
        <v>365.89547728999997</v>
      </c>
      <c r="AC526" s="24">
        <f>F32</f>
        <v>172.06965636999999</v>
      </c>
    </row>
    <row r="527" spans="1:29" ht="12.75" customHeight="1" x14ac:dyDescent="0.25">
      <c r="I527" s="1" t="s">
        <v>64</v>
      </c>
      <c r="J527" s="1">
        <v>2853.6799316400002</v>
      </c>
      <c r="K527" s="1">
        <v>1.82463157</v>
      </c>
      <c r="L527" s="1">
        <v>3393.6899414099998</v>
      </c>
      <c r="M527" s="1">
        <v>1.10403812</v>
      </c>
      <c r="N527" s="2">
        <v>103598.773</v>
      </c>
      <c r="Q527" s="1" t="s">
        <v>21</v>
      </c>
      <c r="R527" s="1" t="s">
        <v>65</v>
      </c>
      <c r="S527" s="1">
        <v>25</v>
      </c>
      <c r="T527" s="1">
        <v>25</v>
      </c>
      <c r="U527" s="1">
        <v>0</v>
      </c>
      <c r="V527" s="1" t="s">
        <v>67</v>
      </c>
      <c r="W527" s="24" t="s">
        <v>73</v>
      </c>
      <c r="Y527" s="24">
        <f>J36</f>
        <v>1124.43005371</v>
      </c>
      <c r="Z527" s="24">
        <f>N36</f>
        <v>43399.593800000002</v>
      </c>
      <c r="AA527" s="24">
        <f>N51</f>
        <v>43234.023399999998</v>
      </c>
      <c r="AB527" s="24">
        <f>N69</f>
        <v>1343.6296386700001</v>
      </c>
      <c r="AC527" s="24">
        <f>N87</f>
        <v>2248.4362793</v>
      </c>
    </row>
    <row r="528" spans="1:29" ht="12.75" customHeight="1" x14ac:dyDescent="0.25">
      <c r="I528" s="1" t="s">
        <v>64</v>
      </c>
      <c r="J528" s="1">
        <v>3594.1000976599998</v>
      </c>
      <c r="K528" s="2">
        <v>3.7514651199999998E-3</v>
      </c>
      <c r="L528" s="1">
        <v>4111.3100585900002</v>
      </c>
      <c r="M528" s="1">
        <v>-2.6363770999999998</v>
      </c>
      <c r="N528" s="1">
        <v>7444.0449218800004</v>
      </c>
      <c r="Q528" s="1" t="s">
        <v>21</v>
      </c>
      <c r="R528" s="1" t="s">
        <v>65</v>
      </c>
      <c r="S528" s="1">
        <v>25</v>
      </c>
      <c r="T528" s="1">
        <v>25</v>
      </c>
      <c r="U528" s="1">
        <v>0</v>
      </c>
      <c r="V528" s="1" t="s">
        <v>70</v>
      </c>
      <c r="W528" s="24" t="s">
        <v>73</v>
      </c>
      <c r="Y528" s="24">
        <f t="shared" ref="Y528:Y532" si="0">J53</f>
        <v>2599.2700195299999</v>
      </c>
      <c r="Z528" s="24">
        <f t="shared" ref="Z528:Z532" si="1">N53</f>
        <v>93853.679699999993</v>
      </c>
      <c r="AA528" s="24">
        <f t="shared" ref="AA528:AA532" si="2">N71</f>
        <v>2784.6325683599998</v>
      </c>
      <c r="AB528" s="24">
        <f t="shared" ref="AB528:AB532" si="3">N89</f>
        <v>5468.6196289099998</v>
      </c>
      <c r="AC528" s="24">
        <f t="shared" ref="AC528:AC532" si="4">N107</f>
        <v>50389.886700000003</v>
      </c>
    </row>
    <row r="529" spans="9:29" ht="12.75" customHeight="1" x14ac:dyDescent="0.25">
      <c r="I529" s="1" t="s">
        <v>64</v>
      </c>
      <c r="J529" s="1">
        <v>4326.1201171900002</v>
      </c>
      <c r="K529" s="1">
        <v>-0.49971712000000001</v>
      </c>
      <c r="L529" s="1">
        <v>4869.7299804699996</v>
      </c>
      <c r="M529" s="1">
        <v>-0.29764149000000001</v>
      </c>
      <c r="N529" s="2">
        <v>44784.664100000002</v>
      </c>
      <c r="Q529" s="1" t="s">
        <v>21</v>
      </c>
      <c r="R529" s="1" t="s">
        <v>65</v>
      </c>
      <c r="S529" s="1">
        <v>25</v>
      </c>
      <c r="T529" s="1">
        <v>25</v>
      </c>
      <c r="U529" s="1">
        <v>0</v>
      </c>
      <c r="V529" s="1" t="s">
        <v>71</v>
      </c>
      <c r="W529" s="24" t="s">
        <v>73</v>
      </c>
      <c r="Y529" s="24">
        <f t="shared" si="0"/>
        <v>3332.4899902299999</v>
      </c>
      <c r="Z529" s="24">
        <f t="shared" si="1"/>
        <v>35138.656199999998</v>
      </c>
      <c r="AA529" s="24">
        <f t="shared" si="2"/>
        <v>1578.61291504</v>
      </c>
      <c r="AB529" s="24">
        <f t="shared" si="3"/>
        <v>1981.4822998</v>
      </c>
      <c r="AC529" s="24">
        <f t="shared" si="4"/>
        <v>19252.123</v>
      </c>
    </row>
    <row r="530" spans="9:29" ht="12.75" customHeight="1" x14ac:dyDescent="0.25">
      <c r="I530" s="1" t="s">
        <v>64</v>
      </c>
      <c r="J530" s="1">
        <v>5061.7402343800004</v>
      </c>
      <c r="K530" s="1">
        <v>0.23048297000000001</v>
      </c>
      <c r="L530" s="1">
        <v>5564.5498046900002</v>
      </c>
      <c r="M530" s="1">
        <v>-1.0514351099999999</v>
      </c>
      <c r="N530" s="2">
        <v>90958.820300000007</v>
      </c>
      <c r="Q530" s="1" t="s">
        <v>21</v>
      </c>
      <c r="R530" s="1" t="s">
        <v>65</v>
      </c>
      <c r="S530" s="1">
        <v>25</v>
      </c>
      <c r="T530" s="1">
        <v>45</v>
      </c>
      <c r="U530" s="1">
        <v>0</v>
      </c>
      <c r="V530" s="1" t="s">
        <v>67</v>
      </c>
      <c r="W530" s="24" t="s">
        <v>73</v>
      </c>
      <c r="Y530" s="24">
        <f t="shared" si="0"/>
        <v>4082.5100097700001</v>
      </c>
      <c r="Z530" s="24">
        <f t="shared" si="1"/>
        <v>31075.333999999999</v>
      </c>
      <c r="AA530" s="24">
        <f t="shared" si="2"/>
        <v>991.74560546999999</v>
      </c>
      <c r="AB530" s="24">
        <f t="shared" si="3"/>
        <v>1404.10876465</v>
      </c>
      <c r="AC530" s="24">
        <f t="shared" si="4"/>
        <v>7028.6738281199996</v>
      </c>
    </row>
    <row r="531" spans="9:29" ht="12.75" customHeight="1" x14ac:dyDescent="0.25">
      <c r="I531" s="1" t="s">
        <v>64</v>
      </c>
      <c r="J531" s="1">
        <v>5805.7597656199996</v>
      </c>
      <c r="K531" s="1">
        <v>0.68863605999999999</v>
      </c>
      <c r="L531" s="1">
        <v>6693.7797851599998</v>
      </c>
      <c r="M531" s="1">
        <v>10.776853559999999</v>
      </c>
      <c r="N531" s="2">
        <v>844837.625</v>
      </c>
      <c r="Q531" s="1" t="s">
        <v>21</v>
      </c>
      <c r="R531" s="1" t="s">
        <v>65</v>
      </c>
      <c r="S531" s="1">
        <v>25</v>
      </c>
      <c r="T531" s="1">
        <v>45</v>
      </c>
      <c r="U531" s="1">
        <v>0</v>
      </c>
      <c r="V531" s="1" t="s">
        <v>70</v>
      </c>
      <c r="W531" s="24" t="s">
        <v>73</v>
      </c>
      <c r="Y531" s="24">
        <f t="shared" si="0"/>
        <v>5552.5498046900002</v>
      </c>
      <c r="Z531" s="24">
        <f t="shared" si="1"/>
        <v>63243.164100000002</v>
      </c>
      <c r="AA531" s="24">
        <f t="shared" si="2"/>
        <v>1571.1608886700001</v>
      </c>
      <c r="AB531" s="24">
        <f t="shared" si="3"/>
        <v>3467.7548828099998</v>
      </c>
      <c r="AC531" s="24">
        <f t="shared" si="4"/>
        <v>18143.164100000002</v>
      </c>
    </row>
    <row r="532" spans="9:29" ht="12.75" customHeight="1" x14ac:dyDescent="0.25">
      <c r="I532" s="1" t="s">
        <v>64</v>
      </c>
      <c r="J532" s="1">
        <v>6723.7797851599998</v>
      </c>
      <c r="K532" s="1">
        <v>11.581506729999999</v>
      </c>
      <c r="L532" s="1">
        <v>7415</v>
      </c>
      <c r="M532" s="1">
        <v>1.1814676500000001</v>
      </c>
      <c r="N532" s="2">
        <v>1075101.3799999999</v>
      </c>
      <c r="Q532" s="1" t="s">
        <v>21</v>
      </c>
      <c r="R532" s="1" t="s">
        <v>65</v>
      </c>
      <c r="S532" s="1">
        <v>25</v>
      </c>
      <c r="T532" s="1">
        <v>45</v>
      </c>
      <c r="U532" s="1">
        <v>0</v>
      </c>
      <c r="V532" s="1" t="s">
        <v>71</v>
      </c>
      <c r="W532" s="24" t="s">
        <v>73</v>
      </c>
      <c r="Y532" s="24">
        <f t="shared" si="0"/>
        <v>6954.1899414099998</v>
      </c>
      <c r="Z532" s="24">
        <f t="shared" si="1"/>
        <v>19601.050800000001</v>
      </c>
      <c r="AA532" s="24">
        <f t="shared" si="2"/>
        <v>556.47509765999996</v>
      </c>
      <c r="AB532" s="24">
        <f t="shared" si="3"/>
        <v>1133.3769531200001</v>
      </c>
      <c r="AC532" s="24">
        <f t="shared" si="4"/>
        <v>6014.5463867199996</v>
      </c>
    </row>
    <row r="533" spans="9:29" ht="12.75" customHeight="1" x14ac:dyDescent="0.25">
      <c r="I533" s="1" t="s">
        <v>64</v>
      </c>
      <c r="J533" s="1">
        <v>7641.8100585900002</v>
      </c>
      <c r="K533" s="1">
        <v>2.5234703999999999</v>
      </c>
      <c r="L533" s="1">
        <v>8363.0302734399993</v>
      </c>
      <c r="M533" s="1">
        <v>1.8569539799999999</v>
      </c>
      <c r="N533" s="2">
        <v>1130414.8799999999</v>
      </c>
      <c r="Q533" s="1" t="s">
        <v>21</v>
      </c>
      <c r="R533" s="1" t="s">
        <v>65</v>
      </c>
      <c r="S533" s="1">
        <v>25</v>
      </c>
      <c r="T533" s="1" t="s">
        <v>66</v>
      </c>
      <c r="U533" s="1" t="s">
        <v>66</v>
      </c>
      <c r="V533" s="1" t="s">
        <v>67</v>
      </c>
      <c r="W533" s="24" t="s">
        <v>68</v>
      </c>
      <c r="Y533" s="24">
        <f t="shared" ref="Y533:Y538" si="5">J59</f>
        <v>8407.4296875</v>
      </c>
      <c r="Z533" s="24">
        <f t="shared" ref="Z533:Z538" si="6">N59</f>
        <v>289702.68800000002</v>
      </c>
      <c r="AA533" s="24">
        <f t="shared" ref="AA533:AA538" si="7">N77</f>
        <v>8866.9033203100007</v>
      </c>
      <c r="AB533" s="24">
        <f t="shared" ref="AB533:AB538" si="8">N95</f>
        <v>12961.300800000001</v>
      </c>
      <c r="AC533" s="24">
        <f t="shared" ref="AC533:AC538" si="9">N113</f>
        <v>291.40402222</v>
      </c>
    </row>
    <row r="534" spans="9:29" ht="12.75" customHeight="1" x14ac:dyDescent="0.25">
      <c r="I534" s="1" t="s">
        <v>64</v>
      </c>
      <c r="J534" s="1">
        <v>8550.23046875</v>
      </c>
      <c r="K534" s="1">
        <v>0.92336576999999997</v>
      </c>
      <c r="L534" s="1">
        <v>9189.8496093800004</v>
      </c>
      <c r="M534" s="1">
        <v>6.2920751599999996</v>
      </c>
      <c r="N534" s="2">
        <v>347353.96899999998</v>
      </c>
      <c r="Q534" s="1" t="s">
        <v>21</v>
      </c>
      <c r="R534" s="1" t="s">
        <v>65</v>
      </c>
      <c r="S534" s="1">
        <v>25</v>
      </c>
      <c r="T534" s="1" t="s">
        <v>66</v>
      </c>
      <c r="U534" s="1" t="s">
        <v>66</v>
      </c>
      <c r="V534" s="1" t="s">
        <v>70</v>
      </c>
      <c r="W534" s="24" t="s">
        <v>68</v>
      </c>
      <c r="Y534" s="24">
        <f t="shared" si="5"/>
        <v>9162.25</v>
      </c>
      <c r="Z534" s="24">
        <f t="shared" si="6"/>
        <v>604020.56200000003</v>
      </c>
      <c r="AA534" s="24">
        <f t="shared" si="7"/>
        <v>18343.511699999999</v>
      </c>
      <c r="AB534" s="24">
        <f t="shared" si="8"/>
        <v>26772.392599999999</v>
      </c>
      <c r="AC534" s="24">
        <f t="shared" si="9"/>
        <v>553.66363524999997</v>
      </c>
    </row>
    <row r="535" spans="9:29" ht="12.75" customHeight="1" x14ac:dyDescent="0.25">
      <c r="I535" s="1" t="s">
        <v>64</v>
      </c>
      <c r="J535" s="1">
        <v>9477.8603515600007</v>
      </c>
      <c r="K535" s="1">
        <v>6.3614902500000001</v>
      </c>
      <c r="L535" s="2">
        <v>10365.9004</v>
      </c>
      <c r="M535" s="1">
        <v>4.8112058600000003</v>
      </c>
      <c r="N535" s="2">
        <v>267381.34399999998</v>
      </c>
      <c r="Q535" s="1" t="s">
        <v>21</v>
      </c>
      <c r="R535" s="1" t="s">
        <v>65</v>
      </c>
      <c r="S535" s="1">
        <v>25</v>
      </c>
      <c r="T535" s="1" t="s">
        <v>66</v>
      </c>
      <c r="U535" s="1" t="s">
        <v>66</v>
      </c>
      <c r="V535" s="1" t="s">
        <v>71</v>
      </c>
      <c r="W535" s="24" t="s">
        <v>68</v>
      </c>
      <c r="X535" s="1" t="s">
        <v>74</v>
      </c>
      <c r="Y535" s="24">
        <f t="shared" si="5"/>
        <v>9900.26953125</v>
      </c>
      <c r="Z535" s="24">
        <f t="shared" si="6"/>
        <v>278863.65600000002</v>
      </c>
      <c r="AA535" s="24">
        <f t="shared" si="7"/>
        <v>8189.9047851599998</v>
      </c>
      <c r="AB535" s="24">
        <f t="shared" si="8"/>
        <v>12791.6348</v>
      </c>
      <c r="AC535" s="24">
        <f t="shared" si="9"/>
        <v>294.50637817</v>
      </c>
    </row>
    <row r="536" spans="9:29" ht="12.75" customHeight="1" x14ac:dyDescent="0.25">
      <c r="I536" s="1" t="s">
        <v>64</v>
      </c>
      <c r="J536" s="2">
        <v>10392.299800000001</v>
      </c>
      <c r="K536" s="1">
        <v>6.8893528000000002</v>
      </c>
      <c r="L536" s="2">
        <v>11396.700199999999</v>
      </c>
      <c r="M536" s="1">
        <v>1.6746301699999999</v>
      </c>
      <c r="N536" s="2">
        <v>539116.5</v>
      </c>
      <c r="Q536" s="1" t="s">
        <v>21</v>
      </c>
      <c r="R536" s="1" t="s">
        <v>65</v>
      </c>
      <c r="S536" s="1">
        <v>25</v>
      </c>
      <c r="T536" s="1" t="s">
        <v>66</v>
      </c>
      <c r="U536" s="1" t="s">
        <v>66</v>
      </c>
      <c r="V536" s="1" t="s">
        <v>67</v>
      </c>
      <c r="W536" s="24" t="s">
        <v>75</v>
      </c>
      <c r="Y536" s="24">
        <f t="shared" si="5"/>
        <v>10638.299800000001</v>
      </c>
      <c r="Z536" s="24">
        <f t="shared" si="6"/>
        <v>5380736.5</v>
      </c>
      <c r="AA536" s="24">
        <f t="shared" si="7"/>
        <v>141278.40599999999</v>
      </c>
      <c r="AB536" s="24">
        <f t="shared" si="8"/>
        <v>225640.141</v>
      </c>
      <c r="AC536" s="24">
        <f t="shared" si="9"/>
        <v>5088.8515625</v>
      </c>
    </row>
    <row r="537" spans="9:29" ht="12.75" customHeight="1" x14ac:dyDescent="0.25">
      <c r="I537" s="1" t="s">
        <v>64</v>
      </c>
      <c r="J537" s="2">
        <v>11975.0996</v>
      </c>
      <c r="K537" s="1">
        <v>1.5658625399999999</v>
      </c>
      <c r="L537" s="2">
        <v>12380.700199999999</v>
      </c>
      <c r="M537" s="1">
        <v>2.0754628199999998</v>
      </c>
      <c r="N537" s="1">
        <v>1523.7514648399999</v>
      </c>
      <c r="Q537" s="1" t="s">
        <v>21</v>
      </c>
      <c r="R537" s="1" t="s">
        <v>65</v>
      </c>
      <c r="S537" s="1">
        <v>25</v>
      </c>
      <c r="T537" s="1" t="s">
        <v>66</v>
      </c>
      <c r="U537" s="1" t="s">
        <v>66</v>
      </c>
      <c r="V537" s="1" t="s">
        <v>70</v>
      </c>
      <c r="W537" s="24" t="s">
        <v>75</v>
      </c>
      <c r="Y537" s="24">
        <f t="shared" si="5"/>
        <v>11339.0996</v>
      </c>
      <c r="Z537" s="24">
        <f t="shared" si="6"/>
        <v>5039859</v>
      </c>
      <c r="AA537" s="24">
        <f t="shared" si="7"/>
        <v>139104.891</v>
      </c>
      <c r="AB537" s="24">
        <f t="shared" si="8"/>
        <v>216288.09400000001</v>
      </c>
      <c r="AC537" s="24">
        <f t="shared" si="9"/>
        <v>3787.2155761700001</v>
      </c>
    </row>
    <row r="538" spans="9:29" ht="12.75" customHeight="1" x14ac:dyDescent="0.25">
      <c r="I538" s="1" t="s">
        <v>64</v>
      </c>
      <c r="J538" s="2">
        <v>12714.299800000001</v>
      </c>
      <c r="K538" s="1">
        <v>0.86582541000000002</v>
      </c>
      <c r="L538" s="2">
        <v>13464.4004</v>
      </c>
      <c r="M538" s="1">
        <v>1.67118049</v>
      </c>
      <c r="N538" s="2">
        <v>1329386</v>
      </c>
      <c r="Q538" s="1" t="s">
        <v>21</v>
      </c>
      <c r="R538" s="1" t="s">
        <v>65</v>
      </c>
      <c r="S538" s="1">
        <v>25</v>
      </c>
      <c r="T538" s="1" t="s">
        <v>66</v>
      </c>
      <c r="U538" s="1" t="s">
        <v>66</v>
      </c>
      <c r="V538" s="1" t="s">
        <v>71</v>
      </c>
      <c r="W538" s="24" t="s">
        <v>75</v>
      </c>
      <c r="Y538" s="24">
        <f t="shared" si="5"/>
        <v>12102.299800000001</v>
      </c>
      <c r="Z538" s="24">
        <f t="shared" si="6"/>
        <v>7134724</v>
      </c>
      <c r="AA538" s="24">
        <f t="shared" si="7"/>
        <v>187328.17199999999</v>
      </c>
      <c r="AB538" s="24">
        <f t="shared" si="8"/>
        <v>295545.375</v>
      </c>
      <c r="AC538" s="24">
        <f t="shared" si="9"/>
        <v>6452.7744140599998</v>
      </c>
    </row>
    <row r="539" spans="9:29" ht="12.75" customHeight="1" x14ac:dyDescent="0.25">
      <c r="I539" s="1" t="s">
        <v>64</v>
      </c>
      <c r="J539" s="2">
        <v>13632.4004</v>
      </c>
      <c r="K539" s="1">
        <v>2.3251140100000001</v>
      </c>
      <c r="L539" s="2">
        <v>14407.5996</v>
      </c>
      <c r="M539" s="1">
        <v>3.7412569499999999</v>
      </c>
      <c r="N539" s="2">
        <v>1071263.3799999999</v>
      </c>
      <c r="Q539" s="1" t="str">
        <f t="shared" ref="Q539:Q559" si="10">I124</f>
        <v>2025.01.23-10h19m.h5__SV.txt (m63-cor)</v>
      </c>
      <c r="R539" s="1" t="s">
        <v>65</v>
      </c>
      <c r="S539" s="1">
        <v>25</v>
      </c>
      <c r="T539" s="1">
        <v>25</v>
      </c>
      <c r="U539" s="1">
        <v>24</v>
      </c>
      <c r="V539" s="1" t="s">
        <v>67</v>
      </c>
      <c r="W539" s="24" t="s">
        <v>68</v>
      </c>
      <c r="Y539" s="24">
        <f t="shared" ref="Y539:Y540" si="11">J125</f>
        <v>1647.65002441</v>
      </c>
      <c r="Z539" s="24">
        <f t="shared" ref="Z539:Z544" si="12">N125</f>
        <v>18570.894499999999</v>
      </c>
      <c r="AA539" s="24">
        <f t="shared" ref="AA539:AA544" si="13">N154</f>
        <v>931.05340576000003</v>
      </c>
      <c r="AB539" s="24">
        <f t="shared" ref="AB539:AB544" si="14">N181</f>
        <v>566.59130859000004</v>
      </c>
      <c r="AC539" s="24">
        <f t="shared" ref="AC539:AC544" si="15">N210</f>
        <v>1692.9757080100001</v>
      </c>
    </row>
    <row r="540" spans="9:29" ht="12.75" customHeight="1" x14ac:dyDescent="0.25">
      <c r="I540" s="1" t="s">
        <v>64</v>
      </c>
      <c r="J540" s="2">
        <v>14549.200199999999</v>
      </c>
      <c r="K540" s="1">
        <v>4.22205925</v>
      </c>
      <c r="L540" s="2">
        <v>15340</v>
      </c>
      <c r="M540" s="1">
        <v>3.5362715699999998</v>
      </c>
      <c r="N540" s="2">
        <v>1127024.25</v>
      </c>
      <c r="Q540" s="1" t="str">
        <f t="shared" si="10"/>
        <v>2025.01.23-10h19m.h5__SV.txt (m63-cor)</v>
      </c>
      <c r="R540" s="1" t="s">
        <v>65</v>
      </c>
      <c r="S540" s="1">
        <v>25</v>
      </c>
      <c r="T540" s="1">
        <v>25</v>
      </c>
      <c r="U540" s="1">
        <v>24</v>
      </c>
      <c r="V540" s="1" t="s">
        <v>70</v>
      </c>
      <c r="W540" s="24" t="s">
        <v>68</v>
      </c>
      <c r="Y540" s="24">
        <f t="shared" si="11"/>
        <v>2368.8601074200001</v>
      </c>
      <c r="Z540" s="24">
        <f t="shared" si="12"/>
        <v>84911.0625</v>
      </c>
      <c r="AA540" s="24">
        <f t="shared" si="13"/>
        <v>4900.2094726599998</v>
      </c>
      <c r="AB540" s="24">
        <f t="shared" si="14"/>
        <v>4281.45703125</v>
      </c>
      <c r="AC540" s="24">
        <f t="shared" si="15"/>
        <v>5982.0175781199996</v>
      </c>
    </row>
    <row r="541" spans="9:29" ht="12.75" customHeight="1" x14ac:dyDescent="0.25">
      <c r="I541" s="1" t="s">
        <v>64</v>
      </c>
      <c r="J541" s="2">
        <v>15464.799800000001</v>
      </c>
      <c r="K541" s="1">
        <v>4.25039911</v>
      </c>
      <c r="L541" s="2">
        <v>16205.200199999999</v>
      </c>
      <c r="M541" s="1">
        <v>2.8966743899999998</v>
      </c>
      <c r="N541" s="2">
        <v>742167.56200000003</v>
      </c>
      <c r="Q541" s="1" t="str">
        <f t="shared" si="10"/>
        <v>2025.01.23-10h19m.h5__SV.txt (m63-cor)</v>
      </c>
      <c r="R541" s="1" t="s">
        <v>65</v>
      </c>
      <c r="S541" s="1">
        <v>25</v>
      </c>
      <c r="T541" s="1">
        <v>25</v>
      </c>
      <c r="U541" s="1">
        <v>24</v>
      </c>
      <c r="V541" s="1" t="s">
        <v>71</v>
      </c>
      <c r="W541" s="24" t="s">
        <v>68</v>
      </c>
      <c r="Y541" s="24">
        <f>J156</f>
        <v>3127.2900390599998</v>
      </c>
      <c r="Z541" s="24">
        <f t="shared" si="12"/>
        <v>114974.164</v>
      </c>
      <c r="AA541" s="24">
        <f t="shared" si="13"/>
        <v>6892.0419921900002</v>
      </c>
      <c r="AB541" s="24">
        <f t="shared" si="14"/>
        <v>5629.4921875</v>
      </c>
      <c r="AC541" s="24">
        <f t="shared" si="15"/>
        <v>6680.8208007800004</v>
      </c>
    </row>
    <row r="542" spans="9:29" ht="12.75" customHeight="1" x14ac:dyDescent="0.25">
      <c r="I542" s="1" t="s">
        <v>64</v>
      </c>
      <c r="J542" s="2">
        <v>16385.199199999999</v>
      </c>
      <c r="K542" s="1">
        <v>3.7216391600000001</v>
      </c>
      <c r="L542" s="2">
        <v>17303.300800000001</v>
      </c>
      <c r="M542" s="1">
        <v>10.024920460000001</v>
      </c>
      <c r="N542" s="2">
        <v>631918.5</v>
      </c>
      <c r="Q542" s="1" t="str">
        <f t="shared" si="10"/>
        <v>2025.01.23-10h19m.h5__SV.txt (m63-cor)</v>
      </c>
      <c r="R542" s="1" t="s">
        <v>65</v>
      </c>
      <c r="S542" s="1">
        <v>25</v>
      </c>
      <c r="T542" s="1">
        <v>45</v>
      </c>
      <c r="U542" s="1">
        <v>24</v>
      </c>
      <c r="V542" s="1" t="s">
        <v>76</v>
      </c>
      <c r="W542" s="24" t="s">
        <v>68</v>
      </c>
      <c r="Y542" s="24">
        <f t="shared" ref="Y542:Y544" si="16">J128</f>
        <v>3865.3100585900002</v>
      </c>
      <c r="Z542" s="24">
        <f t="shared" si="12"/>
        <v>6842.0493164099998</v>
      </c>
      <c r="AA542" s="24">
        <f t="shared" si="13"/>
        <v>522.83752441000001</v>
      </c>
      <c r="AB542" s="24">
        <f t="shared" si="14"/>
        <v>188.37605285999999</v>
      </c>
      <c r="AC542" s="24">
        <f t="shared" si="15"/>
        <v>479.64306641000002</v>
      </c>
    </row>
    <row r="543" spans="9:29" ht="12.75" customHeight="1" x14ac:dyDescent="0.25">
      <c r="I543" s="1" t="s">
        <v>64</v>
      </c>
      <c r="J543" s="2">
        <v>17303.300800000001</v>
      </c>
      <c r="K543" s="1">
        <v>10.024920460000001</v>
      </c>
      <c r="L543" s="2">
        <v>17912.900399999999</v>
      </c>
      <c r="M543" s="1">
        <v>3.7274284400000002</v>
      </c>
      <c r="N543" s="2">
        <v>156611.391</v>
      </c>
      <c r="Q543" s="1" t="str">
        <f t="shared" si="10"/>
        <v>2025.01.23-10h19m.h5__SV.txt (m63-cor)</v>
      </c>
      <c r="R543" s="1" t="s">
        <v>65</v>
      </c>
      <c r="S543" s="1">
        <v>25</v>
      </c>
      <c r="T543" s="1">
        <v>45</v>
      </c>
      <c r="U543" s="1">
        <v>24</v>
      </c>
      <c r="V543" s="1" t="s">
        <v>70</v>
      </c>
      <c r="W543" s="24" t="s">
        <v>68</v>
      </c>
      <c r="Y543" s="24">
        <f t="shared" si="16"/>
        <v>4600.9301757800004</v>
      </c>
      <c r="Z543" s="24">
        <f t="shared" si="12"/>
        <v>32317.453099999999</v>
      </c>
      <c r="AA543" s="24">
        <f t="shared" si="13"/>
        <v>2754.1574707</v>
      </c>
      <c r="AB543" s="24">
        <f t="shared" si="14"/>
        <v>1805.2675781200001</v>
      </c>
      <c r="AC543" s="24">
        <f t="shared" si="15"/>
        <v>1496.3487548799999</v>
      </c>
    </row>
    <row r="544" spans="9:29" ht="12.75" customHeight="1" x14ac:dyDescent="0.25">
      <c r="I544" s="1" t="s">
        <v>64</v>
      </c>
      <c r="J544" s="2">
        <v>18227.300800000001</v>
      </c>
      <c r="K544" s="1">
        <v>2.2904860999999999</v>
      </c>
      <c r="L544" s="2">
        <v>18625.699199999999</v>
      </c>
      <c r="M544" s="1">
        <v>1.26891983</v>
      </c>
      <c r="N544" s="1">
        <v>1506.48046875</v>
      </c>
      <c r="Q544" s="1" t="str">
        <f t="shared" si="10"/>
        <v>2025.01.23-10h19m.h5__SV.txt (m63-cor)</v>
      </c>
      <c r="R544" s="1" t="s">
        <v>65</v>
      </c>
      <c r="S544" s="1">
        <v>25</v>
      </c>
      <c r="T544" s="1">
        <v>45</v>
      </c>
      <c r="U544" s="1">
        <v>24</v>
      </c>
      <c r="V544" s="1" t="s">
        <v>71</v>
      </c>
      <c r="W544" s="24" t="s">
        <v>68</v>
      </c>
      <c r="Y544" s="24">
        <f t="shared" si="16"/>
        <v>5338.9501953099998</v>
      </c>
      <c r="Z544" s="24">
        <f t="shared" si="12"/>
        <v>77461.679699999993</v>
      </c>
      <c r="AA544" s="24">
        <f t="shared" si="13"/>
        <v>4706.8798828099998</v>
      </c>
      <c r="AB544" s="24">
        <f t="shared" si="14"/>
        <v>3473.91137695</v>
      </c>
      <c r="AC544" s="24">
        <f t="shared" si="15"/>
        <v>2411.8666992200001</v>
      </c>
    </row>
    <row r="545" spans="9:29" ht="12.75" customHeight="1" x14ac:dyDescent="0.25">
      <c r="Q545" s="1" t="str">
        <f t="shared" si="10"/>
        <v>2025.01.23-10h19m.h5__SV.txt (m63-cor)</v>
      </c>
      <c r="R545" s="1" t="s">
        <v>65</v>
      </c>
      <c r="S545" s="1">
        <v>45</v>
      </c>
      <c r="T545" s="1" t="s">
        <v>66</v>
      </c>
      <c r="U545" s="1" t="s">
        <v>66</v>
      </c>
      <c r="V545" s="1" t="s">
        <v>76</v>
      </c>
      <c r="W545" s="24" t="s">
        <v>73</v>
      </c>
      <c r="Y545" s="24">
        <f t="shared" ref="Y545:Y553" si="17">J132</f>
        <v>7838.6098632800004</v>
      </c>
      <c r="Z545" s="24">
        <f t="shared" ref="Z545:Z553" si="18">N132</f>
        <v>22431.023399999998</v>
      </c>
      <c r="AA545" s="24">
        <f t="shared" ref="AA545:AA553" si="19">N161</f>
        <v>623.69958496000004</v>
      </c>
      <c r="AB545" s="24">
        <f t="shared" ref="AB545:AB553" si="20">N188</f>
        <v>664.27642821999996</v>
      </c>
      <c r="AC545" s="24">
        <f t="shared" ref="AC545:AC553" si="21">N217</f>
        <v>12.182189940000001</v>
      </c>
    </row>
    <row r="546" spans="9:29" ht="12.75" customHeight="1" x14ac:dyDescent="0.25">
      <c r="I546" s="1" t="s">
        <v>10</v>
      </c>
      <c r="Q546" s="1" t="str">
        <f t="shared" si="10"/>
        <v>2025.01.23-10h19m.h5__SV.txt (m63-cor)</v>
      </c>
      <c r="R546" s="1" t="s">
        <v>65</v>
      </c>
      <c r="S546" s="1">
        <v>45</v>
      </c>
      <c r="T546" s="1" t="s">
        <v>66</v>
      </c>
      <c r="U546" s="1" t="s">
        <v>66</v>
      </c>
      <c r="V546" s="1" t="s">
        <v>70</v>
      </c>
      <c r="W546" s="24" t="s">
        <v>73</v>
      </c>
      <c r="Y546" s="24">
        <f t="shared" si="17"/>
        <v>8577.8300781199996</v>
      </c>
      <c r="Z546" s="24">
        <f t="shared" si="18"/>
        <v>22496.511699999999</v>
      </c>
      <c r="AA546" s="24">
        <f t="shared" si="19"/>
        <v>609.52722168000003</v>
      </c>
      <c r="AB546" s="24">
        <f t="shared" si="20"/>
        <v>1049.7631835899999</v>
      </c>
      <c r="AC546" s="24">
        <f t="shared" si="21"/>
        <v>46.265281680000001</v>
      </c>
    </row>
    <row r="547" spans="9:29" ht="12.75" customHeight="1" x14ac:dyDescent="0.25">
      <c r="I547" s="1" t="s">
        <v>0</v>
      </c>
      <c r="J547" s="1" t="s">
        <v>1</v>
      </c>
      <c r="K547" s="1" t="s">
        <v>2</v>
      </c>
      <c r="L547" s="1" t="s">
        <v>3</v>
      </c>
      <c r="M547" s="1" t="s">
        <v>4</v>
      </c>
      <c r="N547" s="1" t="s">
        <v>5</v>
      </c>
      <c r="Q547" s="1" t="str">
        <f t="shared" si="10"/>
        <v>2025.01.23-10h19m.h5__SV.txt (m63-cor)</v>
      </c>
      <c r="R547" s="1" t="s">
        <v>65</v>
      </c>
      <c r="S547" s="1">
        <v>45</v>
      </c>
      <c r="T547" s="1" t="s">
        <v>66</v>
      </c>
      <c r="U547" s="1" t="s">
        <v>66</v>
      </c>
      <c r="V547" s="1" t="s">
        <v>71</v>
      </c>
      <c r="W547" s="24" t="s">
        <v>73</v>
      </c>
      <c r="X547" s="1" t="s">
        <v>77</v>
      </c>
      <c r="Y547" s="24">
        <f t="shared" si="17"/>
        <v>9312.25</v>
      </c>
      <c r="Z547" s="24">
        <f t="shared" si="18"/>
        <v>21264.152300000002</v>
      </c>
      <c r="AA547" s="24">
        <f t="shared" si="19"/>
        <v>676.28259276999995</v>
      </c>
      <c r="AB547" s="24">
        <f t="shared" si="20"/>
        <v>881.40893555000002</v>
      </c>
      <c r="AC547" s="24">
        <f t="shared" si="21"/>
        <v>145.60089110999999</v>
      </c>
    </row>
    <row r="548" spans="9:29" ht="12.75" customHeight="1" x14ac:dyDescent="0.25">
      <c r="I548" s="1" t="s">
        <v>78</v>
      </c>
      <c r="J548" s="1">
        <v>639.61700439000003</v>
      </c>
      <c r="K548" s="1">
        <v>1.4480700500000001</v>
      </c>
      <c r="L548" s="1">
        <v>1022.4299926800001</v>
      </c>
      <c r="M548" s="1">
        <v>1.53829288</v>
      </c>
      <c r="N548" s="1">
        <v>1034.3574218799999</v>
      </c>
      <c r="Q548" s="1" t="str">
        <f t="shared" si="10"/>
        <v>2025.01.23-10h19m.h5__SV.txt (m63-cor)</v>
      </c>
      <c r="R548" s="1" t="s">
        <v>65</v>
      </c>
      <c r="S548" s="1">
        <v>25</v>
      </c>
      <c r="T548" s="1">
        <v>25</v>
      </c>
      <c r="U548" s="1">
        <v>24</v>
      </c>
      <c r="V548" s="1" t="s">
        <v>67</v>
      </c>
      <c r="W548" s="24" t="s">
        <v>75</v>
      </c>
      <c r="Y548" s="24">
        <f t="shared" si="17"/>
        <v>10032.299800000001</v>
      </c>
      <c r="Z548" s="24">
        <f t="shared" si="18"/>
        <v>2481377</v>
      </c>
      <c r="AA548" s="24">
        <f t="shared" si="19"/>
        <v>147270.79699999999</v>
      </c>
      <c r="AB548" s="24">
        <f t="shared" si="20"/>
        <v>119741.594</v>
      </c>
      <c r="AC548" s="24">
        <f t="shared" si="21"/>
        <v>187016.84400000001</v>
      </c>
    </row>
    <row r="549" spans="9:29" ht="12.75" customHeight="1" x14ac:dyDescent="0.25">
      <c r="I549" s="1" t="s">
        <v>78</v>
      </c>
      <c r="J549" s="1">
        <v>1380.04003906</v>
      </c>
      <c r="K549" s="1">
        <v>0.64035922000000001</v>
      </c>
      <c r="L549" s="1">
        <v>1675.25</v>
      </c>
      <c r="M549" s="1">
        <v>1.63531911</v>
      </c>
      <c r="N549" s="1">
        <v>405.39590454</v>
      </c>
      <c r="Q549" s="1" t="str">
        <f t="shared" si="10"/>
        <v>2025.01.23-10h19m.h5__SV.txt (m63-cor)</v>
      </c>
      <c r="R549" s="1" t="s">
        <v>65</v>
      </c>
      <c r="S549" s="1">
        <v>25</v>
      </c>
      <c r="T549" s="1">
        <v>25</v>
      </c>
      <c r="U549" s="1">
        <v>24</v>
      </c>
      <c r="V549" s="1" t="s">
        <v>70</v>
      </c>
      <c r="W549" s="24" t="s">
        <v>75</v>
      </c>
      <c r="Y549" s="24">
        <f t="shared" si="17"/>
        <v>10901.0996</v>
      </c>
      <c r="Z549" s="24">
        <f t="shared" si="18"/>
        <v>2320980.5</v>
      </c>
      <c r="AA549" s="24">
        <f t="shared" si="19"/>
        <v>146607.141</v>
      </c>
      <c r="AB549" s="24">
        <f t="shared" si="20"/>
        <v>115185.81200000001</v>
      </c>
      <c r="AC549" s="24">
        <f t="shared" si="21"/>
        <v>185444.03099999999</v>
      </c>
    </row>
    <row r="550" spans="9:29" ht="12.75" customHeight="1" x14ac:dyDescent="0.25">
      <c r="I550" s="1" t="s">
        <v>78</v>
      </c>
      <c r="J550" s="1">
        <v>2115.6599121099998</v>
      </c>
      <c r="K550" s="1">
        <v>1.35711026</v>
      </c>
      <c r="L550" s="1">
        <v>2467.2700195299999</v>
      </c>
      <c r="M550" s="1">
        <v>0.88033258999999997</v>
      </c>
      <c r="N550" s="1">
        <v>5529.89453125</v>
      </c>
      <c r="Q550" s="1" t="str">
        <f t="shared" si="10"/>
        <v>2025.01.23-10h19m.h5__SV.txt (m63-cor)</v>
      </c>
      <c r="R550" s="1" t="s">
        <v>65</v>
      </c>
      <c r="S550" s="1">
        <v>25</v>
      </c>
      <c r="T550" s="1">
        <v>25</v>
      </c>
      <c r="U550" s="1">
        <v>24</v>
      </c>
      <c r="V550" s="1" t="s">
        <v>71</v>
      </c>
      <c r="W550" s="24" t="s">
        <v>75</v>
      </c>
      <c r="Y550" s="24">
        <f t="shared" si="17"/>
        <v>11750.700199999999</v>
      </c>
      <c r="Z550" s="24">
        <f t="shared" si="18"/>
        <v>3557957.25</v>
      </c>
      <c r="AA550" s="24">
        <f t="shared" si="19"/>
        <v>217125.96900000001</v>
      </c>
      <c r="AB550" s="24">
        <f t="shared" si="20"/>
        <v>170883.92199999999</v>
      </c>
      <c r="AC550" s="24">
        <f t="shared" si="21"/>
        <v>212210.93799999999</v>
      </c>
    </row>
    <row r="551" spans="9:29" ht="12.75" customHeight="1" x14ac:dyDescent="0.25">
      <c r="I551" s="1" t="s">
        <v>78</v>
      </c>
      <c r="J551" s="1">
        <v>2853.6799316400002</v>
      </c>
      <c r="K551" s="1">
        <v>1.35594594</v>
      </c>
      <c r="L551" s="1">
        <v>3212.4899902299999</v>
      </c>
      <c r="M551" s="1">
        <v>1.8968853999999999</v>
      </c>
      <c r="N551" s="1">
        <v>6899.4907226599998</v>
      </c>
      <c r="Q551" s="1" t="str">
        <f t="shared" si="10"/>
        <v>2025.01.23-10h19m.h5__SV.txt (m63-cor)</v>
      </c>
      <c r="R551" s="1" t="s">
        <v>65</v>
      </c>
      <c r="S551" s="1">
        <v>25</v>
      </c>
      <c r="T551" s="1">
        <v>45</v>
      </c>
      <c r="U551" s="1">
        <v>24</v>
      </c>
      <c r="V551" s="1" t="s">
        <v>67</v>
      </c>
      <c r="W551" s="24" t="s">
        <v>75</v>
      </c>
      <c r="Y551" s="24">
        <f t="shared" si="17"/>
        <v>12617.0996</v>
      </c>
      <c r="Z551" s="24">
        <f t="shared" si="18"/>
        <v>3244844.5</v>
      </c>
      <c r="AA551" s="24">
        <f t="shared" si="19"/>
        <v>233266.359</v>
      </c>
      <c r="AB551" s="24">
        <f t="shared" si="20"/>
        <v>158309.07800000001</v>
      </c>
      <c r="AC551" s="24">
        <f t="shared" si="21"/>
        <v>187935.40599999999</v>
      </c>
    </row>
    <row r="552" spans="9:29" ht="12.75" customHeight="1" x14ac:dyDescent="0.25">
      <c r="I552" s="1" t="s">
        <v>78</v>
      </c>
      <c r="J552" s="1">
        <v>3594.1000976599998</v>
      </c>
      <c r="K552" s="1">
        <v>1.4967489199999999</v>
      </c>
      <c r="L552" s="1">
        <v>3841.3000488299999</v>
      </c>
      <c r="M552" s="1">
        <v>1.34697366</v>
      </c>
      <c r="N552" s="1">
        <v>565.70190430000002</v>
      </c>
      <c r="Q552" s="1" t="str">
        <f t="shared" si="10"/>
        <v>2025.01.23-10h19m.h5__SV.txt (m63-cor)</v>
      </c>
      <c r="R552" s="1" t="s">
        <v>65</v>
      </c>
      <c r="S552" s="1">
        <v>25</v>
      </c>
      <c r="T552" s="1">
        <v>45</v>
      </c>
      <c r="U552" s="1">
        <v>24</v>
      </c>
      <c r="V552" s="1" t="s">
        <v>70</v>
      </c>
      <c r="W552" s="24" t="s">
        <v>75</v>
      </c>
      <c r="Y552" s="24">
        <f t="shared" si="17"/>
        <v>13482.4004</v>
      </c>
      <c r="Z552" s="24">
        <f t="shared" si="18"/>
        <v>3557965.75</v>
      </c>
      <c r="AA552" s="24">
        <f t="shared" si="19"/>
        <v>242668.03099999999</v>
      </c>
      <c r="AB552" s="24">
        <f t="shared" si="20"/>
        <v>168328.375</v>
      </c>
      <c r="AC552" s="24">
        <f t="shared" si="21"/>
        <v>217636.06200000001</v>
      </c>
    </row>
    <row r="553" spans="9:29" ht="12.75" customHeight="1" x14ac:dyDescent="0.25">
      <c r="I553" s="1" t="s">
        <v>78</v>
      </c>
      <c r="J553" s="1">
        <v>4328.5200195300004</v>
      </c>
      <c r="K553" s="1">
        <v>1.32400739</v>
      </c>
      <c r="L553" s="1">
        <v>4674.1298828099998</v>
      </c>
      <c r="M553" s="1">
        <v>1.38502693</v>
      </c>
      <c r="N553" s="1">
        <v>4206.6665039099998</v>
      </c>
      <c r="Q553" s="1" t="str">
        <f t="shared" si="10"/>
        <v>2025.01.23-10h19m.h5__SV.txt (m63-cor)</v>
      </c>
      <c r="R553" s="1" t="s">
        <v>65</v>
      </c>
      <c r="S553" s="1">
        <v>25</v>
      </c>
      <c r="T553" s="1">
        <v>45</v>
      </c>
      <c r="U553" s="1">
        <v>24</v>
      </c>
      <c r="V553" s="1" t="s">
        <v>71</v>
      </c>
      <c r="W553" s="24" t="s">
        <v>75</v>
      </c>
      <c r="Y553" s="24">
        <f t="shared" si="17"/>
        <v>14335.5996</v>
      </c>
      <c r="Z553" s="24">
        <f t="shared" si="18"/>
        <v>4259312</v>
      </c>
      <c r="AA553" s="24">
        <f t="shared" si="19"/>
        <v>307744.84399999998</v>
      </c>
      <c r="AB553" s="24">
        <f t="shared" si="20"/>
        <v>200782.234</v>
      </c>
      <c r="AC553" s="24">
        <f t="shared" si="21"/>
        <v>218509.81200000001</v>
      </c>
    </row>
    <row r="554" spans="9:29" ht="12.75" customHeight="1" x14ac:dyDescent="0.25">
      <c r="I554" s="1" t="s">
        <v>78</v>
      </c>
      <c r="J554" s="1">
        <v>5065.33984375</v>
      </c>
      <c r="K554" s="1">
        <v>0.91214317</v>
      </c>
      <c r="L554" s="1">
        <v>5425.3500976599998</v>
      </c>
      <c r="M554" s="1">
        <v>1.4992890400000001</v>
      </c>
      <c r="N554" s="1">
        <v>9644.6455078100007</v>
      </c>
      <c r="Q554" s="1" t="str">
        <f t="shared" si="10"/>
        <v>2025.01.23-10h19m.h5__SV.txt (m63-cor)</v>
      </c>
      <c r="R554" s="1" t="s">
        <v>65</v>
      </c>
      <c r="S554" s="1">
        <v>25</v>
      </c>
      <c r="T554" s="1">
        <v>25</v>
      </c>
      <c r="U554" s="1">
        <v>24</v>
      </c>
      <c r="V554" s="1" t="s">
        <v>67</v>
      </c>
      <c r="W554" s="24" t="s">
        <v>79</v>
      </c>
      <c r="Y554" s="24">
        <f t="shared" ref="Y554:Y557" si="22">J142</f>
        <v>16601.300800000001</v>
      </c>
      <c r="Z554" s="24">
        <f t="shared" ref="Z554:Z559" si="23">N142</f>
        <v>2691091.75</v>
      </c>
      <c r="AA554" s="24">
        <f t="shared" ref="AA554:AA559" si="24">N171</f>
        <v>160160.859</v>
      </c>
      <c r="AB554" s="24">
        <f t="shared" ref="AB554:AB559" si="25">N198</f>
        <v>135254.42199999999</v>
      </c>
      <c r="AC554" s="24">
        <f t="shared" ref="AC554:AC559" si="26">N228</f>
        <v>182294.09400000001</v>
      </c>
    </row>
    <row r="555" spans="9:29" ht="12.75" customHeight="1" x14ac:dyDescent="0.25">
      <c r="I555" s="1" t="s">
        <v>78</v>
      </c>
      <c r="J555" s="1">
        <v>5808.16015625</v>
      </c>
      <c r="K555" s="1">
        <v>1.2517627499999999</v>
      </c>
      <c r="L555" s="1">
        <v>6451.3798828099998</v>
      </c>
      <c r="M555" s="1">
        <v>2.3702571400000001</v>
      </c>
      <c r="N555" s="2">
        <v>55745.285199999998</v>
      </c>
      <c r="Q555" s="1" t="str">
        <f t="shared" si="10"/>
        <v>2025.01.23-10h19m.h5__SV.txt (m63-cor)</v>
      </c>
      <c r="R555" s="1" t="s">
        <v>65</v>
      </c>
      <c r="S555" s="1">
        <v>25</v>
      </c>
      <c r="T555" s="1">
        <v>25</v>
      </c>
      <c r="U555" s="1">
        <v>24</v>
      </c>
      <c r="V555" s="1" t="s">
        <v>70</v>
      </c>
      <c r="W555" s="24" t="s">
        <v>79</v>
      </c>
      <c r="Y555" s="24">
        <f t="shared" si="22"/>
        <v>17452.099600000001</v>
      </c>
      <c r="Z555" s="24">
        <f t="shared" si="23"/>
        <v>1939191.5</v>
      </c>
      <c r="AA555" s="24">
        <f t="shared" si="24"/>
        <v>124032.79700000001</v>
      </c>
      <c r="AB555" s="24">
        <f t="shared" si="25"/>
        <v>97709.3125</v>
      </c>
      <c r="AC555" s="24">
        <f t="shared" si="26"/>
        <v>117317.625</v>
      </c>
    </row>
    <row r="556" spans="9:29" ht="12.75" customHeight="1" x14ac:dyDescent="0.25">
      <c r="I556" s="1" t="s">
        <v>78</v>
      </c>
      <c r="J556" s="1">
        <v>6724.9799804699996</v>
      </c>
      <c r="K556" s="1">
        <v>1.41484582</v>
      </c>
      <c r="L556" s="1">
        <v>7249.3999023400002</v>
      </c>
      <c r="M556" s="1">
        <v>1.4133133899999999</v>
      </c>
      <c r="N556" s="2">
        <v>70462.656199999998</v>
      </c>
      <c r="Q556" s="1" t="str">
        <f t="shared" si="10"/>
        <v>2025.01.23-10h19m.h5__SV.txt (m63-cor)</v>
      </c>
      <c r="R556" s="1" t="s">
        <v>65</v>
      </c>
      <c r="S556" s="1">
        <v>25</v>
      </c>
      <c r="T556" s="1">
        <v>25</v>
      </c>
      <c r="U556" s="1">
        <v>24</v>
      </c>
      <c r="V556" s="1" t="s">
        <v>71</v>
      </c>
      <c r="W556" s="24" t="s">
        <v>79</v>
      </c>
      <c r="Y556" s="24">
        <f t="shared" si="22"/>
        <v>18316.099600000001</v>
      </c>
      <c r="Z556" s="24">
        <f t="shared" si="23"/>
        <v>3468397.5</v>
      </c>
      <c r="AA556" s="24">
        <f t="shared" si="24"/>
        <v>208927.359</v>
      </c>
      <c r="AB556" s="24">
        <f t="shared" si="25"/>
        <v>169699.67199999999</v>
      </c>
      <c r="AC556" s="24">
        <f t="shared" si="26"/>
        <v>184973.96900000001</v>
      </c>
    </row>
    <row r="557" spans="9:29" ht="12.75" customHeight="1" x14ac:dyDescent="0.25">
      <c r="I557" s="1" t="s">
        <v>78</v>
      </c>
      <c r="J557" s="1">
        <v>7643.0097656199996</v>
      </c>
      <c r="K557" s="1">
        <v>1.3938888300000001</v>
      </c>
      <c r="L557" s="1">
        <v>8094.2202148400002</v>
      </c>
      <c r="M557" s="1">
        <v>2.4415216399999999</v>
      </c>
      <c r="N557" s="2">
        <v>77169.601599999995</v>
      </c>
      <c r="Q557" s="1" t="str">
        <f t="shared" si="10"/>
        <v>2025.01.23-10h19m.h5__SV.txt (m63-cor)</v>
      </c>
      <c r="R557" s="1" t="s">
        <v>65</v>
      </c>
      <c r="S557" s="1">
        <v>25</v>
      </c>
      <c r="T557" s="1">
        <v>45</v>
      </c>
      <c r="U557" s="1">
        <v>24</v>
      </c>
      <c r="V557" s="1" t="s">
        <v>67</v>
      </c>
      <c r="W557" s="24" t="s">
        <v>79</v>
      </c>
      <c r="Y557" s="24">
        <f t="shared" si="22"/>
        <v>19172.900399999999</v>
      </c>
      <c r="Z557" s="24">
        <f t="shared" si="23"/>
        <v>4091973.5</v>
      </c>
      <c r="AA557" s="24">
        <f t="shared" si="24"/>
        <v>283590.31199999998</v>
      </c>
      <c r="AB557" s="24">
        <f t="shared" si="25"/>
        <v>198061</v>
      </c>
      <c r="AC557" s="24">
        <f t="shared" si="26"/>
        <v>195398.34400000001</v>
      </c>
    </row>
    <row r="558" spans="9:29" ht="12.75" customHeight="1" x14ac:dyDescent="0.25">
      <c r="I558" s="1" t="s">
        <v>78</v>
      </c>
      <c r="J558" s="1">
        <v>8561.0302734399993</v>
      </c>
      <c r="K558" s="1">
        <v>1.3809567700000001</v>
      </c>
      <c r="L558" s="1">
        <v>9030.25</v>
      </c>
      <c r="M558" s="1">
        <v>1.7335342199999999</v>
      </c>
      <c r="N558" s="2">
        <v>28669.333999999999</v>
      </c>
      <c r="Q558" s="1" t="str">
        <f t="shared" si="10"/>
        <v>2025.01.23-10h19m.h5__SV.txt (m63-cor)</v>
      </c>
      <c r="R558" s="1" t="s">
        <v>65</v>
      </c>
      <c r="S558" s="1">
        <v>25</v>
      </c>
      <c r="T558" s="1">
        <v>45</v>
      </c>
      <c r="U558" s="1">
        <v>24</v>
      </c>
      <c r="V558" s="1" t="s">
        <v>70</v>
      </c>
      <c r="W558" s="24" t="s">
        <v>79</v>
      </c>
      <c r="Y558" s="24">
        <f>J175</f>
        <v>20029.699199999999</v>
      </c>
      <c r="Z558" s="24">
        <f t="shared" si="23"/>
        <v>3327814.75</v>
      </c>
      <c r="AA558" s="24">
        <f t="shared" si="24"/>
        <v>232310.15599999999</v>
      </c>
      <c r="AB558" s="24">
        <f t="shared" si="25"/>
        <v>165523.90599999999</v>
      </c>
      <c r="AC558" s="24">
        <f t="shared" si="26"/>
        <v>191585</v>
      </c>
    </row>
    <row r="559" spans="9:29" ht="12.75" customHeight="1" x14ac:dyDescent="0.25">
      <c r="I559" s="1" t="s">
        <v>78</v>
      </c>
      <c r="J559" s="1">
        <v>9475.4599609399993</v>
      </c>
      <c r="K559" s="1">
        <v>1.1760366</v>
      </c>
      <c r="L559" s="1">
        <v>9876.26953125</v>
      </c>
      <c r="M559" s="1">
        <v>2.6370892499999998</v>
      </c>
      <c r="N559" s="2">
        <v>20458.581999999999</v>
      </c>
      <c r="Q559" s="1" t="str">
        <f t="shared" si="10"/>
        <v>2025.01.23-10h19m.h5__SV.txt (m63-cor)</v>
      </c>
      <c r="R559" s="1" t="s">
        <v>65</v>
      </c>
      <c r="S559" s="1">
        <v>25</v>
      </c>
      <c r="T559" s="1">
        <v>45</v>
      </c>
      <c r="U559" s="1">
        <v>24</v>
      </c>
      <c r="V559" s="1" t="s">
        <v>71</v>
      </c>
      <c r="W559" s="24" t="s">
        <v>79</v>
      </c>
      <c r="Y559" s="24">
        <f>J147</f>
        <v>20883</v>
      </c>
      <c r="Z559" s="24">
        <f t="shared" si="23"/>
        <v>4316990.5</v>
      </c>
      <c r="AA559" s="24">
        <f t="shared" si="24"/>
        <v>312103.68800000002</v>
      </c>
      <c r="AB559" s="24">
        <f t="shared" si="25"/>
        <v>211536.32800000001</v>
      </c>
      <c r="AC559" s="24">
        <f t="shared" si="26"/>
        <v>205018.45300000001</v>
      </c>
    </row>
    <row r="560" spans="9:29" ht="12.75" customHeight="1" x14ac:dyDescent="0.25">
      <c r="I560" s="1" t="s">
        <v>78</v>
      </c>
      <c r="J560" s="2">
        <v>10394.700199999999</v>
      </c>
      <c r="K560" s="1">
        <v>1.6068188000000001</v>
      </c>
      <c r="L560" s="2">
        <v>11051.0996</v>
      </c>
      <c r="M560" s="1">
        <v>2.89577127</v>
      </c>
      <c r="N560" s="2">
        <v>56386.527300000002</v>
      </c>
      <c r="Q560" s="1" t="str">
        <f t="shared" ref="Q560:Q570" si="27">I240</f>
        <v>2025.01.24-10h41m.h5__SV.txt (m63-cor)</v>
      </c>
      <c r="R560" s="1" t="s">
        <v>65</v>
      </c>
      <c r="S560" s="1">
        <v>45</v>
      </c>
      <c r="T560" s="1">
        <v>45</v>
      </c>
      <c r="U560" s="1">
        <v>24</v>
      </c>
      <c r="V560" s="1" t="s">
        <v>67</v>
      </c>
      <c r="W560" s="24" t="s">
        <v>73</v>
      </c>
      <c r="Y560" s="24">
        <f t="shared" ref="Y560:Y565" si="28">J241</f>
        <v>2592.0700683599998</v>
      </c>
      <c r="Z560" s="24">
        <f t="shared" ref="Z560:Z565" si="29">N241</f>
        <v>9005.03515625</v>
      </c>
      <c r="AA560" s="24">
        <f t="shared" ref="AA560:AA565" si="30">N257</f>
        <v>482.93652343999997</v>
      </c>
      <c r="AB560" s="24">
        <f t="shared" ref="AB560:AB565" si="31">N273</f>
        <v>1336.3107910199999</v>
      </c>
      <c r="AC560" s="24">
        <f t="shared" ref="AC560:AC565" si="32">N289</f>
        <v>1894.86450195</v>
      </c>
    </row>
    <row r="561" spans="9:29" ht="12.75" customHeight="1" x14ac:dyDescent="0.25">
      <c r="I561" s="1" t="s">
        <v>78</v>
      </c>
      <c r="J561" s="2">
        <v>11983.5</v>
      </c>
      <c r="K561" s="1">
        <v>1.1852476599999999</v>
      </c>
      <c r="L561" s="2">
        <v>12229.5</v>
      </c>
      <c r="M561" s="1">
        <v>1.1846284899999999</v>
      </c>
      <c r="N561" s="1">
        <v>1191.9283447299999</v>
      </c>
      <c r="Q561" s="1" t="str">
        <f t="shared" si="27"/>
        <v>2025.01.24-10h41m.h5__SV.txt (m63-cor)</v>
      </c>
      <c r="R561" s="1" t="s">
        <v>65</v>
      </c>
      <c r="S561" s="1">
        <v>45</v>
      </c>
      <c r="T561" s="1">
        <v>45</v>
      </c>
      <c r="U561" s="1">
        <v>24</v>
      </c>
      <c r="V561" s="1" t="s">
        <v>70</v>
      </c>
      <c r="W561" s="24" t="s">
        <v>73</v>
      </c>
      <c r="Y561" s="24">
        <f t="shared" si="28"/>
        <v>3308.4899902299999</v>
      </c>
      <c r="Z561" s="24">
        <f t="shared" si="29"/>
        <v>22281.2012</v>
      </c>
      <c r="AA561" s="24">
        <f t="shared" si="30"/>
        <v>808.56274413999995</v>
      </c>
      <c r="AB561" s="24">
        <f t="shared" si="31"/>
        <v>875.77825928000004</v>
      </c>
      <c r="AC561" s="24">
        <f t="shared" si="32"/>
        <v>2984.1005859400002</v>
      </c>
    </row>
    <row r="562" spans="9:29" ht="12.75" customHeight="1" x14ac:dyDescent="0.25">
      <c r="I562" s="1" t="s">
        <v>78</v>
      </c>
      <c r="J562" s="2">
        <v>12715.5</v>
      </c>
      <c r="K562" s="1">
        <v>0.96311742</v>
      </c>
      <c r="L562" s="2">
        <v>13348</v>
      </c>
      <c r="M562" s="1">
        <v>1.3293852799999999</v>
      </c>
      <c r="N562" s="2">
        <v>86246.609400000001</v>
      </c>
      <c r="Q562" s="1" t="str">
        <f t="shared" si="27"/>
        <v>2025.01.24-10h41m.h5__SV.txt (m63-cor)</v>
      </c>
      <c r="R562" s="1" t="s">
        <v>65</v>
      </c>
      <c r="S562" s="1">
        <v>45</v>
      </c>
      <c r="T562" s="1">
        <v>45</v>
      </c>
      <c r="U562" s="1">
        <v>24</v>
      </c>
      <c r="V562" s="1" t="s">
        <v>71</v>
      </c>
      <c r="W562" s="24" t="s">
        <v>73</v>
      </c>
      <c r="X562" s="1" t="s">
        <v>80</v>
      </c>
      <c r="Y562" s="24">
        <f t="shared" si="28"/>
        <v>4915.3300781199996</v>
      </c>
      <c r="Z562" s="24">
        <f t="shared" si="29"/>
        <v>15611.877899999999</v>
      </c>
      <c r="AA562" s="24">
        <f t="shared" si="30"/>
        <v>533.27313231999995</v>
      </c>
      <c r="AB562" s="24">
        <f t="shared" si="31"/>
        <v>233.40406798999999</v>
      </c>
      <c r="AC562" s="24">
        <f t="shared" si="32"/>
        <v>1914.58410645</v>
      </c>
    </row>
    <row r="563" spans="9:29" ht="12.75" customHeight="1" x14ac:dyDescent="0.25">
      <c r="I563" s="1" t="s">
        <v>78</v>
      </c>
      <c r="J563" s="2">
        <v>13634.799800000001</v>
      </c>
      <c r="K563" s="1">
        <v>1.13442504</v>
      </c>
      <c r="L563" s="2">
        <v>14171.200199999999</v>
      </c>
      <c r="M563" s="1">
        <v>1.8445699200000001</v>
      </c>
      <c r="N563" s="2">
        <v>69184.421900000001</v>
      </c>
      <c r="Q563" s="1" t="str">
        <f t="shared" si="27"/>
        <v>2025.01.24-10h41m.h5__SV.txt (m63-cor)</v>
      </c>
      <c r="R563" s="1" t="s">
        <v>65</v>
      </c>
      <c r="S563" s="1">
        <v>45</v>
      </c>
      <c r="T563" s="1">
        <v>25</v>
      </c>
      <c r="U563" s="1">
        <v>24</v>
      </c>
      <c r="V563" s="1" t="s">
        <v>67</v>
      </c>
      <c r="W563" s="24" t="s">
        <v>73</v>
      </c>
      <c r="Y563" s="24">
        <f t="shared" si="28"/>
        <v>5646.1499023400002</v>
      </c>
      <c r="Z563" s="24">
        <f t="shared" si="29"/>
        <v>421854.40600000002</v>
      </c>
      <c r="AA563" s="24">
        <f t="shared" si="30"/>
        <v>12765.8994</v>
      </c>
      <c r="AB563" s="24">
        <f t="shared" si="31"/>
        <v>18097.771499999999</v>
      </c>
      <c r="AC563" s="24">
        <f t="shared" si="32"/>
        <v>24785.353500000001</v>
      </c>
    </row>
    <row r="564" spans="9:29" ht="12.75" customHeight="1" x14ac:dyDescent="0.25">
      <c r="I564" s="1" t="s">
        <v>78</v>
      </c>
      <c r="J564" s="2">
        <v>14550.4004</v>
      </c>
      <c r="K564" s="1">
        <v>0.87593376999999994</v>
      </c>
      <c r="L564" s="2">
        <v>15121.5996</v>
      </c>
      <c r="M564" s="1">
        <v>2.3115196199999999</v>
      </c>
      <c r="N564" s="2">
        <v>76078.523400000005</v>
      </c>
      <c r="Q564" s="1" t="str">
        <f t="shared" si="27"/>
        <v>2025.01.24-10h41m.h5__SV.txt (m63-cor)</v>
      </c>
      <c r="R564" s="1" t="s">
        <v>65</v>
      </c>
      <c r="S564" s="1">
        <v>45</v>
      </c>
      <c r="T564" s="1">
        <v>25</v>
      </c>
      <c r="U564" s="1">
        <v>24</v>
      </c>
      <c r="V564" s="1" t="s">
        <v>70</v>
      </c>
      <c r="W564" s="24" t="s">
        <v>73</v>
      </c>
      <c r="Y564" s="24">
        <f t="shared" si="28"/>
        <v>6378.1699218800004</v>
      </c>
      <c r="Z564" s="24">
        <f t="shared" si="29"/>
        <v>469859.65600000002</v>
      </c>
      <c r="AA564" s="24">
        <f t="shared" si="30"/>
        <v>12645.015600000001</v>
      </c>
      <c r="AB564" s="24">
        <f t="shared" si="31"/>
        <v>20540.3223</v>
      </c>
      <c r="AC564" s="24">
        <f t="shared" si="32"/>
        <v>26525.234400000001</v>
      </c>
    </row>
    <row r="565" spans="9:29" ht="12.75" customHeight="1" x14ac:dyDescent="0.25">
      <c r="I565" s="1" t="s">
        <v>78</v>
      </c>
      <c r="J565" s="2">
        <v>15467.200199999999</v>
      </c>
      <c r="K565" s="1">
        <v>1.28646982</v>
      </c>
      <c r="L565" s="2">
        <v>16145.200199999999</v>
      </c>
      <c r="M565" s="1">
        <v>1.3639993699999999</v>
      </c>
      <c r="N565" s="2">
        <v>71569.804699999993</v>
      </c>
      <c r="Q565" s="1" t="str">
        <f t="shared" si="27"/>
        <v>2025.01.24-10h41m.h5__SV.txt (m63-cor)</v>
      </c>
      <c r="R565" s="1" t="s">
        <v>65</v>
      </c>
      <c r="S565" s="1">
        <v>45</v>
      </c>
      <c r="T565" s="1">
        <v>25</v>
      </c>
      <c r="U565" s="1">
        <v>24</v>
      </c>
      <c r="V565" s="1" t="s">
        <v>71</v>
      </c>
      <c r="W565" s="24" t="s">
        <v>73</v>
      </c>
      <c r="Y565" s="24">
        <f t="shared" si="28"/>
        <v>7124.58984375</v>
      </c>
      <c r="Z565" s="24">
        <f t="shared" si="29"/>
        <v>388269.15600000002</v>
      </c>
      <c r="AA565" s="24">
        <f t="shared" si="30"/>
        <v>12422.510700000001</v>
      </c>
      <c r="AB565" s="24">
        <f t="shared" si="31"/>
        <v>17967.4277</v>
      </c>
      <c r="AC565" s="24">
        <f t="shared" si="32"/>
        <v>28245.148399999998</v>
      </c>
    </row>
    <row r="566" spans="9:29" ht="12.75" customHeight="1" x14ac:dyDescent="0.25">
      <c r="I566" s="1" t="s">
        <v>78</v>
      </c>
      <c r="J566" s="2">
        <v>16387.599600000001</v>
      </c>
      <c r="K566" s="1">
        <v>1.34705746</v>
      </c>
      <c r="L566" s="2">
        <v>17170.099600000001</v>
      </c>
      <c r="M566" s="1">
        <v>2.2211692300000001</v>
      </c>
      <c r="N566" s="2">
        <v>65054.101600000002</v>
      </c>
      <c r="Q566" s="1" t="str">
        <f t="shared" si="27"/>
        <v>2025.01.24-10h41m.h5__SV.txt (m63-cor)</v>
      </c>
      <c r="R566" s="1" t="s">
        <v>65</v>
      </c>
      <c r="S566" s="1">
        <v>45</v>
      </c>
      <c r="T566" s="1" t="s">
        <v>66</v>
      </c>
      <c r="U566" s="1" t="s">
        <v>66</v>
      </c>
      <c r="V566" s="1" t="s">
        <v>67</v>
      </c>
      <c r="W566" s="24" t="s">
        <v>68</v>
      </c>
      <c r="X566" s="1" t="s">
        <v>81</v>
      </c>
      <c r="Y566" s="24">
        <f t="shared" ref="Y566:Y570" si="33">J248</f>
        <v>8601.83984375</v>
      </c>
      <c r="Z566" s="24">
        <f t="shared" ref="Z566:Z570" si="34">N248</f>
        <v>124212.94500000001</v>
      </c>
      <c r="AA566" s="24">
        <f t="shared" ref="AA566:AA570" si="35">N264</f>
        <v>3269.4130859400002</v>
      </c>
      <c r="AB566" s="24">
        <f t="shared" ref="AB566:AB570" si="36">N280</f>
        <v>6120.7509765599998</v>
      </c>
      <c r="AC566" s="24">
        <f t="shared" ref="AC566:AC570" si="37">N296</f>
        <v>332.13812256</v>
      </c>
    </row>
    <row r="567" spans="9:29" ht="12.75" customHeight="1" x14ac:dyDescent="0.25">
      <c r="I567" s="1" t="s">
        <v>78</v>
      </c>
      <c r="J567" s="2">
        <v>17308.099600000001</v>
      </c>
      <c r="K567" s="1">
        <v>3.06467175</v>
      </c>
      <c r="L567" s="2">
        <v>17856.5</v>
      </c>
      <c r="M567" s="1">
        <v>1.9247852599999999</v>
      </c>
      <c r="N567" s="2">
        <v>16172.854499999999</v>
      </c>
      <c r="Q567" s="1" t="str">
        <f t="shared" si="27"/>
        <v>2025.01.24-10h41m.h5__SV.txt (m63-cor)</v>
      </c>
      <c r="R567" s="1" t="s">
        <v>65</v>
      </c>
      <c r="S567" s="1">
        <v>45</v>
      </c>
      <c r="T567" s="1" t="s">
        <v>66</v>
      </c>
      <c r="U567" s="1" t="s">
        <v>66</v>
      </c>
      <c r="V567" s="1" t="s">
        <v>70</v>
      </c>
      <c r="W567" s="24" t="s">
        <v>68</v>
      </c>
      <c r="Y567" s="24">
        <f t="shared" si="33"/>
        <v>9337.4599609399993</v>
      </c>
      <c r="Z567" s="24">
        <f t="shared" si="34"/>
        <v>176607.70300000001</v>
      </c>
      <c r="AA567" s="24">
        <f t="shared" si="35"/>
        <v>5151.4541015599998</v>
      </c>
      <c r="AB567" s="24">
        <f t="shared" si="36"/>
        <v>7435.1806640599998</v>
      </c>
      <c r="AC567" s="24">
        <f t="shared" si="37"/>
        <v>207.47328185999999</v>
      </c>
    </row>
    <row r="568" spans="9:29" ht="12.75" customHeight="1" x14ac:dyDescent="0.25">
      <c r="I568" s="1" t="s">
        <v>78</v>
      </c>
      <c r="J568" s="2">
        <v>18248.900399999999</v>
      </c>
      <c r="K568" s="1">
        <v>0.71517724000000005</v>
      </c>
      <c r="L568" s="2">
        <v>18568.099600000001</v>
      </c>
      <c r="M568" s="1">
        <v>0.77681822</v>
      </c>
      <c r="N568" s="1">
        <v>1440.2436523399999</v>
      </c>
      <c r="Q568" s="1" t="str">
        <f t="shared" si="27"/>
        <v>2025.01.24-10h41m.h5__SV.txt (m63-cor)</v>
      </c>
      <c r="R568" s="1" t="s">
        <v>65</v>
      </c>
      <c r="S568" s="1">
        <v>45</v>
      </c>
      <c r="T568" s="1" t="s">
        <v>66</v>
      </c>
      <c r="U568" s="1" t="s">
        <v>66</v>
      </c>
      <c r="V568" s="1" t="s">
        <v>71</v>
      </c>
      <c r="W568" s="24" t="s">
        <v>68</v>
      </c>
      <c r="Y568" s="24">
        <f t="shared" si="33"/>
        <v>10076.700199999999</v>
      </c>
      <c r="Z568" s="24">
        <f t="shared" si="34"/>
        <v>1870632.88</v>
      </c>
      <c r="AA568" s="24">
        <f t="shared" si="35"/>
        <v>53345.546900000001</v>
      </c>
      <c r="AB568" s="24">
        <f t="shared" si="36"/>
        <v>83706.546900000001</v>
      </c>
      <c r="AC568" s="24">
        <f t="shared" si="37"/>
        <v>2094.109375</v>
      </c>
    </row>
    <row r="569" spans="9:29" ht="12.75" customHeight="1" x14ac:dyDescent="0.25">
      <c r="Q569" s="1" t="str">
        <f t="shared" si="27"/>
        <v>2025.01.24-10h41m.h5__SV.txt (m63-cor)</v>
      </c>
      <c r="R569" s="1" t="s">
        <v>65</v>
      </c>
      <c r="S569" s="1">
        <v>45</v>
      </c>
      <c r="T569" s="1" t="s">
        <v>66</v>
      </c>
      <c r="U569" s="1" t="s">
        <v>66</v>
      </c>
      <c r="V569" s="1" t="s">
        <v>67</v>
      </c>
      <c r="W569" s="24" t="s">
        <v>75</v>
      </c>
      <c r="X569" s="1" t="s">
        <v>82</v>
      </c>
      <c r="Y569" s="24">
        <f t="shared" si="33"/>
        <v>10811.0996</v>
      </c>
      <c r="Z569" s="24">
        <f t="shared" si="34"/>
        <v>23142874</v>
      </c>
      <c r="AA569" s="24">
        <f t="shared" si="35"/>
        <v>451625.81199999998</v>
      </c>
      <c r="AB569" s="24">
        <f t="shared" si="36"/>
        <v>766379.75</v>
      </c>
      <c r="AC569" s="24">
        <f t="shared" si="37"/>
        <v>17197.466799999998</v>
      </c>
    </row>
    <row r="570" spans="9:29" ht="12.75" customHeight="1" x14ac:dyDescent="0.25">
      <c r="I570" s="1" t="s">
        <v>12</v>
      </c>
      <c r="Q570" s="1" t="str">
        <f t="shared" si="27"/>
        <v>2025.01.24-10h41m.h5__SV.txt (m63-cor)</v>
      </c>
      <c r="R570" s="1" t="s">
        <v>65</v>
      </c>
      <c r="S570" s="1">
        <v>45</v>
      </c>
      <c r="T570" s="1" t="s">
        <v>66</v>
      </c>
      <c r="U570" s="1" t="s">
        <v>66</v>
      </c>
      <c r="V570" s="1" t="s">
        <v>70</v>
      </c>
      <c r="W570" s="24" t="s">
        <v>75</v>
      </c>
      <c r="X570" s="1" t="s">
        <v>83</v>
      </c>
      <c r="Y570" s="24">
        <f t="shared" si="33"/>
        <v>11730.299800000001</v>
      </c>
      <c r="Z570" s="24">
        <f t="shared" si="34"/>
        <v>16626955</v>
      </c>
      <c r="AA570" s="24">
        <f t="shared" si="35"/>
        <v>362630.56199999998</v>
      </c>
      <c r="AB570" s="24">
        <f t="shared" si="36"/>
        <v>598636.31200000003</v>
      </c>
      <c r="AC570" s="24">
        <f t="shared" si="37"/>
        <v>12854.3457</v>
      </c>
    </row>
    <row r="571" spans="9:29" ht="12.75" customHeight="1" x14ac:dyDescent="0.25">
      <c r="I571" s="1" t="s">
        <v>0</v>
      </c>
      <c r="J571" s="1" t="s">
        <v>1</v>
      </c>
      <c r="K571" s="1" t="s">
        <v>2</v>
      </c>
      <c r="L571" s="1" t="s">
        <v>3</v>
      </c>
      <c r="M571" s="1" t="s">
        <v>4</v>
      </c>
      <c r="N571" s="1" t="s">
        <v>5</v>
      </c>
      <c r="Q571" s="1" t="str">
        <f t="shared" ref="Q571:Q576" si="38">I305</f>
        <v>2025.01.27-09h38m.h5__SV.txt (m63-cor)</v>
      </c>
      <c r="R571" s="1" t="s">
        <v>65</v>
      </c>
      <c r="S571" s="1">
        <v>45</v>
      </c>
      <c r="T571" s="1">
        <v>45</v>
      </c>
      <c r="U571" s="1">
        <v>24</v>
      </c>
      <c r="V571" s="1" t="s">
        <v>67</v>
      </c>
      <c r="W571" s="24" t="s">
        <v>84</v>
      </c>
      <c r="Y571" s="24">
        <f t="shared" ref="Y571:Y576" si="39">J306</f>
        <v>1570.8399658200001</v>
      </c>
      <c r="Z571" s="24">
        <f t="shared" ref="Z571:Z576" si="40">N306</f>
        <v>12857.8184</v>
      </c>
      <c r="AA571" s="24">
        <f t="shared" ref="AA571:AA576" si="41">N334</f>
        <v>830.44458008000004</v>
      </c>
      <c r="AB571" s="24">
        <f t="shared" ref="AB571:AB576" si="42">N361</f>
        <v>739.87963866999996</v>
      </c>
      <c r="AC571" s="24">
        <f t="shared" ref="AC571:AC576" si="43">N388</f>
        <v>497.03436278999999</v>
      </c>
    </row>
    <row r="572" spans="9:29" ht="12.75" customHeight="1" x14ac:dyDescent="0.25">
      <c r="I572" s="1" t="s">
        <v>85</v>
      </c>
      <c r="J572" s="1">
        <v>642.01800536999997</v>
      </c>
      <c r="K572" s="1">
        <v>3.9819517100000001</v>
      </c>
      <c r="L572" s="1">
        <v>1185.6300048799999</v>
      </c>
      <c r="M572" s="1">
        <v>4.49186993</v>
      </c>
      <c r="N572" s="2">
        <v>15369.3467</v>
      </c>
      <c r="Q572" s="1" t="str">
        <f t="shared" si="38"/>
        <v>2025.01.27-09h38m.h5__SV.txt (m63-cor)</v>
      </c>
      <c r="R572" s="1" t="s">
        <v>65</v>
      </c>
      <c r="S572" s="1">
        <v>45</v>
      </c>
      <c r="T572" s="1">
        <v>45</v>
      </c>
      <c r="U572" s="1">
        <v>24</v>
      </c>
      <c r="V572" s="1" t="s">
        <v>70</v>
      </c>
      <c r="W572" s="24" t="s">
        <v>84</v>
      </c>
      <c r="Y572" s="24">
        <f t="shared" si="39"/>
        <v>2308.8601074200001</v>
      </c>
      <c r="Z572" s="24">
        <f t="shared" si="40"/>
        <v>122674.359</v>
      </c>
      <c r="AA572" s="24">
        <f t="shared" si="41"/>
        <v>7345.8989257800004</v>
      </c>
      <c r="AB572" s="24">
        <f t="shared" si="42"/>
        <v>6753.6826171900002</v>
      </c>
      <c r="AC572" s="24">
        <f t="shared" si="43"/>
        <v>3060.2731933599998</v>
      </c>
    </row>
    <row r="573" spans="9:29" ht="12.75" customHeight="1" x14ac:dyDescent="0.25">
      <c r="I573" s="1" t="s">
        <v>85</v>
      </c>
      <c r="J573" s="1">
        <v>1382.4399414100001</v>
      </c>
      <c r="K573" s="1">
        <v>4.4419460300000004</v>
      </c>
      <c r="L573" s="1">
        <v>1672.84997559</v>
      </c>
      <c r="M573" s="1">
        <v>3.8281991500000001</v>
      </c>
      <c r="N573" s="1">
        <v>493.24822998000002</v>
      </c>
      <c r="Q573" s="1" t="str">
        <f t="shared" si="38"/>
        <v>2025.01.27-09h38m.h5__SV.txt (m63-cor)</v>
      </c>
      <c r="R573" s="1" t="s">
        <v>65</v>
      </c>
      <c r="S573" s="1">
        <v>45</v>
      </c>
      <c r="T573" s="1">
        <v>45</v>
      </c>
      <c r="U573" s="1">
        <v>24</v>
      </c>
      <c r="V573" s="1" t="s">
        <v>71</v>
      </c>
      <c r="W573" s="24" t="s">
        <v>84</v>
      </c>
      <c r="Y573" s="24">
        <f t="shared" si="39"/>
        <v>3043.2800293</v>
      </c>
      <c r="Z573" s="24">
        <f t="shared" si="40"/>
        <v>208118.93799999999</v>
      </c>
      <c r="AA573" s="24">
        <f t="shared" si="41"/>
        <v>12882.2637</v>
      </c>
      <c r="AB573" s="24">
        <f t="shared" si="42"/>
        <v>9985.3535156199996</v>
      </c>
      <c r="AC573" s="24">
        <f t="shared" si="43"/>
        <v>4444.7358398400002</v>
      </c>
    </row>
    <row r="574" spans="9:29" ht="12.75" customHeight="1" x14ac:dyDescent="0.25">
      <c r="I574" s="1" t="s">
        <v>85</v>
      </c>
      <c r="J574" s="1">
        <v>2118.0600585900002</v>
      </c>
      <c r="K574" s="1">
        <v>5.0061988800000004</v>
      </c>
      <c r="L574" s="1">
        <v>2588.4699707</v>
      </c>
      <c r="M574" s="1">
        <v>4.5483517600000001</v>
      </c>
      <c r="N574" s="1">
        <v>4931.9575195300004</v>
      </c>
      <c r="Q574" s="1" t="str">
        <f t="shared" si="38"/>
        <v>2025.01.27-09h38m.h5__SV.txt (m63-cor)</v>
      </c>
      <c r="R574" s="1" t="s">
        <v>65</v>
      </c>
      <c r="S574" s="1">
        <v>45</v>
      </c>
      <c r="T574" s="1">
        <v>25</v>
      </c>
      <c r="U574" s="1">
        <v>24</v>
      </c>
      <c r="V574" s="1" t="s">
        <v>67</v>
      </c>
      <c r="W574" s="24" t="s">
        <v>84</v>
      </c>
      <c r="Y574" s="24">
        <f t="shared" si="39"/>
        <v>3781.3000488299999</v>
      </c>
      <c r="Z574" s="24">
        <f t="shared" si="40"/>
        <v>1107834.8799999999</v>
      </c>
      <c r="AA574" s="24">
        <f t="shared" si="41"/>
        <v>38372.042999999998</v>
      </c>
      <c r="AB574" s="24">
        <f t="shared" si="42"/>
        <v>50816.351600000002</v>
      </c>
      <c r="AC574" s="24">
        <f t="shared" si="43"/>
        <v>36858.925799999997</v>
      </c>
    </row>
    <row r="575" spans="9:29" ht="12.75" customHeight="1" x14ac:dyDescent="0.25">
      <c r="I575" s="1" t="s">
        <v>85</v>
      </c>
      <c r="J575" s="1">
        <v>2860.8798828099998</v>
      </c>
      <c r="K575" s="1">
        <v>6.5049977300000004</v>
      </c>
      <c r="L575" s="1">
        <v>3309.6899414099998</v>
      </c>
      <c r="M575" s="1">
        <v>4.9499769200000001</v>
      </c>
      <c r="N575" s="1">
        <v>5450.7416992199996</v>
      </c>
      <c r="Q575" s="1" t="str">
        <f t="shared" si="38"/>
        <v>2025.01.27-09h38m.h5__SV.txt (m63-cor)</v>
      </c>
      <c r="R575" s="1" t="s">
        <v>65</v>
      </c>
      <c r="S575" s="1">
        <v>45</v>
      </c>
      <c r="T575" s="1">
        <v>25</v>
      </c>
      <c r="U575" s="1">
        <v>24</v>
      </c>
      <c r="V575" s="1" t="s">
        <v>70</v>
      </c>
      <c r="W575" s="24" t="s">
        <v>84</v>
      </c>
      <c r="Y575" s="24">
        <f t="shared" si="39"/>
        <v>4520.5200195300004</v>
      </c>
      <c r="Z575" s="24">
        <f t="shared" si="40"/>
        <v>312937.375</v>
      </c>
      <c r="AA575" s="24">
        <f t="shared" si="41"/>
        <v>10863.96</v>
      </c>
      <c r="AB575" s="24">
        <f t="shared" si="42"/>
        <v>14913.4697</v>
      </c>
      <c r="AC575" s="24">
        <f t="shared" si="43"/>
        <v>10204.088900000001</v>
      </c>
    </row>
    <row r="576" spans="9:29" ht="12.75" customHeight="1" x14ac:dyDescent="0.25">
      <c r="I576" s="1" t="s">
        <v>85</v>
      </c>
      <c r="J576" s="1">
        <v>3597.6999511700001</v>
      </c>
      <c r="K576" s="1">
        <v>4.4440712900000001</v>
      </c>
      <c r="L576" s="1">
        <v>4024.9099121099998</v>
      </c>
      <c r="M576" s="1">
        <v>5.2193074199999998</v>
      </c>
      <c r="N576" s="1">
        <v>590.36468506000006</v>
      </c>
      <c r="Q576" s="1" t="str">
        <f t="shared" si="38"/>
        <v>2025.01.27-09h38m.h5__SV.txt (m63-cor)</v>
      </c>
      <c r="R576" s="1" t="s">
        <v>65</v>
      </c>
      <c r="S576" s="1">
        <v>45</v>
      </c>
      <c r="T576" s="1">
        <v>25</v>
      </c>
      <c r="U576" s="1">
        <v>24</v>
      </c>
      <c r="V576" s="1" t="s">
        <v>71</v>
      </c>
      <c r="W576" s="24" t="s">
        <v>84</v>
      </c>
      <c r="Y576" s="24">
        <f t="shared" si="39"/>
        <v>5258.5400390599998</v>
      </c>
      <c r="Z576" s="24">
        <f t="shared" si="40"/>
        <v>156575.59400000001</v>
      </c>
      <c r="AA576" s="24">
        <f t="shared" si="41"/>
        <v>5834.1879882800004</v>
      </c>
      <c r="AB576" s="24">
        <f t="shared" si="42"/>
        <v>7963.6108398400002</v>
      </c>
      <c r="AC576" s="24">
        <f t="shared" si="43"/>
        <v>4403.4980468800004</v>
      </c>
    </row>
    <row r="577" spans="9:29" ht="12.75" customHeight="1" x14ac:dyDescent="0.25">
      <c r="I577" s="1" t="s">
        <v>85</v>
      </c>
      <c r="J577" s="1">
        <v>4333.3198242199996</v>
      </c>
      <c r="K577" s="1">
        <v>5.6268472699999998</v>
      </c>
      <c r="L577" s="1">
        <v>4652.5297851599998</v>
      </c>
      <c r="M577" s="1">
        <v>4.1768670099999996</v>
      </c>
      <c r="N577" s="1">
        <v>2674.7927246099998</v>
      </c>
      <c r="Q577" s="1" t="str">
        <f t="shared" ref="Q577:Q591" si="44">I312</f>
        <v>2025.01.27-09h38m.h5__SV.txt (m63-cor)</v>
      </c>
      <c r="R577" s="1" t="s">
        <v>86</v>
      </c>
      <c r="S577" s="1">
        <v>25</v>
      </c>
      <c r="T577" s="1" t="s">
        <v>66</v>
      </c>
      <c r="U577" s="1" t="s">
        <v>66</v>
      </c>
      <c r="V577" s="1" t="s">
        <v>67</v>
      </c>
      <c r="W577" s="24" t="s">
        <v>73</v>
      </c>
      <c r="Y577" s="24">
        <f>J313</f>
        <v>7406.6000976599998</v>
      </c>
      <c r="Z577" s="24">
        <f>N313</f>
        <v>861.89959716999999</v>
      </c>
      <c r="AA577" s="24">
        <f t="shared" ref="AA577:AA585" si="45">N341</f>
        <v>136.71495056000001</v>
      </c>
      <c r="AB577" s="24">
        <f t="shared" ref="AB577:AB585" si="46">N368</f>
        <v>29.631290440000001</v>
      </c>
      <c r="AC577" s="24">
        <f>N395</f>
        <v>104.80192565999999</v>
      </c>
    </row>
    <row r="578" spans="9:29" ht="12.75" customHeight="1" x14ac:dyDescent="0.25">
      <c r="I578" s="1" t="s">
        <v>85</v>
      </c>
      <c r="J578" s="1">
        <v>5054.5400390599998</v>
      </c>
      <c r="K578" s="1">
        <v>5.1921963699999996</v>
      </c>
      <c r="L578" s="1">
        <v>5550.1499023400002</v>
      </c>
      <c r="M578" s="1">
        <v>5.2613682700000002</v>
      </c>
      <c r="N578" s="1">
        <v>5514.5615234400002</v>
      </c>
      <c r="Q578" s="1" t="str">
        <f t="shared" si="44"/>
        <v>2025.01.27-09h38m.h5__SV.txt (m63-cor)</v>
      </c>
      <c r="R578" s="1" t="s">
        <v>86</v>
      </c>
      <c r="S578" s="1">
        <v>25</v>
      </c>
      <c r="T578" s="1" t="s">
        <v>66</v>
      </c>
      <c r="U578" s="1" t="s">
        <v>66</v>
      </c>
      <c r="V578" s="1" t="s">
        <v>70</v>
      </c>
      <c r="W578" s="24" t="s">
        <v>73</v>
      </c>
      <c r="Y578" s="24">
        <f t="shared" ref="Y578:Y585" si="47">J315</f>
        <v>8562.23046875</v>
      </c>
      <c r="Z578" s="24">
        <f t="shared" ref="Z578:Z585" si="48">N315</f>
        <v>1231.8666992200001</v>
      </c>
      <c r="AA578" s="24">
        <f t="shared" si="45"/>
        <v>150.91540527000001</v>
      </c>
      <c r="AB578" s="24">
        <f t="shared" si="46"/>
        <v>78.943832400000005</v>
      </c>
      <c r="AC578" s="24">
        <f t="shared" ref="AC578:AC585" si="49">N397</f>
        <v>-90.810012819999997</v>
      </c>
    </row>
    <row r="579" spans="9:29" ht="12.75" customHeight="1" x14ac:dyDescent="0.25">
      <c r="I579" s="1" t="s">
        <v>85</v>
      </c>
      <c r="J579" s="1">
        <v>5806.9599609400002</v>
      </c>
      <c r="K579" s="1">
        <v>4.4173350300000003</v>
      </c>
      <c r="L579" s="1">
        <v>6313.3701171900002</v>
      </c>
      <c r="M579" s="1">
        <v>4.3670535099999999</v>
      </c>
      <c r="N579" s="2">
        <v>47037.441400000003</v>
      </c>
      <c r="Q579" s="1" t="str">
        <f t="shared" si="44"/>
        <v>2025.01.27-09h38m.h5__SV.txt (m63-cor)</v>
      </c>
      <c r="R579" s="1" t="s">
        <v>86</v>
      </c>
      <c r="S579" s="1">
        <v>25</v>
      </c>
      <c r="T579" s="1" t="s">
        <v>66</v>
      </c>
      <c r="U579" s="1" t="s">
        <v>66</v>
      </c>
      <c r="V579" s="1" t="s">
        <v>71</v>
      </c>
      <c r="W579" s="24" t="s">
        <v>73</v>
      </c>
      <c r="Y579" s="24">
        <f t="shared" si="47"/>
        <v>9065.0498046899993</v>
      </c>
      <c r="Z579" s="24">
        <f t="shared" si="48"/>
        <v>1340.2285156200001</v>
      </c>
      <c r="AA579" s="24">
        <f t="shared" si="45"/>
        <v>35.164558409999998</v>
      </c>
      <c r="AB579" s="24">
        <f t="shared" si="46"/>
        <v>249.51336670000001</v>
      </c>
      <c r="AC579" s="24">
        <f t="shared" si="49"/>
        <v>-77.172973630000001</v>
      </c>
    </row>
    <row r="580" spans="9:29" ht="12.75" customHeight="1" x14ac:dyDescent="0.25">
      <c r="I580" s="1" t="s">
        <v>85</v>
      </c>
      <c r="J580" s="1">
        <v>6726.1801757800004</v>
      </c>
      <c r="K580" s="1">
        <v>5.1428441999999999</v>
      </c>
      <c r="L580" s="1">
        <v>7314.2001953099998</v>
      </c>
      <c r="M580" s="1">
        <v>3.8391223000000001</v>
      </c>
      <c r="N580" s="2">
        <v>59676.531199999998</v>
      </c>
      <c r="Q580" s="1" t="str">
        <f t="shared" si="44"/>
        <v>2025.01.27-09h38m.h5__SV.txt (m63-cor)</v>
      </c>
      <c r="R580" s="1" t="s">
        <v>86</v>
      </c>
      <c r="S580" s="1">
        <v>45</v>
      </c>
      <c r="T580" s="1">
        <v>45</v>
      </c>
      <c r="U580" s="1">
        <v>24</v>
      </c>
      <c r="V580" s="1" t="s">
        <v>67</v>
      </c>
      <c r="W580" s="24" t="s">
        <v>75</v>
      </c>
      <c r="Y580" s="24">
        <f t="shared" si="47"/>
        <v>9553.4599609399993</v>
      </c>
      <c r="Z580" s="24">
        <f t="shared" si="48"/>
        <v>8895682</v>
      </c>
      <c r="AA580" s="24">
        <f t="shared" si="45"/>
        <v>451428.56199999998</v>
      </c>
      <c r="AB580" s="24">
        <f t="shared" si="46"/>
        <v>380516.84399999998</v>
      </c>
      <c r="AC580" s="24">
        <f t="shared" si="49"/>
        <v>236744.06200000001</v>
      </c>
    </row>
    <row r="581" spans="9:29" ht="12.75" customHeight="1" x14ac:dyDescent="0.25">
      <c r="I581" s="1" t="s">
        <v>85</v>
      </c>
      <c r="J581" s="1">
        <v>7644.2099609400002</v>
      </c>
      <c r="K581" s="1">
        <v>5.0567469599999999</v>
      </c>
      <c r="L581" s="1">
        <v>8223.8203125</v>
      </c>
      <c r="M581" s="1">
        <v>4.20183134</v>
      </c>
      <c r="N581" s="2">
        <v>63133.824200000003</v>
      </c>
      <c r="Q581" s="1" t="str">
        <f t="shared" si="44"/>
        <v>2025.01.27-09h38m.h5__SV.txt (m63-cor)</v>
      </c>
      <c r="R581" s="1" t="s">
        <v>86</v>
      </c>
      <c r="S581" s="1">
        <v>45</v>
      </c>
      <c r="T581" s="1">
        <v>45</v>
      </c>
      <c r="U581" s="1">
        <v>24</v>
      </c>
      <c r="V581" s="1" t="s">
        <v>70</v>
      </c>
      <c r="W581" s="24" t="s">
        <v>75</v>
      </c>
      <c r="Y581" s="24">
        <f t="shared" si="47"/>
        <v>10464.299800000001</v>
      </c>
      <c r="Z581" s="24">
        <f t="shared" si="48"/>
        <v>7721706.5</v>
      </c>
      <c r="AA581" s="24">
        <f t="shared" si="45"/>
        <v>398689.43800000002</v>
      </c>
      <c r="AB581" s="24">
        <f t="shared" si="46"/>
        <v>327704.71899999998</v>
      </c>
      <c r="AC581" s="24">
        <f t="shared" si="49"/>
        <v>196200.59400000001</v>
      </c>
    </row>
    <row r="582" spans="9:29" ht="12.75" customHeight="1" x14ac:dyDescent="0.25">
      <c r="I582" s="1" t="s">
        <v>85</v>
      </c>
      <c r="J582" s="1">
        <v>8547.8300781199996</v>
      </c>
      <c r="K582" s="1">
        <v>3.3199372299999999</v>
      </c>
      <c r="L582" s="1">
        <v>9107.0498046899993</v>
      </c>
      <c r="M582" s="1">
        <v>4.8850135799999999</v>
      </c>
      <c r="N582" s="2">
        <v>18722.287100000001</v>
      </c>
      <c r="Q582" s="1" t="str">
        <f t="shared" si="44"/>
        <v>2025.01.27-09h38m.h5__SV.txt (m63-cor)</v>
      </c>
      <c r="R582" s="1" t="s">
        <v>86</v>
      </c>
      <c r="S582" s="1">
        <v>45</v>
      </c>
      <c r="T582" s="1">
        <v>45</v>
      </c>
      <c r="U582" s="1">
        <v>24</v>
      </c>
      <c r="V582" s="1" t="s">
        <v>71</v>
      </c>
      <c r="W582" s="24" t="s">
        <v>75</v>
      </c>
      <c r="X582" s="1" t="s">
        <v>87</v>
      </c>
      <c r="Y582" s="24">
        <f t="shared" si="47"/>
        <v>11388.299800000001</v>
      </c>
      <c r="Z582" s="24">
        <f t="shared" si="48"/>
        <v>2222344.25</v>
      </c>
      <c r="AA582" s="24">
        <f t="shared" si="45"/>
        <v>132503.46900000001</v>
      </c>
      <c r="AB582" s="24">
        <f t="shared" si="46"/>
        <v>105173.109</v>
      </c>
      <c r="AC582" s="24">
        <f t="shared" si="49"/>
        <v>76065.054699999993</v>
      </c>
    </row>
    <row r="583" spans="9:29" ht="12.75" customHeight="1" x14ac:dyDescent="0.25">
      <c r="I583" s="1" t="s">
        <v>85</v>
      </c>
      <c r="J583" s="1">
        <v>9480.2597656199996</v>
      </c>
      <c r="K583" s="1">
        <v>5.9654183400000003</v>
      </c>
      <c r="L583" s="2">
        <v>10115.0996</v>
      </c>
      <c r="M583" s="1">
        <v>4.3594913499999999</v>
      </c>
      <c r="N583" s="2">
        <v>13916.2559</v>
      </c>
      <c r="Q583" s="1" t="str">
        <f t="shared" si="44"/>
        <v>2025.01.27-09h38m.h5__SV.txt (m63-cor)</v>
      </c>
      <c r="R583" s="1" t="s">
        <v>86</v>
      </c>
      <c r="S583" s="1">
        <v>45</v>
      </c>
      <c r="T583" s="1">
        <v>25</v>
      </c>
      <c r="U583" s="1">
        <v>24</v>
      </c>
      <c r="V583" s="1" t="s">
        <v>67</v>
      </c>
      <c r="W583" s="24" t="s">
        <v>75</v>
      </c>
      <c r="Y583" s="24">
        <f t="shared" si="47"/>
        <v>12299.0996</v>
      </c>
      <c r="Z583" s="24">
        <f t="shared" si="48"/>
        <v>5749208.5</v>
      </c>
      <c r="AA583" s="24">
        <f t="shared" si="45"/>
        <v>175972.68799999999</v>
      </c>
      <c r="AB583" s="24">
        <f t="shared" si="46"/>
        <v>246952.09400000001</v>
      </c>
      <c r="AC583" s="24">
        <f t="shared" si="49"/>
        <v>186154.40599999999</v>
      </c>
    </row>
    <row r="584" spans="9:29" ht="12.75" customHeight="1" x14ac:dyDescent="0.25">
      <c r="I584" s="1" t="s">
        <v>85</v>
      </c>
      <c r="J584" s="2">
        <v>10383.9004</v>
      </c>
      <c r="K584" s="1">
        <v>3.8426880799999998</v>
      </c>
      <c r="L584" s="2">
        <v>11069.0996</v>
      </c>
      <c r="M584" s="1">
        <v>4.4176092100000002</v>
      </c>
      <c r="N584" s="2">
        <v>34736.984400000001</v>
      </c>
      <c r="Q584" s="1" t="str">
        <f t="shared" si="44"/>
        <v>2025.01.27-09h38m.h5__SV.txt (m63-cor)</v>
      </c>
      <c r="R584" s="1" t="s">
        <v>86</v>
      </c>
      <c r="S584" s="1">
        <v>45</v>
      </c>
      <c r="T584" s="1">
        <v>25</v>
      </c>
      <c r="U584" s="1">
        <v>24</v>
      </c>
      <c r="V584" s="1" t="s">
        <v>70</v>
      </c>
      <c r="W584" s="24" t="s">
        <v>75</v>
      </c>
      <c r="Y584" s="24">
        <f t="shared" si="47"/>
        <v>13223.200199999999</v>
      </c>
      <c r="Z584" s="24">
        <f t="shared" si="48"/>
        <v>8320289.5</v>
      </c>
      <c r="AA584" s="24">
        <f t="shared" si="45"/>
        <v>249564.266</v>
      </c>
      <c r="AB584" s="24">
        <f t="shared" si="46"/>
        <v>341280.5</v>
      </c>
      <c r="AC584" s="24">
        <f t="shared" si="49"/>
        <v>184007.734</v>
      </c>
    </row>
    <row r="585" spans="9:29" ht="12.75" customHeight="1" x14ac:dyDescent="0.25">
      <c r="I585" s="1" t="s">
        <v>85</v>
      </c>
      <c r="J585" s="2">
        <v>11972.700199999999</v>
      </c>
      <c r="K585" s="1">
        <v>3.3984897100000002</v>
      </c>
      <c r="L585" s="2">
        <v>12457.5</v>
      </c>
      <c r="M585" s="1">
        <v>3.3678312300000002</v>
      </c>
      <c r="N585" s="2">
        <v>17417.5723</v>
      </c>
      <c r="Q585" s="1" t="str">
        <f t="shared" si="44"/>
        <v>2025.01.27-09h38m.h5__SV.txt (m63-cor)</v>
      </c>
      <c r="R585" s="1" t="s">
        <v>86</v>
      </c>
      <c r="S585" s="1">
        <v>45</v>
      </c>
      <c r="T585" s="1">
        <v>25</v>
      </c>
      <c r="U585" s="1">
        <v>24</v>
      </c>
      <c r="V585" s="1" t="s">
        <v>71</v>
      </c>
      <c r="W585" s="24" t="s">
        <v>75</v>
      </c>
      <c r="Y585" s="24">
        <f t="shared" si="47"/>
        <v>14136.4004</v>
      </c>
      <c r="Z585" s="24">
        <f t="shared" si="48"/>
        <v>4842767</v>
      </c>
      <c r="AA585" s="24">
        <f t="shared" si="45"/>
        <v>152303.34400000001</v>
      </c>
      <c r="AB585" s="24">
        <f t="shared" si="46"/>
        <v>213908.016</v>
      </c>
      <c r="AC585" s="24">
        <f t="shared" si="49"/>
        <v>180600</v>
      </c>
    </row>
    <row r="586" spans="9:29" ht="12.75" customHeight="1" x14ac:dyDescent="0.25">
      <c r="I586" s="1" t="s">
        <v>85</v>
      </c>
      <c r="J586" s="2">
        <v>12714.299800000001</v>
      </c>
      <c r="K586" s="1">
        <v>3.707201</v>
      </c>
      <c r="L586" s="2">
        <v>13484.799800000001</v>
      </c>
      <c r="M586" s="1">
        <v>5.5749788300000001</v>
      </c>
      <c r="N586" s="2">
        <v>75973.343800000002</v>
      </c>
      <c r="Q586" s="1" t="str">
        <f t="shared" si="44"/>
        <v>2025.01.27-09h38m.h5__SV.txt (m63-cor)</v>
      </c>
      <c r="R586" s="1" t="s">
        <v>86</v>
      </c>
      <c r="S586" s="1">
        <v>45</v>
      </c>
      <c r="T586" s="1">
        <v>45</v>
      </c>
      <c r="U586" s="1">
        <v>24</v>
      </c>
      <c r="V586" s="1" t="s">
        <v>67</v>
      </c>
      <c r="W586" s="24" t="s">
        <v>79</v>
      </c>
      <c r="Y586" s="24">
        <f t="shared" ref="Y586:Y587" si="50">J324</f>
        <v>16457.199199999999</v>
      </c>
      <c r="Z586" s="24">
        <f t="shared" ref="Z586:Z591" si="51">N324</f>
        <v>9090344</v>
      </c>
      <c r="AA586" s="24">
        <f t="shared" ref="AA586:AA587" si="52">N351</f>
        <v>464049.21899999998</v>
      </c>
      <c r="AB586" s="24">
        <f t="shared" ref="AB586:AB587" si="53">N378</f>
        <v>399234.75</v>
      </c>
      <c r="AC586" s="24">
        <f t="shared" ref="AC586:AC591" si="54">N406</f>
        <v>232553.20300000001</v>
      </c>
    </row>
    <row r="587" spans="9:29" ht="12.75" customHeight="1" x14ac:dyDescent="0.25">
      <c r="I587" s="1" t="s">
        <v>85</v>
      </c>
      <c r="J587" s="2">
        <v>13621.5996</v>
      </c>
      <c r="K587" s="1">
        <v>4.5092921300000004</v>
      </c>
      <c r="L587" s="2">
        <v>14358.4004</v>
      </c>
      <c r="M587" s="1">
        <v>5.4320149400000002</v>
      </c>
      <c r="N587" s="2">
        <v>62316.738299999997</v>
      </c>
      <c r="Q587" s="1" t="str">
        <f t="shared" si="44"/>
        <v>2025.01.27-09h38m.h5__SV.txt (m63-cor)</v>
      </c>
      <c r="R587" s="1" t="s">
        <v>86</v>
      </c>
      <c r="S587" s="1">
        <v>45</v>
      </c>
      <c r="T587" s="1">
        <v>45</v>
      </c>
      <c r="U587" s="1">
        <v>24</v>
      </c>
      <c r="V587" s="1" t="s">
        <v>70</v>
      </c>
      <c r="W587" s="24" t="s">
        <v>79</v>
      </c>
      <c r="Y587" s="24">
        <f t="shared" si="50"/>
        <v>17380.099600000001</v>
      </c>
      <c r="Z587" s="24">
        <f t="shared" si="51"/>
        <v>8850109</v>
      </c>
      <c r="AA587" s="24">
        <f t="shared" si="52"/>
        <v>458110.03100000002</v>
      </c>
      <c r="AB587" s="24">
        <f t="shared" si="53"/>
        <v>384776.625</v>
      </c>
      <c r="AC587" s="24">
        <f t="shared" si="54"/>
        <v>226258.016</v>
      </c>
    </row>
    <row r="588" spans="9:29" ht="12.75" customHeight="1" x14ac:dyDescent="0.25">
      <c r="I588" s="1" t="s">
        <v>85</v>
      </c>
      <c r="J588" s="2">
        <v>14548</v>
      </c>
      <c r="K588" s="1">
        <v>5.3977355999999999</v>
      </c>
      <c r="L588" s="2">
        <v>15202</v>
      </c>
      <c r="M588" s="1">
        <v>4.5759196299999996</v>
      </c>
      <c r="N588" s="2">
        <v>65336.160199999998</v>
      </c>
      <c r="Q588" s="1" t="str">
        <f t="shared" si="44"/>
        <v>2025.01.27-09h38m.h5__SV.txt (m63-cor)</v>
      </c>
      <c r="R588" s="1" t="s">
        <v>86</v>
      </c>
      <c r="S588" s="1">
        <v>45</v>
      </c>
      <c r="T588" s="1">
        <v>45</v>
      </c>
      <c r="U588" s="1">
        <v>24</v>
      </c>
      <c r="V588" s="1" t="s">
        <v>71</v>
      </c>
      <c r="W588" s="24" t="s">
        <v>79</v>
      </c>
      <c r="Y588" s="24">
        <f>J353</f>
        <v>18296.900399999999</v>
      </c>
      <c r="Z588" s="24">
        <f t="shared" si="51"/>
        <v>7580957</v>
      </c>
      <c r="AA588" s="24">
        <f>N380</f>
        <v>340355.34399999998</v>
      </c>
      <c r="AB588" s="24">
        <f>N379</f>
        <v>384776.625</v>
      </c>
      <c r="AC588" s="24">
        <f t="shared" si="54"/>
        <v>229595.75</v>
      </c>
    </row>
    <row r="589" spans="9:29" ht="12.75" customHeight="1" x14ac:dyDescent="0.25">
      <c r="I589" s="1" t="s">
        <v>85</v>
      </c>
      <c r="J589" s="2">
        <v>15469.5996</v>
      </c>
      <c r="K589" s="1">
        <v>6.3883457200000002</v>
      </c>
      <c r="L589" s="2">
        <v>16283.200199999999</v>
      </c>
      <c r="M589" s="1">
        <v>5.8491997700000002</v>
      </c>
      <c r="N589" s="2">
        <v>48181.273399999998</v>
      </c>
      <c r="Q589" s="1" t="str">
        <f t="shared" si="44"/>
        <v>2025.01.27-09h38m.h5__SV.txt (m63-cor)</v>
      </c>
      <c r="R589" s="1" t="s">
        <v>86</v>
      </c>
      <c r="S589" s="1">
        <v>45</v>
      </c>
      <c r="T589" s="1">
        <v>25</v>
      </c>
      <c r="U589" s="1">
        <v>24</v>
      </c>
      <c r="V589" s="1" t="s">
        <v>67</v>
      </c>
      <c r="W589" s="24" t="s">
        <v>79</v>
      </c>
      <c r="Y589" s="24">
        <f t="shared" ref="Y589:Y591" si="55">J327</f>
        <v>19212.5</v>
      </c>
      <c r="Z589" s="24">
        <f t="shared" si="51"/>
        <v>5994955.5</v>
      </c>
      <c r="AA589" s="24">
        <f t="shared" ref="AA589:AA591" si="56">N354</f>
        <v>184684.07800000001</v>
      </c>
      <c r="AB589" s="24">
        <f t="shared" ref="AB589:AB591" si="57">N381</f>
        <v>260838.04699999999</v>
      </c>
      <c r="AC589" s="24">
        <f t="shared" si="54"/>
        <v>146471.34400000001</v>
      </c>
    </row>
    <row r="590" spans="9:29" ht="12.75" customHeight="1" x14ac:dyDescent="0.25">
      <c r="I590" s="1" t="s">
        <v>85</v>
      </c>
      <c r="J590" s="2">
        <v>16388.800800000001</v>
      </c>
      <c r="K590" s="1">
        <v>5.8009448099999998</v>
      </c>
      <c r="L590" s="2">
        <v>17074.099600000001</v>
      </c>
      <c r="M590" s="1">
        <v>6.7983522399999998</v>
      </c>
      <c r="N590" s="2">
        <v>41343.773399999998</v>
      </c>
      <c r="Q590" s="1" t="str">
        <f t="shared" si="44"/>
        <v>2025.01.27-09h38m.h5__SV.txt (m63-cor)</v>
      </c>
      <c r="R590" s="1" t="s">
        <v>86</v>
      </c>
      <c r="S590" s="1">
        <v>45</v>
      </c>
      <c r="T590" s="1">
        <v>25</v>
      </c>
      <c r="U590" s="1">
        <v>24</v>
      </c>
      <c r="V590" s="1" t="s">
        <v>70</v>
      </c>
      <c r="W590" s="24" t="s">
        <v>79</v>
      </c>
      <c r="Y590" s="24">
        <f t="shared" si="55"/>
        <v>20132.900399999999</v>
      </c>
      <c r="Z590" s="24">
        <f t="shared" si="51"/>
        <v>7725239.5</v>
      </c>
      <c r="AA590" s="24">
        <f t="shared" si="56"/>
        <v>240627.04699999999</v>
      </c>
      <c r="AB590" s="24">
        <f t="shared" si="57"/>
        <v>328777.75</v>
      </c>
      <c r="AC590" s="24">
        <f t="shared" si="54"/>
        <v>151431.875</v>
      </c>
    </row>
    <row r="591" spans="9:29" ht="12.75" customHeight="1" x14ac:dyDescent="0.25">
      <c r="I591" s="1" t="s">
        <v>85</v>
      </c>
      <c r="J591" s="2">
        <v>17308.099600000001</v>
      </c>
      <c r="K591" s="1">
        <v>5.5499944699999997</v>
      </c>
      <c r="L591" s="2">
        <v>17789.300800000001</v>
      </c>
      <c r="M591" s="1">
        <v>5.0902299900000001</v>
      </c>
      <c r="N591" s="2">
        <v>10299.107400000001</v>
      </c>
      <c r="Q591" s="1" t="str">
        <f t="shared" si="44"/>
        <v>2025.01.27-09h38m.h5__SV.txt (m63-cor)</v>
      </c>
      <c r="R591" s="1" t="s">
        <v>86</v>
      </c>
      <c r="S591" s="1">
        <v>45</v>
      </c>
      <c r="T591" s="1">
        <v>25</v>
      </c>
      <c r="U591" s="1">
        <v>24</v>
      </c>
      <c r="V591" s="1" t="s">
        <v>71</v>
      </c>
      <c r="W591" s="24" t="s">
        <v>79</v>
      </c>
      <c r="Y591" s="24">
        <f t="shared" si="55"/>
        <v>21049.800800000001</v>
      </c>
      <c r="Z591" s="24">
        <f t="shared" si="51"/>
        <v>4226166.5</v>
      </c>
      <c r="AA591" s="24">
        <f t="shared" si="56"/>
        <v>137676.17199999999</v>
      </c>
      <c r="AB591" s="24">
        <f t="shared" si="57"/>
        <v>191084.65599999999</v>
      </c>
      <c r="AC591" s="24">
        <f t="shared" si="54"/>
        <v>136638.42199999999</v>
      </c>
    </row>
    <row r="592" spans="9:29" ht="12.75" customHeight="1" x14ac:dyDescent="0.25">
      <c r="I592" s="1" t="s">
        <v>85</v>
      </c>
      <c r="J592" s="2">
        <v>18251.300800000001</v>
      </c>
      <c r="K592" s="1">
        <v>5.9054593999999998</v>
      </c>
      <c r="L592" s="2">
        <v>18712.099600000001</v>
      </c>
      <c r="M592" s="1">
        <v>3.7331008899999998</v>
      </c>
      <c r="N592" s="2">
        <v>16489.041000000001</v>
      </c>
      <c r="Q592" s="1" t="s">
        <v>44</v>
      </c>
      <c r="R592" s="1" t="s">
        <v>86</v>
      </c>
      <c r="S592" s="1">
        <v>25</v>
      </c>
      <c r="T592" s="1" t="s">
        <v>66</v>
      </c>
      <c r="U592" s="1" t="s">
        <v>66</v>
      </c>
      <c r="V592" s="1" t="s">
        <v>67</v>
      </c>
      <c r="W592" s="24" t="s">
        <v>75</v>
      </c>
      <c r="Y592" s="24">
        <f t="shared" ref="Y592:Y597" si="58">J415</f>
        <v>792.02197265999996</v>
      </c>
      <c r="Z592" s="24">
        <f t="shared" ref="Z592:Z597" si="59">N415</f>
        <v>2191838.25</v>
      </c>
      <c r="AA592" s="24">
        <f t="shared" ref="AA592:AA594" si="60">N432</f>
        <v>62598.761700000003</v>
      </c>
      <c r="AB592" s="24">
        <f t="shared" ref="AB592:AB594" si="61">N449</f>
        <v>100439.117</v>
      </c>
      <c r="AC592" s="24">
        <f t="shared" ref="AC592:AC594" si="62">N467</f>
        <v>1957.4024658200001</v>
      </c>
    </row>
    <row r="593" spans="9:29" ht="12.75" customHeight="1" x14ac:dyDescent="0.25">
      <c r="Q593" s="1" t="s">
        <v>44</v>
      </c>
      <c r="R593" s="1" t="s">
        <v>86</v>
      </c>
      <c r="S593" s="1">
        <v>25</v>
      </c>
      <c r="T593" s="1" t="s">
        <v>66</v>
      </c>
      <c r="U593" s="1" t="s">
        <v>66</v>
      </c>
      <c r="V593" s="1" t="s">
        <v>70</v>
      </c>
      <c r="W593" s="24" t="s">
        <v>75</v>
      </c>
      <c r="Y593" s="24">
        <f t="shared" si="58"/>
        <v>1532.4399414100001</v>
      </c>
      <c r="Z593" s="24">
        <f t="shared" si="59"/>
        <v>2139663.25</v>
      </c>
      <c r="AA593" s="24">
        <f t="shared" si="60"/>
        <v>61740.906199999998</v>
      </c>
      <c r="AB593" s="24">
        <f t="shared" si="61"/>
        <v>97646.648400000005</v>
      </c>
      <c r="AC593" s="24">
        <f t="shared" si="62"/>
        <v>1930.1274414100001</v>
      </c>
    </row>
    <row r="594" spans="9:29" ht="12.75" customHeight="1" x14ac:dyDescent="0.25">
      <c r="I594" s="1" t="s">
        <v>17</v>
      </c>
      <c r="Q594" s="1" t="s">
        <v>44</v>
      </c>
      <c r="R594" s="1" t="s">
        <v>86</v>
      </c>
      <c r="S594" s="1">
        <v>25</v>
      </c>
      <c r="T594" s="1" t="s">
        <v>66</v>
      </c>
      <c r="U594" s="1" t="s">
        <v>66</v>
      </c>
      <c r="V594" s="1" t="s">
        <v>71</v>
      </c>
      <c r="W594" s="24" t="s">
        <v>75</v>
      </c>
      <c r="Y594" s="24">
        <f t="shared" si="58"/>
        <v>2269.2600097700001</v>
      </c>
      <c r="Z594" s="24">
        <f t="shared" si="59"/>
        <v>2060102.38</v>
      </c>
      <c r="AA594" s="24">
        <f t="shared" si="60"/>
        <v>59093.511700000003</v>
      </c>
      <c r="AB594" s="24">
        <f t="shared" si="61"/>
        <v>91657.398400000005</v>
      </c>
      <c r="AC594" s="24">
        <f t="shared" si="62"/>
        <v>1905.1837158200001</v>
      </c>
    </row>
    <row r="595" spans="9:29" ht="12.75" customHeight="1" x14ac:dyDescent="0.25">
      <c r="I595" s="1" t="s">
        <v>0</v>
      </c>
      <c r="J595" s="1" t="s">
        <v>1</v>
      </c>
      <c r="K595" s="1" t="s">
        <v>2</v>
      </c>
      <c r="L595" s="1" t="s">
        <v>3</v>
      </c>
      <c r="M595" s="1" t="s">
        <v>4</v>
      </c>
      <c r="N595" s="1" t="s">
        <v>5</v>
      </c>
      <c r="Q595" s="1" t="s">
        <v>44</v>
      </c>
      <c r="R595" s="1" t="s">
        <v>86</v>
      </c>
      <c r="S595" s="1">
        <v>25</v>
      </c>
      <c r="T595" s="1">
        <v>25</v>
      </c>
      <c r="U595" s="1">
        <v>24</v>
      </c>
      <c r="V595" s="1" t="s">
        <v>67</v>
      </c>
      <c r="W595" s="24" t="s">
        <v>75</v>
      </c>
      <c r="Y595" s="24">
        <f t="shared" si="58"/>
        <v>3745.3000488299999</v>
      </c>
      <c r="Z595" s="24">
        <f t="shared" si="59"/>
        <v>2242.6826171900002</v>
      </c>
      <c r="AA595" s="24">
        <f t="shared" ref="AA595:AA603" si="63">N436</f>
        <v>104.63796234</v>
      </c>
      <c r="AB595" s="24">
        <f t="shared" ref="AB595:AB597" si="64">N453</f>
        <v>221.69357299999999</v>
      </c>
      <c r="AC595" s="24">
        <f t="shared" ref="AC595:AC603" si="65">N471</f>
        <v>12750.352500000001</v>
      </c>
    </row>
    <row r="596" spans="9:29" ht="12.75" customHeight="1" x14ac:dyDescent="0.25">
      <c r="I596" s="1" t="s">
        <v>88</v>
      </c>
      <c r="J596" s="1">
        <v>638.41699218999997</v>
      </c>
      <c r="K596" s="1">
        <v>0.88925575999999995</v>
      </c>
      <c r="L596" s="1">
        <v>1221.6300048799999</v>
      </c>
      <c r="M596" s="1">
        <v>1.59718049</v>
      </c>
      <c r="N596" s="2">
        <v>243956.17199999999</v>
      </c>
      <c r="Q596" s="1" t="s">
        <v>44</v>
      </c>
      <c r="R596" s="1" t="s">
        <v>86</v>
      </c>
      <c r="S596" s="1">
        <v>25</v>
      </c>
      <c r="T596" s="1">
        <v>25</v>
      </c>
      <c r="U596" s="1">
        <v>24</v>
      </c>
      <c r="V596" s="1" t="s">
        <v>70</v>
      </c>
      <c r="W596" s="24" t="s">
        <v>75</v>
      </c>
      <c r="Y596" s="24">
        <f t="shared" si="58"/>
        <v>4491.7202148400002</v>
      </c>
      <c r="Z596" s="24">
        <f t="shared" si="59"/>
        <v>2322.0825195299999</v>
      </c>
      <c r="AA596" s="24">
        <f t="shared" si="63"/>
        <v>210.02626038</v>
      </c>
      <c r="AB596" s="24">
        <f t="shared" si="64"/>
        <v>278.07818603999999</v>
      </c>
      <c r="AC596" s="24">
        <f t="shared" si="65"/>
        <v>15675.330099999999</v>
      </c>
    </row>
    <row r="597" spans="9:29" ht="12.75" customHeight="1" x14ac:dyDescent="0.25">
      <c r="I597" s="1" t="s">
        <v>88</v>
      </c>
      <c r="J597" s="1">
        <v>1386.04003906</v>
      </c>
      <c r="K597" s="1">
        <v>1.7297210700000001</v>
      </c>
      <c r="L597" s="1">
        <v>1687.25</v>
      </c>
      <c r="M597" s="1">
        <v>1.2154630399999999</v>
      </c>
      <c r="N597" s="1">
        <v>934.78247069999998</v>
      </c>
      <c r="Q597" s="1" t="s">
        <v>44</v>
      </c>
      <c r="R597" s="1" t="s">
        <v>86</v>
      </c>
      <c r="S597" s="1">
        <v>25</v>
      </c>
      <c r="T597" s="1">
        <v>25</v>
      </c>
      <c r="U597" s="1">
        <v>24</v>
      </c>
      <c r="V597" s="1" t="s">
        <v>71</v>
      </c>
      <c r="W597" s="24" t="s">
        <v>75</v>
      </c>
      <c r="Y597" s="24">
        <f t="shared" si="58"/>
        <v>5221.33984375</v>
      </c>
      <c r="Z597" s="24">
        <f t="shared" si="59"/>
        <v>2346.4848632799999</v>
      </c>
      <c r="AA597" s="24">
        <f t="shared" si="63"/>
        <v>82.442581180000005</v>
      </c>
      <c r="AB597" s="24">
        <f t="shared" si="64"/>
        <v>201.39982605</v>
      </c>
      <c r="AC597" s="24">
        <f t="shared" si="65"/>
        <v>12837.2207</v>
      </c>
    </row>
    <row r="598" spans="9:29" ht="12.75" customHeight="1" x14ac:dyDescent="0.25">
      <c r="I598" s="1" t="s">
        <v>88</v>
      </c>
      <c r="J598" s="1">
        <v>2116.8601074200001</v>
      </c>
      <c r="K598" s="1">
        <v>0.87683319999999998</v>
      </c>
      <c r="L598" s="1">
        <v>2563.2700195299999</v>
      </c>
      <c r="M598" s="1">
        <v>1.03273511</v>
      </c>
      <c r="N598" s="2">
        <v>10923.9424</v>
      </c>
      <c r="Q598" s="1" t="s">
        <v>44</v>
      </c>
      <c r="R598" s="1" t="s">
        <v>86</v>
      </c>
      <c r="S598" s="1">
        <v>25</v>
      </c>
      <c r="T598" s="1">
        <v>45</v>
      </c>
      <c r="U598" s="1">
        <v>24</v>
      </c>
      <c r="V598" s="1" t="s">
        <v>67</v>
      </c>
      <c r="W598" s="24" t="s">
        <v>73</v>
      </c>
      <c r="Y598" s="24">
        <f t="shared" ref="Y598:Y603" si="66">J422</f>
        <v>6620.5800781199996</v>
      </c>
      <c r="Z598" s="24">
        <f t="shared" ref="Z598:Z603" si="67">N422</f>
        <v>3006.7092285200001</v>
      </c>
      <c r="AA598" s="24">
        <f t="shared" si="63"/>
        <v>138.91542053000001</v>
      </c>
      <c r="AB598" s="24">
        <f t="shared" ref="AB598:AB603" si="68">N457</f>
        <v>394.04891967999998</v>
      </c>
      <c r="AC598" s="24">
        <f t="shared" si="65"/>
        <v>4565.7709960900002</v>
      </c>
    </row>
    <row r="599" spans="9:29" ht="12.75" customHeight="1" x14ac:dyDescent="0.25">
      <c r="I599" s="1" t="s">
        <v>88</v>
      </c>
      <c r="J599" s="1">
        <v>2857.2800293</v>
      </c>
      <c r="K599" s="1">
        <v>1.1276097300000001</v>
      </c>
      <c r="L599" s="1">
        <v>3242.4899902299999</v>
      </c>
      <c r="M599" s="1">
        <v>1.4991347799999999</v>
      </c>
      <c r="N599" s="2">
        <v>10464.804700000001</v>
      </c>
      <c r="Q599" s="1" t="s">
        <v>44</v>
      </c>
      <c r="R599" s="1" t="s">
        <v>86</v>
      </c>
      <c r="S599" s="1">
        <v>25</v>
      </c>
      <c r="T599" s="1">
        <v>45</v>
      </c>
      <c r="U599" s="1">
        <v>24</v>
      </c>
      <c r="V599" s="1" t="s">
        <v>70</v>
      </c>
      <c r="W599" s="24" t="s">
        <v>73</v>
      </c>
      <c r="Y599" s="24">
        <f t="shared" si="66"/>
        <v>7362.2001953099998</v>
      </c>
      <c r="Z599" s="24">
        <f t="shared" si="67"/>
        <v>2382.8103027299999</v>
      </c>
      <c r="AA599" s="24">
        <f t="shared" si="63"/>
        <v>176.77420043999999</v>
      </c>
      <c r="AB599" s="24">
        <f t="shared" si="68"/>
        <v>624.05084228999999</v>
      </c>
      <c r="AC599" s="24">
        <f t="shared" si="65"/>
        <v>3208.1169433599998</v>
      </c>
    </row>
    <row r="600" spans="9:29" ht="12.75" customHeight="1" x14ac:dyDescent="0.25">
      <c r="I600" s="1" t="s">
        <v>88</v>
      </c>
      <c r="J600" s="1">
        <v>3598.8999023400002</v>
      </c>
      <c r="K600" s="1">
        <v>1.1110348699999999</v>
      </c>
      <c r="L600" s="1">
        <v>3856.9099121099998</v>
      </c>
      <c r="M600" s="1">
        <v>1.24294364</v>
      </c>
      <c r="N600" s="1">
        <v>795.85339354999996</v>
      </c>
      <c r="Q600" s="1" t="s">
        <v>44</v>
      </c>
      <c r="R600" s="1" t="s">
        <v>86</v>
      </c>
      <c r="S600" s="1">
        <v>25</v>
      </c>
      <c r="T600" s="1">
        <v>45</v>
      </c>
      <c r="U600" s="1">
        <v>24</v>
      </c>
      <c r="V600" s="1" t="s">
        <v>71</v>
      </c>
      <c r="W600" s="24" t="s">
        <v>73</v>
      </c>
      <c r="Y600" s="24">
        <f t="shared" si="66"/>
        <v>8105.0200195300004</v>
      </c>
      <c r="Z600" s="24">
        <f t="shared" si="67"/>
        <v>3019.8081054700001</v>
      </c>
      <c r="AA600" s="24">
        <f t="shared" si="63"/>
        <v>211.69734192000001</v>
      </c>
      <c r="AB600" s="24">
        <f t="shared" si="68"/>
        <v>358.77767943999999</v>
      </c>
      <c r="AC600" s="24">
        <f t="shared" si="65"/>
        <v>2695.0961914099998</v>
      </c>
    </row>
    <row r="601" spans="9:29" ht="12.75" customHeight="1" x14ac:dyDescent="0.25">
      <c r="I601" s="1" t="s">
        <v>88</v>
      </c>
      <c r="J601" s="1">
        <v>4326.1201171900002</v>
      </c>
      <c r="K601" s="1">
        <v>1.16803718</v>
      </c>
      <c r="L601" s="1">
        <v>4647.7299804699996</v>
      </c>
      <c r="M601" s="1">
        <v>1.4643083800000001</v>
      </c>
      <c r="N601" s="1">
        <v>7857.6386718800004</v>
      </c>
      <c r="Q601" s="1" t="s">
        <v>44</v>
      </c>
      <c r="R601" s="1" t="s">
        <v>86</v>
      </c>
      <c r="S601" s="1">
        <v>25</v>
      </c>
      <c r="T601" s="1" t="s">
        <v>66</v>
      </c>
      <c r="U601" s="1" t="s">
        <v>66</v>
      </c>
      <c r="V601" s="1" t="s">
        <v>67</v>
      </c>
      <c r="W601" s="24" t="s">
        <v>68</v>
      </c>
      <c r="Y601" s="24">
        <f t="shared" si="66"/>
        <v>8831.0400390600007</v>
      </c>
      <c r="Z601" s="24">
        <f t="shared" si="67"/>
        <v>17081.273399999998</v>
      </c>
      <c r="AA601" s="24">
        <f t="shared" si="63"/>
        <v>462.59933472</v>
      </c>
      <c r="AB601" s="24">
        <f t="shared" si="68"/>
        <v>1183.3208007799999</v>
      </c>
      <c r="AC601" s="24">
        <f t="shared" si="65"/>
        <v>-2.4391703599999999</v>
      </c>
    </row>
    <row r="602" spans="9:29" ht="12.75" customHeight="1" x14ac:dyDescent="0.25">
      <c r="I602" s="1" t="s">
        <v>88</v>
      </c>
      <c r="J602" s="1">
        <v>5064.1401367199996</v>
      </c>
      <c r="K602" s="1">
        <v>1.1355902</v>
      </c>
      <c r="L602" s="1">
        <v>5397.75</v>
      </c>
      <c r="M602" s="1">
        <v>1.9719882</v>
      </c>
      <c r="N602" s="2">
        <v>13579.493200000001</v>
      </c>
      <c r="Q602" s="1" t="s">
        <v>44</v>
      </c>
      <c r="R602" s="1" t="s">
        <v>86</v>
      </c>
      <c r="S602" s="1">
        <v>25</v>
      </c>
      <c r="T602" s="1" t="s">
        <v>66</v>
      </c>
      <c r="U602" s="1" t="s">
        <v>66</v>
      </c>
      <c r="V602" s="1" t="s">
        <v>70</v>
      </c>
      <c r="W602" s="24" t="s">
        <v>68</v>
      </c>
      <c r="Y602" s="24">
        <f t="shared" si="66"/>
        <v>9566.66015625</v>
      </c>
      <c r="Z602" s="24">
        <f t="shared" si="67"/>
        <v>35386.828099999999</v>
      </c>
      <c r="AA602" s="24">
        <f t="shared" si="63"/>
        <v>1027.6831054700001</v>
      </c>
      <c r="AB602" s="24">
        <f t="shared" si="68"/>
        <v>1739.5588378899999</v>
      </c>
      <c r="AC602" s="24">
        <f t="shared" si="65"/>
        <v>46.832580569999998</v>
      </c>
    </row>
    <row r="603" spans="9:29" ht="12.75" customHeight="1" x14ac:dyDescent="0.25">
      <c r="I603" s="1" t="s">
        <v>88</v>
      </c>
      <c r="J603" s="1">
        <v>5806.9599609400002</v>
      </c>
      <c r="K603" s="1">
        <v>1.3476320500000001</v>
      </c>
      <c r="L603" s="1">
        <v>6501.7797851599998</v>
      </c>
      <c r="M603" s="1">
        <v>3.4403734199999998</v>
      </c>
      <c r="N603" s="2">
        <v>131367.109</v>
      </c>
      <c r="Q603" s="1" t="s">
        <v>44</v>
      </c>
      <c r="R603" s="1" t="s">
        <v>86</v>
      </c>
      <c r="S603" s="1">
        <v>25</v>
      </c>
      <c r="T603" s="1" t="s">
        <v>66</v>
      </c>
      <c r="U603" s="1" t="s">
        <v>66</v>
      </c>
      <c r="V603" s="1" t="s">
        <v>71</v>
      </c>
      <c r="W603" s="24" t="s">
        <v>68</v>
      </c>
      <c r="Y603" s="24">
        <f t="shared" si="66"/>
        <v>10308.299800000001</v>
      </c>
      <c r="Z603" s="24">
        <f t="shared" si="67"/>
        <v>157571</v>
      </c>
      <c r="AA603" s="24">
        <f t="shared" si="63"/>
        <v>4742.0268554699996</v>
      </c>
      <c r="AB603" s="24">
        <f t="shared" si="68"/>
        <v>7564.20703125</v>
      </c>
      <c r="AC603" s="24">
        <f t="shared" si="65"/>
        <v>274.55261230000002</v>
      </c>
    </row>
    <row r="604" spans="9:29" ht="12.75" customHeight="1" x14ac:dyDescent="0.25">
      <c r="I604" s="1" t="s">
        <v>88</v>
      </c>
      <c r="J604" s="1">
        <v>6723.7797851599998</v>
      </c>
      <c r="K604" s="1">
        <v>3.0353989600000002</v>
      </c>
      <c r="L604" s="1">
        <v>7286.6000976599998</v>
      </c>
      <c r="M604" s="1">
        <v>1.6466710600000001</v>
      </c>
      <c r="N604" s="2">
        <v>195469.18799999999</v>
      </c>
      <c r="Q604" s="1" t="s">
        <v>49</v>
      </c>
      <c r="R604" s="1" t="s">
        <v>86</v>
      </c>
      <c r="S604" s="1">
        <v>45</v>
      </c>
      <c r="T604" s="1">
        <v>45</v>
      </c>
      <c r="U604" s="1">
        <v>24</v>
      </c>
      <c r="V604" s="1" t="s">
        <v>67</v>
      </c>
      <c r="W604" s="24" t="s">
        <v>73</v>
      </c>
      <c r="X604" s="1" t="s">
        <v>89</v>
      </c>
      <c r="Y604" s="24">
        <f t="shared" ref="Y604:Y609" si="69">J485</f>
        <v>1933.25</v>
      </c>
      <c r="Z604" s="24">
        <f t="shared" ref="Z604:Z609" si="70">N485</f>
        <v>4407.95703125</v>
      </c>
      <c r="AA604" s="24">
        <f t="shared" ref="AA604:AA609" si="71">N495</f>
        <v>297.25689697000001</v>
      </c>
      <c r="AB604" s="24">
        <f t="shared" ref="AB604:AB609" si="72">N505</f>
        <v>856.55627441000001</v>
      </c>
      <c r="AC604" s="24">
        <f t="shared" ref="AC604:AC609" si="73">N515</f>
        <v>841.54376220999995</v>
      </c>
    </row>
    <row r="605" spans="9:29" ht="12.75" customHeight="1" x14ac:dyDescent="0.25">
      <c r="I605" s="1" t="s">
        <v>88</v>
      </c>
      <c r="J605" s="1">
        <v>7643.0097656199996</v>
      </c>
      <c r="K605" s="1">
        <v>1.46981001</v>
      </c>
      <c r="L605" s="1">
        <v>8300.6298828100007</v>
      </c>
      <c r="M605" s="1">
        <v>2.0136499400000001</v>
      </c>
      <c r="N605" s="2">
        <v>193095.15599999999</v>
      </c>
      <c r="Q605" s="1" t="s">
        <v>49</v>
      </c>
      <c r="R605" s="1" t="s">
        <v>86</v>
      </c>
      <c r="S605" s="1">
        <v>45</v>
      </c>
      <c r="T605" s="1">
        <v>45</v>
      </c>
      <c r="U605" s="1">
        <v>24</v>
      </c>
      <c r="V605" s="1" t="s">
        <v>70</v>
      </c>
      <c r="W605" s="24" t="s">
        <v>73</v>
      </c>
      <c r="Y605" s="24">
        <f t="shared" si="69"/>
        <v>2684.4699707</v>
      </c>
      <c r="Z605" s="24">
        <f t="shared" si="70"/>
        <v>3918.2309570299999</v>
      </c>
      <c r="AA605" s="24">
        <f t="shared" si="71"/>
        <v>211.22009277000001</v>
      </c>
      <c r="AB605" s="24">
        <f t="shared" si="72"/>
        <v>716.48651123000002</v>
      </c>
      <c r="AC605" s="24">
        <f t="shared" si="73"/>
        <v>806.17413329999999</v>
      </c>
    </row>
    <row r="606" spans="9:29" ht="12.75" customHeight="1" x14ac:dyDescent="0.25">
      <c r="I606" s="1" t="s">
        <v>88</v>
      </c>
      <c r="J606" s="1">
        <v>8561.0302734399993</v>
      </c>
      <c r="K606" s="1">
        <v>1.2327971499999999</v>
      </c>
      <c r="L606" s="1">
        <v>9101.0498046899993</v>
      </c>
      <c r="M606" s="1">
        <v>2.3144171199999999</v>
      </c>
      <c r="N606" s="2">
        <v>46483.984400000001</v>
      </c>
      <c r="Q606" s="1" t="s">
        <v>49</v>
      </c>
      <c r="R606" s="1" t="s">
        <v>86</v>
      </c>
      <c r="S606" s="1">
        <v>45</v>
      </c>
      <c r="T606" s="1">
        <v>45</v>
      </c>
      <c r="U606" s="1">
        <v>24</v>
      </c>
      <c r="V606" s="1" t="s">
        <v>71</v>
      </c>
      <c r="W606" s="24" t="s">
        <v>73</v>
      </c>
      <c r="Y606" s="24">
        <f t="shared" si="69"/>
        <v>3424.8898925799999</v>
      </c>
      <c r="Z606" s="24">
        <f t="shared" si="70"/>
        <v>3914.8830566400002</v>
      </c>
      <c r="AA606" s="24">
        <f t="shared" si="71"/>
        <v>261.77276611000002</v>
      </c>
      <c r="AB606" s="24">
        <f t="shared" si="72"/>
        <v>438.78863525000003</v>
      </c>
      <c r="AC606" s="24">
        <f t="shared" si="73"/>
        <v>1246.4553222699999</v>
      </c>
    </row>
    <row r="607" spans="9:29" ht="12.75" customHeight="1" x14ac:dyDescent="0.25">
      <c r="I607" s="1" t="s">
        <v>88</v>
      </c>
      <c r="J607" s="1">
        <v>9477.8603515600007</v>
      </c>
      <c r="K607" s="1">
        <v>1.53939819</v>
      </c>
      <c r="L607" s="2">
        <v>10020.299800000001</v>
      </c>
      <c r="M607" s="1">
        <v>2.4844236400000002</v>
      </c>
      <c r="N607" s="2">
        <v>35887.75</v>
      </c>
      <c r="Q607" s="1" t="s">
        <v>49</v>
      </c>
      <c r="R607" s="1" t="s">
        <v>86</v>
      </c>
      <c r="S607" s="1">
        <v>45</v>
      </c>
      <c r="T607" s="1">
        <v>25</v>
      </c>
      <c r="U607" s="1">
        <v>24</v>
      </c>
      <c r="V607" s="1" t="s">
        <v>67</v>
      </c>
      <c r="W607" s="24" t="s">
        <v>73</v>
      </c>
      <c r="Y607" s="24">
        <f t="shared" si="69"/>
        <v>4146.1098632800004</v>
      </c>
      <c r="Z607" s="24">
        <f t="shared" si="70"/>
        <v>9281.5761718800004</v>
      </c>
      <c r="AA607" s="24">
        <f t="shared" si="71"/>
        <v>403.50219727000001</v>
      </c>
      <c r="AB607" s="24">
        <f t="shared" si="72"/>
        <v>1055.17700195</v>
      </c>
      <c r="AC607" s="24">
        <f t="shared" si="73"/>
        <v>8916.0527343800004</v>
      </c>
    </row>
    <row r="608" spans="9:29" ht="12.75" customHeight="1" x14ac:dyDescent="0.25">
      <c r="I608" s="1" t="s">
        <v>88</v>
      </c>
      <c r="J608" s="2">
        <v>10395.9004</v>
      </c>
      <c r="K608" s="1">
        <v>1.6145250799999999</v>
      </c>
      <c r="L608" s="2">
        <v>11237.0996</v>
      </c>
      <c r="M608" s="1">
        <v>4.0926670999999999</v>
      </c>
      <c r="N608" s="2">
        <v>164000.234</v>
      </c>
      <c r="Q608" s="1" t="s">
        <v>49</v>
      </c>
      <c r="R608" s="1" t="s">
        <v>86</v>
      </c>
      <c r="S608" s="1">
        <v>45</v>
      </c>
      <c r="T608" s="1">
        <v>25</v>
      </c>
      <c r="U608" s="1">
        <v>24</v>
      </c>
      <c r="V608" s="1" t="s">
        <v>70</v>
      </c>
      <c r="W608" s="24" t="s">
        <v>73</v>
      </c>
      <c r="Y608" s="24">
        <f t="shared" si="69"/>
        <v>4887.7299804699996</v>
      </c>
      <c r="Z608" s="24">
        <f t="shared" si="70"/>
        <v>8141.8784179699996</v>
      </c>
      <c r="AA608" s="24">
        <f t="shared" si="71"/>
        <v>428.73040771000001</v>
      </c>
      <c r="AB608" s="24">
        <f t="shared" si="72"/>
        <v>647.57611083999996</v>
      </c>
      <c r="AC608" s="24">
        <f t="shared" si="73"/>
        <v>9070.80859375</v>
      </c>
    </row>
    <row r="609" spans="1:29" ht="12.75" customHeight="1" x14ac:dyDescent="0.25">
      <c r="I609" s="1" t="s">
        <v>88</v>
      </c>
      <c r="J609" s="2">
        <v>11977.5</v>
      </c>
      <c r="K609" s="1">
        <v>0.88642114000000005</v>
      </c>
      <c r="L609" s="2">
        <v>12565.5</v>
      </c>
      <c r="M609" s="1">
        <v>1.1922014999999999</v>
      </c>
      <c r="N609" s="2">
        <v>264088.59399999998</v>
      </c>
      <c r="Q609" s="1" t="s">
        <v>49</v>
      </c>
      <c r="R609" s="1" t="s">
        <v>86</v>
      </c>
      <c r="S609" s="1">
        <v>45</v>
      </c>
      <c r="T609" s="1">
        <v>25</v>
      </c>
      <c r="U609" s="1">
        <v>24</v>
      </c>
      <c r="V609" s="1" t="s">
        <v>71</v>
      </c>
      <c r="W609" s="24" t="s">
        <v>73</v>
      </c>
      <c r="Y609" s="24">
        <f t="shared" si="69"/>
        <v>5632.9501953099998</v>
      </c>
      <c r="Z609" s="24">
        <f t="shared" si="70"/>
        <v>6893.91015625</v>
      </c>
      <c r="AA609" s="24">
        <f t="shared" si="71"/>
        <v>286.20910644999998</v>
      </c>
      <c r="AB609" s="24">
        <f t="shared" si="72"/>
        <v>702.35540771000001</v>
      </c>
      <c r="AC609" s="24">
        <f t="shared" si="73"/>
        <v>8841.6005859399993</v>
      </c>
    </row>
    <row r="610" spans="1:29" ht="12.75" customHeight="1" x14ac:dyDescent="0.25">
      <c r="I610" s="1" t="s">
        <v>88</v>
      </c>
      <c r="J610" s="2">
        <v>12716.700199999999</v>
      </c>
      <c r="K610" s="1">
        <v>1.1105672099999999</v>
      </c>
      <c r="L610" s="2">
        <v>13355.200199999999</v>
      </c>
      <c r="M610" s="1">
        <v>1.9420659499999999</v>
      </c>
      <c r="N610" s="2">
        <v>181384.18799999999</v>
      </c>
      <c r="Q610" s="1" t="str">
        <f t="shared" ref="Q610:Q627" si="74">I524</f>
        <v>2025.01.30-12h02m.h5__SV.txt (m63-cor)</v>
      </c>
      <c r="R610" s="1" t="s">
        <v>86</v>
      </c>
      <c r="S610" s="1">
        <v>25</v>
      </c>
      <c r="T610" s="1">
        <v>25</v>
      </c>
      <c r="U610" s="1">
        <v>24</v>
      </c>
      <c r="V610" s="1" t="s">
        <v>67</v>
      </c>
      <c r="W610" s="24" t="s">
        <v>68</v>
      </c>
      <c r="Y610" s="24">
        <f t="shared" ref="Y610:Y621" si="75">J525</f>
        <v>1378.8399658200001</v>
      </c>
      <c r="Z610" s="24">
        <f t="shared" ref="Z610:Z621" si="76">N525</f>
        <v>6281.58203125</v>
      </c>
      <c r="AA610" s="24">
        <f t="shared" ref="AA610:AA613" si="77">N549</f>
        <v>405.39590454</v>
      </c>
      <c r="AB610" s="24">
        <f t="shared" ref="AB610:AB621" si="78">N573</f>
        <v>493.24822998000002</v>
      </c>
      <c r="AC610" s="24">
        <f t="shared" ref="AC610:AC621" si="79">N597</f>
        <v>934.78247069999998</v>
      </c>
    </row>
    <row r="611" spans="1:29" ht="12.75" customHeight="1" x14ac:dyDescent="0.25">
      <c r="I611" s="1" t="s">
        <v>88</v>
      </c>
      <c r="J611" s="2">
        <v>13632.4004</v>
      </c>
      <c r="K611" s="1">
        <v>0.82654344999999996</v>
      </c>
      <c r="L611" s="2">
        <v>14261.200199999999</v>
      </c>
      <c r="M611" s="1">
        <v>2.55162311</v>
      </c>
      <c r="N611" s="2">
        <v>173130.21900000001</v>
      </c>
      <c r="Q611" s="1" t="str">
        <f t="shared" si="74"/>
        <v>2025.01.30-12h02m.h5__SV.txt (m63-cor)</v>
      </c>
      <c r="R611" s="1" t="s">
        <v>86</v>
      </c>
      <c r="S611" s="1">
        <v>25</v>
      </c>
      <c r="T611" s="1">
        <v>25</v>
      </c>
      <c r="U611" s="1">
        <v>24</v>
      </c>
      <c r="V611" s="1" t="s">
        <v>70</v>
      </c>
      <c r="W611" s="24" t="s">
        <v>68</v>
      </c>
      <c r="Y611" s="24">
        <f t="shared" si="75"/>
        <v>2116.8601074200001</v>
      </c>
      <c r="Z611" s="24">
        <f t="shared" si="76"/>
        <v>82619.296900000001</v>
      </c>
      <c r="AA611" s="24">
        <f t="shared" si="77"/>
        <v>5529.89453125</v>
      </c>
      <c r="AB611" s="24">
        <f t="shared" si="78"/>
        <v>4931.9575195300004</v>
      </c>
      <c r="AC611" s="24">
        <f t="shared" si="79"/>
        <v>10923.9424</v>
      </c>
    </row>
    <row r="612" spans="1:29" ht="12.75" customHeight="1" x14ac:dyDescent="0.25">
      <c r="I612" s="1" t="s">
        <v>88</v>
      </c>
      <c r="J612" s="2">
        <v>14552.799800000001</v>
      </c>
      <c r="K612" s="1">
        <v>1.1765053299999999</v>
      </c>
      <c r="L612" s="2">
        <v>15164.799800000001</v>
      </c>
      <c r="M612" s="1">
        <v>2.3034095799999998</v>
      </c>
      <c r="N612" s="2">
        <v>175875.016</v>
      </c>
      <c r="Q612" s="1" t="str">
        <f t="shared" si="74"/>
        <v>2025.01.30-12h02m.h5__SV.txt (m63-cor)</v>
      </c>
      <c r="R612" s="1" t="s">
        <v>86</v>
      </c>
      <c r="S612" s="1">
        <v>25</v>
      </c>
      <c r="T612" s="1">
        <v>25</v>
      </c>
      <c r="U612" s="1">
        <v>24</v>
      </c>
      <c r="V612" s="1" t="s">
        <v>71</v>
      </c>
      <c r="W612" s="24" t="s">
        <v>68</v>
      </c>
      <c r="Y612" s="24">
        <f t="shared" si="75"/>
        <v>2853.6799316400002</v>
      </c>
      <c r="Z612" s="24">
        <f t="shared" si="76"/>
        <v>103598.773</v>
      </c>
      <c r="AA612" s="24">
        <f t="shared" si="77"/>
        <v>6899.4907226599998</v>
      </c>
      <c r="AB612" s="24">
        <f t="shared" si="78"/>
        <v>5450.7416992199996</v>
      </c>
      <c r="AC612" s="24">
        <f t="shared" si="79"/>
        <v>10464.804700000001</v>
      </c>
    </row>
    <row r="613" spans="1:29" ht="12.75" customHeight="1" x14ac:dyDescent="0.25">
      <c r="I613" s="1" t="s">
        <v>88</v>
      </c>
      <c r="J613" s="2">
        <v>15466</v>
      </c>
      <c r="K613" s="1">
        <v>1.4438819899999999</v>
      </c>
      <c r="L613" s="2">
        <v>16132</v>
      </c>
      <c r="M613" s="1">
        <v>1.9495654099999999</v>
      </c>
      <c r="N613" s="2">
        <v>192845.45300000001</v>
      </c>
      <c r="Q613" s="1" t="str">
        <f t="shared" si="74"/>
        <v>2025.01.30-12h02m.h5__SV.txt (m63-cor)</v>
      </c>
      <c r="R613" s="1" t="s">
        <v>86</v>
      </c>
      <c r="S613" s="1">
        <v>25</v>
      </c>
      <c r="T613" s="1">
        <v>45</v>
      </c>
      <c r="U613" s="1">
        <v>24</v>
      </c>
      <c r="V613" s="1" t="s">
        <v>67</v>
      </c>
      <c r="W613" s="24" t="s">
        <v>68</v>
      </c>
      <c r="Y613" s="24">
        <f t="shared" si="75"/>
        <v>3594.1000976599998</v>
      </c>
      <c r="Z613" s="24">
        <f t="shared" si="76"/>
        <v>7444.0449218800004</v>
      </c>
      <c r="AA613" s="24">
        <f t="shared" si="77"/>
        <v>565.70190430000002</v>
      </c>
      <c r="AB613" s="24">
        <f t="shared" si="78"/>
        <v>590.36468506000006</v>
      </c>
      <c r="AC613" s="24">
        <f t="shared" si="79"/>
        <v>795.85339354999996</v>
      </c>
    </row>
    <row r="614" spans="1:29" ht="12.75" customHeight="1" x14ac:dyDescent="0.25">
      <c r="I614" s="1" t="s">
        <v>88</v>
      </c>
      <c r="J614" s="2">
        <v>16387.599600000001</v>
      </c>
      <c r="K614" s="1">
        <v>1.28064227</v>
      </c>
      <c r="L614" s="2">
        <v>17176.099600000001</v>
      </c>
      <c r="M614" s="1">
        <v>3.08486986</v>
      </c>
      <c r="N614" s="2">
        <v>165562.84400000001</v>
      </c>
      <c r="Q614" s="1" t="str">
        <f t="shared" si="74"/>
        <v>2025.01.30-12h02m.h5__SV.txt (m63-cor)</v>
      </c>
      <c r="R614" s="1" t="s">
        <v>86</v>
      </c>
      <c r="S614" s="1">
        <v>25</v>
      </c>
      <c r="T614" s="1">
        <v>45</v>
      </c>
      <c r="U614" s="1">
        <v>24</v>
      </c>
      <c r="V614" s="1" t="s">
        <v>70</v>
      </c>
      <c r="W614" s="24" t="s">
        <v>68</v>
      </c>
      <c r="Y614" s="24">
        <f t="shared" si="75"/>
        <v>4326.1201171900002</v>
      </c>
      <c r="Z614" s="24">
        <f t="shared" si="76"/>
        <v>44784.664100000002</v>
      </c>
      <c r="AA614" s="24">
        <f>N577</f>
        <v>2674.7927246099998</v>
      </c>
      <c r="AB614" s="24">
        <f t="shared" si="78"/>
        <v>2674.7927246099998</v>
      </c>
      <c r="AC614" s="24">
        <f t="shared" si="79"/>
        <v>7857.6386718800004</v>
      </c>
    </row>
    <row r="615" spans="1:29" ht="12.75" customHeight="1" x14ac:dyDescent="0.25">
      <c r="I615" s="1" t="s">
        <v>88</v>
      </c>
      <c r="J615" s="2">
        <v>17306.900399999999</v>
      </c>
      <c r="K615" s="1">
        <v>3.9126751400000002</v>
      </c>
      <c r="L615" s="2">
        <v>17816.900399999999</v>
      </c>
      <c r="M615" s="1">
        <v>2.6577136499999998</v>
      </c>
      <c r="N615" s="2">
        <v>27884.043000000001</v>
      </c>
      <c r="Q615" s="1" t="str">
        <f t="shared" si="74"/>
        <v>2025.01.30-12h02m.h5__SV.txt (m63-cor)</v>
      </c>
      <c r="R615" s="1" t="s">
        <v>86</v>
      </c>
      <c r="S615" s="1">
        <v>25</v>
      </c>
      <c r="T615" s="1">
        <v>45</v>
      </c>
      <c r="U615" s="1">
        <v>24</v>
      </c>
      <c r="V615" s="1" t="s">
        <v>71</v>
      </c>
      <c r="W615" s="24" t="s">
        <v>68</v>
      </c>
      <c r="Y615" s="24">
        <f t="shared" si="75"/>
        <v>5061.7402343800004</v>
      </c>
      <c r="Z615" s="24">
        <f t="shared" si="76"/>
        <v>90958.820300000007</v>
      </c>
      <c r="AA615" s="24">
        <f t="shared" ref="AA615:AA621" si="80">N554</f>
        <v>9644.6455078100007</v>
      </c>
      <c r="AB615" s="24">
        <f t="shared" si="78"/>
        <v>5514.5615234400002</v>
      </c>
      <c r="AC615" s="24">
        <f t="shared" si="79"/>
        <v>13579.493200000001</v>
      </c>
    </row>
    <row r="616" spans="1:29" ht="12.75" customHeight="1" x14ac:dyDescent="0.25">
      <c r="I616" s="1" t="s">
        <v>88</v>
      </c>
      <c r="J616" s="2">
        <v>18250.099600000001</v>
      </c>
      <c r="K616" s="1">
        <v>1.3364993300000001</v>
      </c>
      <c r="L616" s="2">
        <v>18839.300800000001</v>
      </c>
      <c r="M616" s="1">
        <v>1.2665468499999999</v>
      </c>
      <c r="N616" s="2">
        <v>271849.625</v>
      </c>
      <c r="Q616" s="1" t="str">
        <f t="shared" si="74"/>
        <v>2025.01.30-12h02m.h5__SV.txt (m63-cor)</v>
      </c>
      <c r="R616" s="1" t="s">
        <v>86</v>
      </c>
      <c r="S616" s="1">
        <v>25</v>
      </c>
      <c r="T616" s="1">
        <v>25</v>
      </c>
      <c r="U616" s="1">
        <v>24</v>
      </c>
      <c r="V616" s="1" t="s">
        <v>67</v>
      </c>
      <c r="W616" s="24" t="s">
        <v>75</v>
      </c>
      <c r="Y616" s="24">
        <f t="shared" si="75"/>
        <v>5805.7597656199996</v>
      </c>
      <c r="Z616" s="24">
        <f t="shared" si="76"/>
        <v>844837.625</v>
      </c>
      <c r="AA616" s="24">
        <f t="shared" si="80"/>
        <v>55745.285199999998</v>
      </c>
      <c r="AB616" s="24">
        <f t="shared" si="78"/>
        <v>47037.441400000003</v>
      </c>
      <c r="AC616" s="24">
        <f t="shared" si="79"/>
        <v>131367.109</v>
      </c>
    </row>
    <row r="617" spans="1:29" ht="12.75" customHeight="1" x14ac:dyDescent="0.25">
      <c r="Q617" s="1" t="str">
        <f t="shared" si="74"/>
        <v>2025.01.30-12h02m.h5__SV.txt (m63-cor)</v>
      </c>
      <c r="R617" s="1" t="s">
        <v>86</v>
      </c>
      <c r="S617" s="1">
        <v>25</v>
      </c>
      <c r="T617" s="1">
        <v>25</v>
      </c>
      <c r="U617" s="1">
        <v>24</v>
      </c>
      <c r="V617" s="1" t="s">
        <v>70</v>
      </c>
      <c r="W617" s="24" t="s">
        <v>75</v>
      </c>
      <c r="Y617" s="24">
        <f t="shared" si="75"/>
        <v>6723.7797851599998</v>
      </c>
      <c r="Z617" s="24">
        <f t="shared" si="76"/>
        <v>1075101.3799999999</v>
      </c>
      <c r="AA617" s="24">
        <f t="shared" si="80"/>
        <v>70462.656199999998</v>
      </c>
      <c r="AB617" s="24">
        <f t="shared" si="78"/>
        <v>59676.531199999998</v>
      </c>
      <c r="AC617" s="24">
        <f t="shared" si="79"/>
        <v>195469.18799999999</v>
      </c>
    </row>
    <row r="618" spans="1:29" ht="12.75" customHeight="1" x14ac:dyDescent="0.25">
      <c r="A618" s="6">
        <v>45688</v>
      </c>
      <c r="I618" s="1" t="s">
        <v>39</v>
      </c>
      <c r="Q618" s="1" t="str">
        <f t="shared" si="74"/>
        <v>2025.01.30-12h02m.h5__SV.txt (m63-cor)</v>
      </c>
      <c r="R618" s="1" t="s">
        <v>86</v>
      </c>
      <c r="S618" s="1">
        <v>25</v>
      </c>
      <c r="T618" s="1">
        <v>25</v>
      </c>
      <c r="U618" s="1">
        <v>24</v>
      </c>
      <c r="V618" s="1" t="s">
        <v>71</v>
      </c>
      <c r="W618" s="24" t="s">
        <v>75</v>
      </c>
      <c r="Y618" s="24">
        <f t="shared" si="75"/>
        <v>7641.8100585900002</v>
      </c>
      <c r="Z618" s="24">
        <f t="shared" si="76"/>
        <v>1130414.8799999999</v>
      </c>
      <c r="AA618" s="24">
        <f t="shared" si="80"/>
        <v>77169.601599999995</v>
      </c>
      <c r="AB618" s="24">
        <f t="shared" si="78"/>
        <v>63133.824200000003</v>
      </c>
      <c r="AC618" s="24">
        <f t="shared" si="79"/>
        <v>193095.15599999999</v>
      </c>
    </row>
    <row r="619" spans="1:29" ht="12.75" customHeight="1" x14ac:dyDescent="0.25">
      <c r="I619" s="1" t="s">
        <v>0</v>
      </c>
      <c r="J619" s="1" t="s">
        <v>1</v>
      </c>
      <c r="K619" s="1" t="s">
        <v>2</v>
      </c>
      <c r="L619" s="1" t="s">
        <v>3</v>
      </c>
      <c r="M619" s="1" t="s">
        <v>4</v>
      </c>
      <c r="N619" s="1" t="s">
        <v>5</v>
      </c>
      <c r="O619" s="7"/>
      <c r="Q619" s="1" t="str">
        <f t="shared" si="74"/>
        <v>2025.01.30-12h02m.h5__SV.txt (m63-cor)</v>
      </c>
      <c r="R619" s="1" t="s">
        <v>86</v>
      </c>
      <c r="S619" s="1">
        <v>25</v>
      </c>
      <c r="T619" s="1">
        <v>45</v>
      </c>
      <c r="U619" s="1">
        <v>24</v>
      </c>
      <c r="V619" s="1" t="s">
        <v>67</v>
      </c>
      <c r="W619" s="24" t="s">
        <v>75</v>
      </c>
      <c r="Y619" s="24">
        <f t="shared" si="75"/>
        <v>8550.23046875</v>
      </c>
      <c r="Z619" s="24">
        <f t="shared" si="76"/>
        <v>347353.96899999998</v>
      </c>
      <c r="AA619" s="24">
        <f t="shared" si="80"/>
        <v>28669.333999999999</v>
      </c>
      <c r="AB619" s="24">
        <f t="shared" si="78"/>
        <v>18722.287100000001</v>
      </c>
      <c r="AC619" s="24">
        <f t="shared" si="79"/>
        <v>46483.984400000001</v>
      </c>
    </row>
    <row r="620" spans="1:29" ht="12.75" customHeight="1" x14ac:dyDescent="0.25">
      <c r="I620" s="1" t="s">
        <v>90</v>
      </c>
      <c r="J620" s="1">
        <v>1110.0300293</v>
      </c>
      <c r="K620" s="1">
        <v>3.19313169</v>
      </c>
      <c r="L620" s="1">
        <v>1480.8399658200001</v>
      </c>
      <c r="M620" s="1">
        <v>1.2885700499999999</v>
      </c>
      <c r="N620" s="1">
        <v>1233.67028809</v>
      </c>
      <c r="Q620" s="1" t="str">
        <f t="shared" si="74"/>
        <v>2025.01.30-12h02m.h5__SV.txt (m63-cor)</v>
      </c>
      <c r="R620" s="1" t="s">
        <v>86</v>
      </c>
      <c r="S620" s="1">
        <v>25</v>
      </c>
      <c r="T620" s="1">
        <v>45</v>
      </c>
      <c r="U620" s="1">
        <v>24</v>
      </c>
      <c r="V620" s="1" t="s">
        <v>70</v>
      </c>
      <c r="W620" s="24" t="s">
        <v>75</v>
      </c>
      <c r="Y620" s="24">
        <f t="shared" si="75"/>
        <v>9477.8603515600007</v>
      </c>
      <c r="Z620" s="24">
        <f t="shared" si="76"/>
        <v>267381.34399999998</v>
      </c>
      <c r="AA620" s="24">
        <f t="shared" si="80"/>
        <v>20458.581999999999</v>
      </c>
      <c r="AB620" s="24">
        <f t="shared" si="78"/>
        <v>13916.2559</v>
      </c>
      <c r="AC620" s="24">
        <f t="shared" si="79"/>
        <v>35887.75</v>
      </c>
    </row>
    <row r="621" spans="1:29" ht="12.75" customHeight="1" x14ac:dyDescent="0.25">
      <c r="I621" s="1" t="s">
        <v>90</v>
      </c>
      <c r="J621" s="1">
        <v>1837.25</v>
      </c>
      <c r="K621" s="1">
        <v>2.1539046800000001</v>
      </c>
      <c r="L621" s="1">
        <v>2211.6599121099998</v>
      </c>
      <c r="M621" s="1">
        <v>-0.24728079</v>
      </c>
      <c r="N621" s="2">
        <v>18200.581999999999</v>
      </c>
      <c r="Q621" s="1" t="str">
        <f t="shared" si="74"/>
        <v>2025.01.30-12h02m.h5__SV.txt (m63-cor)</v>
      </c>
      <c r="R621" s="1" t="s">
        <v>86</v>
      </c>
      <c r="S621" s="1">
        <v>25</v>
      </c>
      <c r="T621" s="1">
        <v>45</v>
      </c>
      <c r="U621" s="1">
        <v>24</v>
      </c>
      <c r="V621" s="1" t="s">
        <v>71</v>
      </c>
      <c r="W621" s="24" t="s">
        <v>75</v>
      </c>
      <c r="Y621" s="24">
        <f t="shared" si="75"/>
        <v>10392.299800000001</v>
      </c>
      <c r="Z621" s="24">
        <f t="shared" si="76"/>
        <v>539116.5</v>
      </c>
      <c r="AA621" s="24">
        <f t="shared" si="80"/>
        <v>56386.527300000002</v>
      </c>
      <c r="AB621" s="24">
        <f t="shared" si="78"/>
        <v>34736.984400000001</v>
      </c>
      <c r="AC621" s="24">
        <f t="shared" si="79"/>
        <v>164000.234</v>
      </c>
    </row>
    <row r="622" spans="1:29" ht="12.75" customHeight="1" x14ac:dyDescent="0.25">
      <c r="I622" s="1" t="s">
        <v>90</v>
      </c>
      <c r="J622" s="1">
        <v>2588.4699707</v>
      </c>
      <c r="K622" s="1">
        <v>1.0293055799999999</v>
      </c>
      <c r="L622" s="1">
        <v>3097.2800293</v>
      </c>
      <c r="M622" s="1">
        <v>0.39959222</v>
      </c>
      <c r="N622" s="2">
        <v>22086.732400000001</v>
      </c>
      <c r="Q622" s="1" t="str">
        <f t="shared" si="74"/>
        <v>2025.01.30-12h02m.h5__SV.txt (m63-cor)</v>
      </c>
      <c r="R622" s="1" t="s">
        <v>86</v>
      </c>
      <c r="S622" s="1">
        <v>25</v>
      </c>
      <c r="T622" s="1">
        <v>25</v>
      </c>
      <c r="U622" s="1">
        <v>24</v>
      </c>
      <c r="V622" s="1" t="s">
        <v>67</v>
      </c>
      <c r="W622" s="24" t="s">
        <v>79</v>
      </c>
      <c r="Y622" s="24">
        <f t="shared" ref="Y622:Y627" si="81">J538</f>
        <v>12714.299800000001</v>
      </c>
      <c r="Z622" s="24">
        <f t="shared" ref="Z622:Z627" si="82">N538</f>
        <v>1329386</v>
      </c>
      <c r="AA622" s="24">
        <f t="shared" ref="AA622:AA627" si="83">N562</f>
        <v>86246.609400000001</v>
      </c>
      <c r="AB622" s="24">
        <f t="shared" ref="AB622:AB627" si="84">N586</f>
        <v>75973.343800000002</v>
      </c>
      <c r="AC622" s="24">
        <f t="shared" ref="AC622:AC627" si="85">N610</f>
        <v>181384.18799999999</v>
      </c>
    </row>
    <row r="623" spans="1:29" ht="12.75" customHeight="1" x14ac:dyDescent="0.25">
      <c r="I623" s="1" t="s">
        <v>90</v>
      </c>
      <c r="J623" s="1">
        <v>3321.6899414099998</v>
      </c>
      <c r="K623" s="1">
        <v>2.2335946600000001</v>
      </c>
      <c r="L623" s="1">
        <v>3646.8999023400002</v>
      </c>
      <c r="M623" s="1">
        <v>0.77347916000000005</v>
      </c>
      <c r="N623" s="1">
        <v>9013.9160156199996</v>
      </c>
      <c r="Q623" s="1" t="str">
        <f t="shared" si="74"/>
        <v>2025.01.30-12h02m.h5__SV.txt (m63-cor)</v>
      </c>
      <c r="R623" s="1" t="s">
        <v>86</v>
      </c>
      <c r="S623" s="1">
        <v>25</v>
      </c>
      <c r="T623" s="1">
        <v>25</v>
      </c>
      <c r="U623" s="1">
        <v>24</v>
      </c>
      <c r="V623" s="1" t="s">
        <v>70</v>
      </c>
      <c r="W623" s="24" t="s">
        <v>79</v>
      </c>
      <c r="Y623" s="24">
        <f t="shared" si="81"/>
        <v>13632.4004</v>
      </c>
      <c r="Z623" s="24">
        <f t="shared" si="82"/>
        <v>1071263.3799999999</v>
      </c>
      <c r="AA623" s="24">
        <f t="shared" si="83"/>
        <v>69184.421900000001</v>
      </c>
      <c r="AB623" s="24">
        <f t="shared" si="84"/>
        <v>62316.738299999997</v>
      </c>
      <c r="AC623" s="24">
        <f t="shared" si="85"/>
        <v>173130.21900000001</v>
      </c>
    </row>
    <row r="624" spans="1:29" ht="12.75" customHeight="1" x14ac:dyDescent="0.25">
      <c r="I624" s="1" t="s">
        <v>90</v>
      </c>
      <c r="J624" s="1">
        <v>4060.9099121099998</v>
      </c>
      <c r="K624" s="1">
        <v>1.0279631600000001</v>
      </c>
      <c r="L624" s="1">
        <v>4975.33984375</v>
      </c>
      <c r="M624" s="1">
        <v>23.10978317</v>
      </c>
      <c r="N624" s="2">
        <v>529606.56200000003</v>
      </c>
      <c r="Q624" s="1" t="str">
        <f t="shared" si="74"/>
        <v>2025.01.30-12h02m.h5__SV.txt (m63-cor)</v>
      </c>
      <c r="R624" s="1" t="s">
        <v>86</v>
      </c>
      <c r="S624" s="1">
        <v>25</v>
      </c>
      <c r="T624" s="1">
        <v>25</v>
      </c>
      <c r="U624" s="1">
        <v>24</v>
      </c>
      <c r="V624" s="1" t="s">
        <v>71</v>
      </c>
      <c r="W624" s="24" t="s">
        <v>79</v>
      </c>
      <c r="Y624" s="24">
        <f t="shared" si="81"/>
        <v>14549.200199999999</v>
      </c>
      <c r="Z624" s="24">
        <f t="shared" si="82"/>
        <v>1127024.25</v>
      </c>
      <c r="AA624" s="24">
        <f t="shared" si="83"/>
        <v>76078.523400000005</v>
      </c>
      <c r="AB624" s="24">
        <f t="shared" si="84"/>
        <v>65336.160199999998</v>
      </c>
      <c r="AC624" s="24">
        <f t="shared" si="85"/>
        <v>175875.016</v>
      </c>
    </row>
    <row r="625" spans="9:29" ht="12.75" customHeight="1" x14ac:dyDescent="0.25">
      <c r="I625" s="1" t="s">
        <v>90</v>
      </c>
      <c r="J625" s="1">
        <v>4975.33984375</v>
      </c>
      <c r="K625" s="1">
        <v>23.10978317</v>
      </c>
      <c r="L625" s="1">
        <v>5570.5498046900002</v>
      </c>
      <c r="M625" s="1">
        <v>42.450885769999999</v>
      </c>
      <c r="N625" s="2">
        <v>646537.31200000003</v>
      </c>
      <c r="Q625" s="1" t="str">
        <f t="shared" si="74"/>
        <v>2025.01.30-12h02m.h5__SV.txt (m63-cor)</v>
      </c>
      <c r="R625" s="1" t="s">
        <v>86</v>
      </c>
      <c r="S625" s="1">
        <v>25</v>
      </c>
      <c r="T625" s="1">
        <v>45</v>
      </c>
      <c r="U625" s="1">
        <v>24</v>
      </c>
      <c r="V625" s="1" t="s">
        <v>67</v>
      </c>
      <c r="W625" s="24" t="s">
        <v>79</v>
      </c>
      <c r="Y625" s="24">
        <f t="shared" si="81"/>
        <v>15464.799800000001</v>
      </c>
      <c r="Z625" s="24">
        <f t="shared" si="82"/>
        <v>742167.56200000003</v>
      </c>
      <c r="AA625" s="24">
        <f t="shared" si="83"/>
        <v>71569.804699999993</v>
      </c>
      <c r="AB625" s="24">
        <f t="shared" si="84"/>
        <v>48181.273399999998</v>
      </c>
      <c r="AC625" s="24">
        <f t="shared" si="85"/>
        <v>192845.45300000001</v>
      </c>
    </row>
    <row r="626" spans="9:29" ht="12.75" customHeight="1" x14ac:dyDescent="0.25">
      <c r="I626" s="1" t="s">
        <v>90</v>
      </c>
      <c r="J626" s="1">
        <v>5886.16015625</v>
      </c>
      <c r="K626" s="1">
        <v>44.758556370000001</v>
      </c>
      <c r="L626" s="1">
        <v>6860.58984375</v>
      </c>
      <c r="M626" s="1">
        <v>3.1844422799999998</v>
      </c>
      <c r="N626" s="2">
        <v>639830.375</v>
      </c>
      <c r="Q626" s="1" t="str">
        <f t="shared" si="74"/>
        <v>2025.01.30-12h02m.h5__SV.txt (m63-cor)</v>
      </c>
      <c r="R626" s="1" t="s">
        <v>86</v>
      </c>
      <c r="S626" s="1">
        <v>25</v>
      </c>
      <c r="T626" s="1">
        <v>45</v>
      </c>
      <c r="U626" s="1">
        <v>24</v>
      </c>
      <c r="V626" s="1" t="s">
        <v>70</v>
      </c>
      <c r="W626" s="24" t="s">
        <v>79</v>
      </c>
      <c r="Y626" s="24">
        <f t="shared" si="81"/>
        <v>16385.199199999999</v>
      </c>
      <c r="Z626" s="24">
        <f t="shared" si="82"/>
        <v>631918.5</v>
      </c>
      <c r="AA626" s="24">
        <f t="shared" si="83"/>
        <v>65054.101600000002</v>
      </c>
      <c r="AB626" s="24">
        <f t="shared" si="84"/>
        <v>41343.773399999998</v>
      </c>
      <c r="AC626" s="24">
        <f t="shared" si="85"/>
        <v>165562.84400000001</v>
      </c>
    </row>
    <row r="627" spans="9:29" ht="12.75" customHeight="1" x14ac:dyDescent="0.25">
      <c r="I627" s="1" t="s">
        <v>90</v>
      </c>
      <c r="J627" s="1">
        <v>7481</v>
      </c>
      <c r="K627" s="1">
        <v>2.8771407600000001</v>
      </c>
      <c r="L627" s="1">
        <v>7922.6201171900002</v>
      </c>
      <c r="M627" s="1">
        <v>1.3607222999999999</v>
      </c>
      <c r="N627" s="1">
        <v>1615.2019043</v>
      </c>
      <c r="Q627" s="1" t="str">
        <f t="shared" si="74"/>
        <v>2025.01.30-12h02m.h5__SV.txt (m63-cor)</v>
      </c>
      <c r="R627" s="1" t="s">
        <v>86</v>
      </c>
      <c r="S627" s="1">
        <v>25</v>
      </c>
      <c r="T627" s="1">
        <v>45</v>
      </c>
      <c r="U627" s="1">
        <v>24</v>
      </c>
      <c r="V627" s="1" t="s">
        <v>71</v>
      </c>
      <c r="W627" s="24" t="s">
        <v>79</v>
      </c>
      <c r="Y627" s="24">
        <f t="shared" si="81"/>
        <v>17303.300800000001</v>
      </c>
      <c r="Z627" s="24">
        <f t="shared" si="82"/>
        <v>156611.391</v>
      </c>
      <c r="AA627" s="24">
        <f t="shared" si="83"/>
        <v>16172.854499999999</v>
      </c>
      <c r="AB627" s="24">
        <f t="shared" si="84"/>
        <v>10299.107400000001</v>
      </c>
      <c r="AC627" s="24">
        <f t="shared" si="85"/>
        <v>27884.043000000001</v>
      </c>
    </row>
    <row r="628" spans="9:29" ht="12.75" customHeight="1" x14ac:dyDescent="0.25">
      <c r="I628" s="1" t="s">
        <v>90</v>
      </c>
      <c r="J628" s="1">
        <v>8217.8203125</v>
      </c>
      <c r="K628" s="1">
        <v>2.7314188499999998</v>
      </c>
      <c r="L628" s="1">
        <v>8532.23046875</v>
      </c>
      <c r="M628" s="1">
        <v>1.0845751800000001</v>
      </c>
      <c r="N628" s="1">
        <v>7489.7529296900002</v>
      </c>
      <c r="Q628" s="1" t="str">
        <f t="shared" ref="Q628:Q651" si="86">I620</f>
        <v>2025.01.31-10h08m.h5__SV.txt (m63-cor)</v>
      </c>
      <c r="R628" s="1" t="s">
        <v>86</v>
      </c>
      <c r="S628" s="1">
        <v>45</v>
      </c>
      <c r="T628" s="1" t="s">
        <v>66</v>
      </c>
      <c r="U628" s="1" t="s">
        <v>66</v>
      </c>
      <c r="V628" s="1" t="s">
        <v>67</v>
      </c>
      <c r="W628" s="24" t="s">
        <v>68</v>
      </c>
      <c r="X628" s="1" t="s">
        <v>91</v>
      </c>
      <c r="Y628" s="24">
        <f t="shared" ref="Y628:Y633" si="87">J621</f>
        <v>1837.25</v>
      </c>
      <c r="Z628" s="24">
        <f>N621</f>
        <v>18200.581999999999</v>
      </c>
      <c r="AA628" s="24">
        <f>N651</f>
        <v>1092.4431152300001</v>
      </c>
      <c r="AB628" s="24">
        <f>N682</f>
        <v>1785.3758544899999</v>
      </c>
      <c r="AC628" s="24">
        <f t="shared" ref="AC628:AC633" si="88">N713</f>
        <v>368.84460448999999</v>
      </c>
    </row>
    <row r="629" spans="9:29" ht="12.75" customHeight="1" x14ac:dyDescent="0.25">
      <c r="I629" s="1" t="s">
        <v>90</v>
      </c>
      <c r="J629" s="1">
        <v>8937.83984375</v>
      </c>
      <c r="K629" s="1">
        <v>0.35145131000000002</v>
      </c>
      <c r="L629" s="1">
        <v>9282.25</v>
      </c>
      <c r="M629" s="1">
        <v>0.78244804999999995</v>
      </c>
      <c r="N629" s="1">
        <v>8128.78125</v>
      </c>
      <c r="Q629" s="1" t="str">
        <f t="shared" si="86"/>
        <v>2025.01.31-10h08m.h5__SV.txt (m63-cor)</v>
      </c>
      <c r="R629" s="1" t="s">
        <v>86</v>
      </c>
      <c r="S629" s="1">
        <v>45</v>
      </c>
      <c r="T629" s="1" t="s">
        <v>66</v>
      </c>
      <c r="U629" s="1" t="s">
        <v>66</v>
      </c>
      <c r="V629" s="1" t="s">
        <v>70</v>
      </c>
      <c r="W629" s="24" t="s">
        <v>68</v>
      </c>
      <c r="Y629" s="24">
        <f t="shared" si="87"/>
        <v>2588.4699707</v>
      </c>
      <c r="Z629" s="24">
        <f>N652</f>
        <v>765.76202393000005</v>
      </c>
      <c r="AA629" s="24">
        <f>N683</f>
        <v>1665.9935302700001</v>
      </c>
      <c r="AB629" s="24">
        <f>N714</f>
        <v>44.616168979999998</v>
      </c>
      <c r="AC629" s="24">
        <f t="shared" si="88"/>
        <v>44.616168979999998</v>
      </c>
    </row>
    <row r="630" spans="9:29" ht="12.75" customHeight="1" x14ac:dyDescent="0.25">
      <c r="I630" s="1" t="s">
        <v>90</v>
      </c>
      <c r="J630" s="1">
        <v>9684.2597656199996</v>
      </c>
      <c r="K630" s="1">
        <v>0.73185343000000003</v>
      </c>
      <c r="L630" s="1">
        <v>9971.0703125</v>
      </c>
      <c r="M630" s="1">
        <v>0.37387773000000002</v>
      </c>
      <c r="N630" s="1">
        <v>5014.5209960900002</v>
      </c>
      <c r="Q630" s="1" t="str">
        <f t="shared" si="86"/>
        <v>2025.01.31-10h08m.h5__SV.txt (m63-cor)</v>
      </c>
      <c r="R630" s="1" t="s">
        <v>86</v>
      </c>
      <c r="S630" s="1">
        <v>45</v>
      </c>
      <c r="T630" s="1" t="s">
        <v>66</v>
      </c>
      <c r="U630" s="1" t="s">
        <v>66</v>
      </c>
      <c r="V630" s="1" t="s">
        <v>71</v>
      </c>
      <c r="W630" s="24" t="s">
        <v>68</v>
      </c>
      <c r="Y630" s="24">
        <f t="shared" si="87"/>
        <v>3321.6899414099998</v>
      </c>
      <c r="Z630" s="24">
        <f t="shared" ref="Z630:Z632" si="89">N623</f>
        <v>9013.9160156199996</v>
      </c>
      <c r="AA630" s="24">
        <f t="shared" ref="AA630:AA633" si="90">N653</f>
        <v>334.40899658000001</v>
      </c>
      <c r="AB630" s="24">
        <f t="shared" ref="AB630:AB633" si="91">N684</f>
        <v>768.58569336000005</v>
      </c>
      <c r="AC630" s="24">
        <f t="shared" si="88"/>
        <v>108.32288361000001</v>
      </c>
    </row>
    <row r="631" spans="9:29" ht="12.75" customHeight="1" x14ac:dyDescent="0.25">
      <c r="I631" s="1" t="s">
        <v>90</v>
      </c>
      <c r="J631" s="2">
        <v>10423.5</v>
      </c>
      <c r="K631" s="1">
        <v>1.36182439</v>
      </c>
      <c r="L631" s="2">
        <v>10922.700199999999</v>
      </c>
      <c r="M631" s="2">
        <v>-2.1040160200000001E-2</v>
      </c>
      <c r="N631" s="1">
        <v>7848.2797851599998</v>
      </c>
      <c r="Q631" s="1" t="str">
        <f t="shared" si="86"/>
        <v>2025.01.31-10h08m.h5__SV.txt (m63-cor)</v>
      </c>
      <c r="R631" s="1" t="s">
        <v>86</v>
      </c>
      <c r="S631" s="1">
        <v>45</v>
      </c>
      <c r="T631" s="1" t="s">
        <v>66</v>
      </c>
      <c r="U631" s="1" t="s">
        <v>66</v>
      </c>
      <c r="V631" s="1" t="s">
        <v>67</v>
      </c>
      <c r="W631" s="24" t="s">
        <v>75</v>
      </c>
      <c r="Y631" s="24">
        <f t="shared" si="87"/>
        <v>4060.9099121099998</v>
      </c>
      <c r="Z631" s="24">
        <f t="shared" si="89"/>
        <v>529606.56200000003</v>
      </c>
      <c r="AA631" s="24">
        <f t="shared" si="90"/>
        <v>15779.6543</v>
      </c>
      <c r="AB631" s="24">
        <f t="shared" si="91"/>
        <v>24653.248</v>
      </c>
      <c r="AC631" s="24">
        <f t="shared" si="88"/>
        <v>548.12591553000004</v>
      </c>
    </row>
    <row r="632" spans="9:29" ht="12.75" customHeight="1" x14ac:dyDescent="0.25">
      <c r="I632" s="1" t="s">
        <v>90</v>
      </c>
      <c r="J632" s="2">
        <v>11159.0996</v>
      </c>
      <c r="K632" s="1">
        <v>0.27509709999999998</v>
      </c>
      <c r="L632" s="2">
        <v>11604.299800000001</v>
      </c>
      <c r="M632" s="1">
        <v>-0.18310829000000001</v>
      </c>
      <c r="N632" s="2">
        <v>13526.502899999999</v>
      </c>
      <c r="Q632" s="1" t="str">
        <f t="shared" si="86"/>
        <v>2025.01.31-10h08m.h5__SV.txt (m63-cor)</v>
      </c>
      <c r="R632" s="1" t="s">
        <v>86</v>
      </c>
      <c r="S632" s="1">
        <v>45</v>
      </c>
      <c r="T632" s="1" t="s">
        <v>66</v>
      </c>
      <c r="U632" s="1" t="s">
        <v>66</v>
      </c>
      <c r="V632" s="1" t="s">
        <v>70</v>
      </c>
      <c r="W632" s="24" t="s">
        <v>75</v>
      </c>
      <c r="Y632" s="24">
        <f t="shared" si="87"/>
        <v>4975.33984375</v>
      </c>
      <c r="Z632" s="24">
        <f t="shared" si="89"/>
        <v>646537.31200000003</v>
      </c>
      <c r="AA632" s="24">
        <f t="shared" si="90"/>
        <v>19000.529299999998</v>
      </c>
      <c r="AB632" s="24">
        <f t="shared" si="91"/>
        <v>30124.398399999998</v>
      </c>
      <c r="AC632" s="24">
        <f t="shared" si="88"/>
        <v>694.67883300999995</v>
      </c>
    </row>
    <row r="633" spans="9:29" ht="12.75" customHeight="1" x14ac:dyDescent="0.25">
      <c r="I633" s="1" t="s">
        <v>90</v>
      </c>
      <c r="J633" s="2">
        <v>11905.5</v>
      </c>
      <c r="K633" s="1">
        <v>0.84867471000000005</v>
      </c>
      <c r="L633" s="2">
        <v>12312.299800000001</v>
      </c>
      <c r="M633" s="1">
        <v>-0.65623306999999997</v>
      </c>
      <c r="N633" s="2">
        <v>11029.8467</v>
      </c>
      <c r="Q633" s="1" t="str">
        <f t="shared" si="86"/>
        <v>2025.01.31-10h08m.h5__SV.txt (m63-cor)</v>
      </c>
      <c r="R633" s="1" t="s">
        <v>86</v>
      </c>
      <c r="S633" s="1">
        <v>45</v>
      </c>
      <c r="T633" s="1" t="s">
        <v>66</v>
      </c>
      <c r="U633" s="1" t="s">
        <v>66</v>
      </c>
      <c r="V633" s="1" t="s">
        <v>71</v>
      </c>
      <c r="W633" s="24" t="s">
        <v>75</v>
      </c>
      <c r="Y633" s="24">
        <f t="shared" si="87"/>
        <v>5886.16015625</v>
      </c>
      <c r="Z633" s="24">
        <f>N625</f>
        <v>646537.31200000003</v>
      </c>
      <c r="AA633" s="24">
        <f t="shared" si="90"/>
        <v>19113.9941</v>
      </c>
      <c r="AB633" s="24">
        <f t="shared" si="91"/>
        <v>29701.375</v>
      </c>
      <c r="AC633" s="24">
        <f t="shared" si="88"/>
        <v>713.28344727000001</v>
      </c>
    </row>
    <row r="634" spans="9:29" ht="12.75" customHeight="1" x14ac:dyDescent="0.25">
      <c r="I634" s="1" t="s">
        <v>90</v>
      </c>
      <c r="J634" s="2">
        <v>12639.9004</v>
      </c>
      <c r="K634" s="1">
        <v>0.5113548</v>
      </c>
      <c r="L634" s="2">
        <v>13307.200199999999</v>
      </c>
      <c r="M634" s="1">
        <v>0.32009940999999997</v>
      </c>
      <c r="N634" s="2">
        <v>394707.5</v>
      </c>
      <c r="Q634" s="1" t="str">
        <f t="shared" si="86"/>
        <v>2025.01.31-10h08m.h5__SV.txt (m63-cor)</v>
      </c>
      <c r="R634" s="1" t="s">
        <v>86</v>
      </c>
      <c r="S634" s="1">
        <v>45</v>
      </c>
      <c r="T634" s="1">
        <v>45</v>
      </c>
      <c r="U634" s="1">
        <v>24</v>
      </c>
      <c r="V634" s="1" t="s">
        <v>67</v>
      </c>
      <c r="W634" s="24" t="s">
        <v>68</v>
      </c>
      <c r="Y634" s="24">
        <f t="shared" ref="Y634:Y645" si="92">J628</f>
        <v>8217.8203125</v>
      </c>
      <c r="Z634" s="24">
        <f t="shared" ref="Z634:Z645" si="93">N628</f>
        <v>7489.7529296900002</v>
      </c>
      <c r="AA634" s="24">
        <f t="shared" ref="AA634:AA645" si="94">N658</f>
        <v>845.42419433999999</v>
      </c>
      <c r="AB634" s="24">
        <f t="shared" ref="AB634:AB645" si="95">N689</f>
        <v>739.93475341999999</v>
      </c>
      <c r="AC634" s="24">
        <f t="shared" ref="AC634:AC642" si="96">N720</f>
        <v>909.31494140999996</v>
      </c>
    </row>
    <row r="635" spans="9:29" ht="12.75" customHeight="1" x14ac:dyDescent="0.25">
      <c r="I635" s="1" t="s">
        <v>90</v>
      </c>
      <c r="J635" s="2">
        <v>13542.4004</v>
      </c>
      <c r="K635" s="1">
        <v>-0.22882415</v>
      </c>
      <c r="L635" s="2">
        <v>14461.5996</v>
      </c>
      <c r="M635" s="1">
        <v>3.27281165</v>
      </c>
      <c r="N635" s="2">
        <v>274672.34399999998</v>
      </c>
      <c r="Q635" s="1" t="str">
        <f t="shared" si="86"/>
        <v>2025.01.31-10h08m.h5__SV.txt (m63-cor)</v>
      </c>
      <c r="R635" s="1" t="s">
        <v>86</v>
      </c>
      <c r="S635" s="1">
        <v>45</v>
      </c>
      <c r="T635" s="1">
        <v>45</v>
      </c>
      <c r="U635" s="1">
        <v>24</v>
      </c>
      <c r="V635" s="1" t="s">
        <v>70</v>
      </c>
      <c r="W635" s="24" t="s">
        <v>68</v>
      </c>
      <c r="Y635" s="24">
        <f t="shared" si="92"/>
        <v>8937.83984375</v>
      </c>
      <c r="Z635" s="24">
        <f t="shared" si="93"/>
        <v>8128.78125</v>
      </c>
      <c r="AA635" s="24">
        <f t="shared" si="94"/>
        <v>829.66735840000001</v>
      </c>
      <c r="AB635" s="24">
        <f t="shared" si="95"/>
        <v>529.34661864999998</v>
      </c>
      <c r="AC635" s="24">
        <f t="shared" si="96"/>
        <v>1138.3432617200001</v>
      </c>
    </row>
    <row r="636" spans="9:29" ht="12.75" customHeight="1" x14ac:dyDescent="0.25">
      <c r="I636" s="1" t="s">
        <v>90</v>
      </c>
      <c r="J636" s="2">
        <v>14461.5996</v>
      </c>
      <c r="K636" s="1">
        <v>3.27281165</v>
      </c>
      <c r="L636" s="2">
        <v>15275.200199999999</v>
      </c>
      <c r="M636" s="1">
        <v>6.0308537500000003</v>
      </c>
      <c r="N636" s="2">
        <v>398435.31199999998</v>
      </c>
      <c r="Q636" s="1" t="str">
        <f t="shared" si="86"/>
        <v>2025.01.31-10h08m.h5__SV.txt (m63-cor)</v>
      </c>
      <c r="R636" s="1" t="s">
        <v>86</v>
      </c>
      <c r="S636" s="1">
        <v>45</v>
      </c>
      <c r="T636" s="1">
        <v>45</v>
      </c>
      <c r="U636" s="1">
        <v>24</v>
      </c>
      <c r="V636" s="1" t="s">
        <v>71</v>
      </c>
      <c r="W636" s="24" t="s">
        <v>68</v>
      </c>
      <c r="Y636" s="24">
        <f t="shared" si="92"/>
        <v>9684.2597656199996</v>
      </c>
      <c r="Z636" s="24">
        <f t="shared" si="93"/>
        <v>5014.5209960900002</v>
      </c>
      <c r="AA636" s="24">
        <f t="shared" si="94"/>
        <v>539.28308104999996</v>
      </c>
      <c r="AB636" s="24">
        <f t="shared" si="95"/>
        <v>332.22900391000002</v>
      </c>
      <c r="AC636" s="24">
        <f t="shared" si="96"/>
        <v>972.14398193</v>
      </c>
    </row>
    <row r="637" spans="9:29" ht="12.75" customHeight="1" x14ac:dyDescent="0.25">
      <c r="I637" s="1" t="s">
        <v>90</v>
      </c>
      <c r="J637" s="2">
        <v>15395.200199999999</v>
      </c>
      <c r="K637" s="1">
        <v>5.8778643600000002</v>
      </c>
      <c r="L637" s="2">
        <v>15997.5996</v>
      </c>
      <c r="M637" s="1">
        <v>1.4996904099999999</v>
      </c>
      <c r="N637" s="2">
        <v>360571.375</v>
      </c>
      <c r="Q637" s="1" t="str">
        <f t="shared" si="86"/>
        <v>2025.01.31-10h08m.h5__SV.txt (m63-cor)</v>
      </c>
      <c r="R637" s="1" t="s">
        <v>86</v>
      </c>
      <c r="S637" s="1">
        <v>45</v>
      </c>
      <c r="T637" s="1">
        <v>25</v>
      </c>
      <c r="U637" s="1">
        <v>24</v>
      </c>
      <c r="V637" s="1" t="s">
        <v>67</v>
      </c>
      <c r="W637" s="24" t="s">
        <v>68</v>
      </c>
      <c r="Y637" s="24">
        <f t="shared" si="92"/>
        <v>10423.5</v>
      </c>
      <c r="Z637" s="24">
        <f t="shared" si="93"/>
        <v>7848.2797851599998</v>
      </c>
      <c r="AA637" s="24">
        <f t="shared" si="94"/>
        <v>382.89675903</v>
      </c>
      <c r="AB637" s="24">
        <f t="shared" si="95"/>
        <v>531.27093506000006</v>
      </c>
      <c r="AC637" s="24">
        <f t="shared" si="96"/>
        <v>1537.22814941</v>
      </c>
    </row>
    <row r="638" spans="9:29" ht="12.75" customHeight="1" x14ac:dyDescent="0.25">
      <c r="I638" s="1" t="s">
        <v>90</v>
      </c>
      <c r="J638" s="2">
        <v>16308.4004</v>
      </c>
      <c r="K638" s="1">
        <v>1.0453057299999999</v>
      </c>
      <c r="L638" s="2">
        <v>16964.900399999999</v>
      </c>
      <c r="M638" s="1">
        <v>0.10123383</v>
      </c>
      <c r="N638" s="2">
        <v>301716.5</v>
      </c>
      <c r="Q638" s="1" t="str">
        <f t="shared" si="86"/>
        <v>2025.01.31-10h08m.h5__SV.txt (m63-cor)</v>
      </c>
      <c r="R638" s="1" t="s">
        <v>86</v>
      </c>
      <c r="S638" s="1">
        <v>45</v>
      </c>
      <c r="T638" s="1">
        <v>25</v>
      </c>
      <c r="U638" s="1">
        <v>24</v>
      </c>
      <c r="V638" s="1" t="s">
        <v>70</v>
      </c>
      <c r="W638" s="24" t="s">
        <v>68</v>
      </c>
      <c r="Y638" s="24">
        <f t="shared" si="92"/>
        <v>11159.0996</v>
      </c>
      <c r="Z638" s="24">
        <f t="shared" si="93"/>
        <v>13526.502899999999</v>
      </c>
      <c r="AA638" s="24">
        <f t="shared" si="94"/>
        <v>607.44842529000005</v>
      </c>
      <c r="AB638" s="24">
        <f t="shared" si="95"/>
        <v>1007.3853149399999</v>
      </c>
      <c r="AC638" s="24">
        <f t="shared" si="96"/>
        <v>4171.1044921900002</v>
      </c>
    </row>
    <row r="639" spans="9:29" ht="12.75" customHeight="1" x14ac:dyDescent="0.25">
      <c r="I639" s="1" t="s">
        <v>90</v>
      </c>
      <c r="J639" s="2">
        <v>17230.099600000001</v>
      </c>
      <c r="K639" s="1">
        <v>1.2855602500000001</v>
      </c>
      <c r="L639" s="2">
        <v>17784.5</v>
      </c>
      <c r="M639" s="1">
        <v>3.4841175099999999</v>
      </c>
      <c r="N639" s="2">
        <v>203075.79699999999</v>
      </c>
      <c r="Q639" s="1" t="str">
        <f t="shared" si="86"/>
        <v>2025.01.31-10h08m.h5__SV.txt (m63-cor)</v>
      </c>
      <c r="R639" s="1" t="s">
        <v>86</v>
      </c>
      <c r="S639" s="1">
        <v>45</v>
      </c>
      <c r="T639" s="1">
        <v>25</v>
      </c>
      <c r="U639" s="1">
        <v>24</v>
      </c>
      <c r="V639" s="1" t="s">
        <v>71</v>
      </c>
      <c r="W639" s="24" t="s">
        <v>68</v>
      </c>
      <c r="Y639" s="24">
        <f t="shared" si="92"/>
        <v>11905.5</v>
      </c>
      <c r="Z639" s="24">
        <f t="shared" si="93"/>
        <v>11029.8467</v>
      </c>
      <c r="AA639" s="24">
        <f t="shared" si="94"/>
        <v>469.07498169000002</v>
      </c>
      <c r="AB639" s="24">
        <f t="shared" si="95"/>
        <v>1033.6899414100001</v>
      </c>
      <c r="AC639" s="24">
        <f t="shared" si="96"/>
        <v>8760.5332031199996</v>
      </c>
    </row>
    <row r="640" spans="9:29" ht="12.75" customHeight="1" x14ac:dyDescent="0.25">
      <c r="I640" s="1" t="s">
        <v>90</v>
      </c>
      <c r="J640" s="2">
        <v>18142.099600000001</v>
      </c>
      <c r="K640" s="1">
        <v>1.9744545200000001</v>
      </c>
      <c r="L640" s="2">
        <v>19036.099600000001</v>
      </c>
      <c r="M640" s="1">
        <v>3.3372526200000001</v>
      </c>
      <c r="N640" s="1">
        <v>2914.171875</v>
      </c>
      <c r="Q640" s="1" t="str">
        <f t="shared" si="86"/>
        <v>2025.01.31-10h08m.h5__SV.txt (m63-cor)</v>
      </c>
      <c r="R640" s="1" t="s">
        <v>86</v>
      </c>
      <c r="S640" s="1">
        <v>45</v>
      </c>
      <c r="T640" s="1">
        <v>45</v>
      </c>
      <c r="U640" s="1">
        <v>24</v>
      </c>
      <c r="V640" s="1" t="s">
        <v>67</v>
      </c>
      <c r="W640" s="24" t="s">
        <v>75</v>
      </c>
      <c r="Y640" s="24">
        <f t="shared" si="92"/>
        <v>12639.9004</v>
      </c>
      <c r="Z640" s="24">
        <f t="shared" si="93"/>
        <v>394707.5</v>
      </c>
      <c r="AA640" s="24">
        <f t="shared" si="94"/>
        <v>40710.609400000001</v>
      </c>
      <c r="AB640" s="24">
        <f t="shared" si="95"/>
        <v>25563.6914</v>
      </c>
      <c r="AC640" s="24">
        <f t="shared" si="96"/>
        <v>124133.30499999999</v>
      </c>
    </row>
    <row r="641" spans="9:29" ht="12.75" customHeight="1" x14ac:dyDescent="0.25">
      <c r="I641" s="1" t="s">
        <v>90</v>
      </c>
      <c r="J641" s="2">
        <v>19644.5</v>
      </c>
      <c r="K641" s="1">
        <v>2.9230384800000002</v>
      </c>
      <c r="L641" s="2">
        <v>20094.5</v>
      </c>
      <c r="M641" s="1">
        <v>1.5450301200000001</v>
      </c>
      <c r="N641" s="1">
        <v>1258.24609375</v>
      </c>
      <c r="Q641" s="1" t="str">
        <f t="shared" si="86"/>
        <v>2025.01.31-10h08m.h5__SV.txt (m63-cor)</v>
      </c>
      <c r="R641" s="1" t="s">
        <v>86</v>
      </c>
      <c r="S641" s="1">
        <v>45</v>
      </c>
      <c r="T641" s="1">
        <v>45</v>
      </c>
      <c r="U641" s="1">
        <v>24</v>
      </c>
      <c r="V641" s="1" t="s">
        <v>70</v>
      </c>
      <c r="W641" s="24" t="s">
        <v>75</v>
      </c>
      <c r="Y641" s="24">
        <f t="shared" si="92"/>
        <v>13542.4004</v>
      </c>
      <c r="Z641" s="24">
        <f t="shared" si="93"/>
        <v>274672.34399999998</v>
      </c>
      <c r="AA641" s="24">
        <f t="shared" si="94"/>
        <v>26624.5098</v>
      </c>
      <c r="AB641" s="24">
        <f t="shared" si="95"/>
        <v>15684.3467</v>
      </c>
      <c r="AC641" s="24">
        <f t="shared" si="96"/>
        <v>60694.367200000001</v>
      </c>
    </row>
    <row r="642" spans="9:29" ht="12.75" customHeight="1" x14ac:dyDescent="0.25">
      <c r="I642" s="1" t="s">
        <v>90</v>
      </c>
      <c r="J642" s="2">
        <v>20365.800800000001</v>
      </c>
      <c r="K642" s="1">
        <v>2.0105614699999999</v>
      </c>
      <c r="L642" s="2">
        <v>21043.800800000001</v>
      </c>
      <c r="M642" s="1">
        <v>2.9330773400000001</v>
      </c>
      <c r="N642" s="2">
        <v>423264.18800000002</v>
      </c>
      <c r="Q642" s="1" t="str">
        <f t="shared" si="86"/>
        <v>2025.01.31-10h08m.h5__SV.txt (m63-cor)</v>
      </c>
      <c r="R642" s="1" t="s">
        <v>86</v>
      </c>
      <c r="S642" s="1">
        <v>45</v>
      </c>
      <c r="T642" s="1">
        <v>45</v>
      </c>
      <c r="U642" s="1">
        <v>24</v>
      </c>
      <c r="V642" s="1" t="s">
        <v>71</v>
      </c>
      <c r="W642" s="24" t="s">
        <v>75</v>
      </c>
      <c r="Y642" s="24">
        <f t="shared" si="92"/>
        <v>14461.5996</v>
      </c>
      <c r="Z642" s="24">
        <f t="shared" si="93"/>
        <v>398435.31199999998</v>
      </c>
      <c r="AA642" s="24">
        <f t="shared" si="94"/>
        <v>43050.191400000003</v>
      </c>
      <c r="AB642" s="24">
        <f t="shared" si="95"/>
        <v>27427.039100000002</v>
      </c>
      <c r="AC642" s="24">
        <f t="shared" si="96"/>
        <v>152306.68799999999</v>
      </c>
    </row>
    <row r="643" spans="9:29" ht="12.75" customHeight="1" x14ac:dyDescent="0.25">
      <c r="I643" s="1" t="s">
        <v>90</v>
      </c>
      <c r="J643" s="2">
        <v>22215</v>
      </c>
      <c r="K643" s="1">
        <v>2.2078299499999998</v>
      </c>
      <c r="L643" s="2">
        <v>22867.800800000001</v>
      </c>
      <c r="M643" s="1">
        <v>2.86643553</v>
      </c>
      <c r="N643" s="2">
        <v>388134.5</v>
      </c>
      <c r="Q643" s="1" t="str">
        <f t="shared" si="86"/>
        <v>2025.01.31-10h08m.h5__SV.txt (m63-cor)</v>
      </c>
      <c r="R643" s="1" t="s">
        <v>86</v>
      </c>
      <c r="S643" s="1">
        <v>45</v>
      </c>
      <c r="T643" s="1">
        <v>25</v>
      </c>
      <c r="U643" s="1">
        <v>24</v>
      </c>
      <c r="V643" s="1" t="s">
        <v>67</v>
      </c>
      <c r="W643" s="24" t="s">
        <v>75</v>
      </c>
      <c r="Y643" s="24">
        <f t="shared" si="92"/>
        <v>15395.200199999999</v>
      </c>
      <c r="Z643" s="24">
        <f t="shared" si="93"/>
        <v>360571.375</v>
      </c>
      <c r="AA643" s="24">
        <f t="shared" si="94"/>
        <v>21168.726600000002</v>
      </c>
      <c r="AB643" s="24">
        <f t="shared" si="95"/>
        <v>21128.6973</v>
      </c>
      <c r="AC643" s="24">
        <f>N728</f>
        <v>152306.68799999999</v>
      </c>
    </row>
    <row r="644" spans="9:29" ht="12.75" customHeight="1" x14ac:dyDescent="0.25">
      <c r="I644" s="1" t="s">
        <v>90</v>
      </c>
      <c r="J644" s="2">
        <v>23125.800800000001</v>
      </c>
      <c r="K644" s="1">
        <v>2.7391953500000001</v>
      </c>
      <c r="L644" s="2">
        <v>23817.099600000001</v>
      </c>
      <c r="M644" s="1">
        <v>1.8564038300000001</v>
      </c>
      <c r="N644" s="2">
        <v>430277.90600000002</v>
      </c>
      <c r="Q644" s="1" t="str">
        <f t="shared" si="86"/>
        <v>2025.01.31-10h08m.h5__SV.txt (m63-cor)</v>
      </c>
      <c r="R644" s="1" t="s">
        <v>86</v>
      </c>
      <c r="S644" s="1">
        <v>45</v>
      </c>
      <c r="T644" s="1">
        <v>25</v>
      </c>
      <c r="U644" s="1">
        <v>24</v>
      </c>
      <c r="V644" s="1" t="s">
        <v>70</v>
      </c>
      <c r="W644" s="24" t="s">
        <v>75</v>
      </c>
      <c r="Y644" s="24">
        <f t="shared" si="92"/>
        <v>16308.4004</v>
      </c>
      <c r="Z644" s="24">
        <f t="shared" si="93"/>
        <v>301716.5</v>
      </c>
      <c r="AA644" s="24">
        <f t="shared" si="94"/>
        <v>17113.835899999998</v>
      </c>
      <c r="AB644" s="24">
        <f t="shared" si="95"/>
        <v>18375.890599999999</v>
      </c>
      <c r="AC644" s="24">
        <f t="shared" ref="AC644:AC645" si="97">N730</f>
        <v>67187.960900000005</v>
      </c>
    </row>
    <row r="645" spans="9:29" ht="12.75" customHeight="1" x14ac:dyDescent="0.25">
      <c r="I645" s="1" t="s">
        <v>90</v>
      </c>
      <c r="J645" s="2">
        <v>24048.699199999999</v>
      </c>
      <c r="K645" s="1">
        <v>2.3248009700000001</v>
      </c>
      <c r="L645" s="2">
        <v>24904.300800000001</v>
      </c>
      <c r="M645" s="1">
        <v>1.20722961</v>
      </c>
      <c r="N645" s="2">
        <v>327582.25</v>
      </c>
      <c r="Q645" s="1" t="str">
        <f t="shared" si="86"/>
        <v>2025.01.31-10h08m.h5__SV.txt (m63-cor)</v>
      </c>
      <c r="R645" s="1" t="s">
        <v>86</v>
      </c>
      <c r="S645" s="1">
        <v>45</v>
      </c>
      <c r="T645" s="1">
        <v>25</v>
      </c>
      <c r="U645" s="1">
        <v>24</v>
      </c>
      <c r="V645" s="1" t="s">
        <v>71</v>
      </c>
      <c r="W645" s="24" t="s">
        <v>75</v>
      </c>
      <c r="Y645" s="24">
        <f t="shared" si="92"/>
        <v>17230.099600000001</v>
      </c>
      <c r="Z645" s="24">
        <f t="shared" si="93"/>
        <v>203075.79699999999</v>
      </c>
      <c r="AA645" s="24">
        <f t="shared" si="94"/>
        <v>10699.704100000001</v>
      </c>
      <c r="AB645" s="24">
        <f t="shared" si="95"/>
        <v>11515.761699999999</v>
      </c>
      <c r="AC645" s="24">
        <f t="shared" si="97"/>
        <v>49706.292999999998</v>
      </c>
    </row>
    <row r="646" spans="9:29" ht="12.75" customHeight="1" x14ac:dyDescent="0.25">
      <c r="I646" s="1" t="s">
        <v>90</v>
      </c>
      <c r="J646" s="2">
        <v>24958.300800000001</v>
      </c>
      <c r="K646" s="1">
        <v>2.5893235200000002</v>
      </c>
      <c r="L646" s="2">
        <v>25645.900399999999</v>
      </c>
      <c r="M646" s="1">
        <v>2.7666094299999999</v>
      </c>
      <c r="N646" s="2">
        <v>297199.40600000002</v>
      </c>
      <c r="Q646" s="1" t="str">
        <f t="shared" si="86"/>
        <v>2025.01.31-10h08m.h5__SV.txt (m63-cor)</v>
      </c>
      <c r="R646" s="1" t="s">
        <v>86</v>
      </c>
      <c r="S646" s="1">
        <v>45</v>
      </c>
      <c r="T646" s="1">
        <v>45</v>
      </c>
      <c r="U646" s="1">
        <v>24</v>
      </c>
      <c r="V646" s="1" t="s">
        <v>67</v>
      </c>
      <c r="W646" s="24" t="s">
        <v>79</v>
      </c>
      <c r="Y646" s="24">
        <f>J642</f>
        <v>20365.800800000001</v>
      </c>
      <c r="Z646" s="24">
        <f>N642</f>
        <v>423264.18800000002</v>
      </c>
      <c r="AA646" s="24">
        <f t="shared" ref="AA646:AA651" si="98">N672</f>
        <v>49081.523399999998</v>
      </c>
      <c r="AB646" s="24">
        <f t="shared" ref="AB646:AB651" si="99">N703</f>
        <v>31283.847699999998</v>
      </c>
      <c r="AC646" s="24">
        <f t="shared" ref="AC646:AC651" si="100">N734</f>
        <v>150849.59400000001</v>
      </c>
    </row>
    <row r="647" spans="9:29" ht="12.75" customHeight="1" x14ac:dyDescent="0.25">
      <c r="Q647" s="1" t="str">
        <f t="shared" si="86"/>
        <v>2025.01.31-10h08m.h5__SV.txt (m63-cor)</v>
      </c>
      <c r="R647" s="1" t="s">
        <v>86</v>
      </c>
      <c r="S647" s="1">
        <v>45</v>
      </c>
      <c r="T647" s="1">
        <v>45</v>
      </c>
      <c r="U647" s="1">
        <v>24</v>
      </c>
      <c r="V647" s="1" t="s">
        <v>67</v>
      </c>
      <c r="W647" s="24" t="s">
        <v>79</v>
      </c>
      <c r="X647" s="1" t="s">
        <v>92</v>
      </c>
      <c r="Y647" s="24">
        <f>J673</f>
        <v>21297</v>
      </c>
      <c r="Z647" s="29" t="s">
        <v>69</v>
      </c>
      <c r="AA647" s="24">
        <f t="shared" si="98"/>
        <v>58115.835899999998</v>
      </c>
      <c r="AB647" s="24">
        <f t="shared" si="99"/>
        <v>36693.742200000001</v>
      </c>
      <c r="AC647" s="24">
        <f t="shared" si="100"/>
        <v>152969.96900000001</v>
      </c>
    </row>
    <row r="648" spans="9:29" ht="12.75" customHeight="1" x14ac:dyDescent="0.25">
      <c r="I648" s="1" t="s">
        <v>10</v>
      </c>
      <c r="Q648" s="1" t="str">
        <f t="shared" si="86"/>
        <v>2025.01.31-10h08m.h5__SV.txt (m63-cor)</v>
      </c>
      <c r="R648" s="1" t="s">
        <v>86</v>
      </c>
      <c r="S648" s="1">
        <v>45</v>
      </c>
      <c r="T648" s="1">
        <v>45</v>
      </c>
      <c r="U648" s="1">
        <v>24</v>
      </c>
      <c r="V648" s="1" t="s">
        <v>71</v>
      </c>
      <c r="W648" s="24" t="s">
        <v>79</v>
      </c>
      <c r="Y648" s="24">
        <f t="shared" ref="Y648:Y651" si="101">J643</f>
        <v>22215</v>
      </c>
      <c r="Z648" s="24">
        <f t="shared" ref="Z648:Z651" si="102">N643</f>
        <v>388134.5</v>
      </c>
      <c r="AA648" s="24">
        <f t="shared" si="98"/>
        <v>43144.6875</v>
      </c>
      <c r="AB648" s="24">
        <f t="shared" si="99"/>
        <v>28654.095700000002</v>
      </c>
      <c r="AC648" s="24">
        <f t="shared" si="100"/>
        <v>153097.46900000001</v>
      </c>
    </row>
    <row r="649" spans="9:29" ht="12.75" customHeight="1" x14ac:dyDescent="0.25">
      <c r="I649" s="1" t="s">
        <v>0</v>
      </c>
      <c r="J649" s="1" t="s">
        <v>1</v>
      </c>
      <c r="K649" s="1" t="s">
        <v>2</v>
      </c>
      <c r="L649" s="1" t="s">
        <v>3</v>
      </c>
      <c r="M649" s="1" t="s">
        <v>4</v>
      </c>
      <c r="N649" s="1" t="s">
        <v>5</v>
      </c>
      <c r="Q649" s="1" t="str">
        <f t="shared" si="86"/>
        <v>2025.01.31-10h08m.h5__SV.txt (m63-cor)</v>
      </c>
      <c r="R649" s="1" t="s">
        <v>86</v>
      </c>
      <c r="S649" s="1">
        <v>45</v>
      </c>
      <c r="T649" s="1">
        <v>25</v>
      </c>
      <c r="U649" s="1">
        <v>24</v>
      </c>
      <c r="V649" s="1" t="s">
        <v>67</v>
      </c>
      <c r="W649" s="24" t="s">
        <v>79</v>
      </c>
      <c r="Y649" s="24">
        <f t="shared" si="101"/>
        <v>23125.800800000001</v>
      </c>
      <c r="Z649" s="24">
        <f t="shared" si="102"/>
        <v>430277.90600000002</v>
      </c>
      <c r="AA649" s="24">
        <f t="shared" si="98"/>
        <v>26550.9355</v>
      </c>
      <c r="AB649" s="24">
        <f t="shared" si="99"/>
        <v>26240.703099999999</v>
      </c>
      <c r="AC649" s="24">
        <f t="shared" si="100"/>
        <v>78314.523400000005</v>
      </c>
    </row>
    <row r="650" spans="9:29" ht="12.75" customHeight="1" x14ac:dyDescent="0.25">
      <c r="I650" s="1" t="s">
        <v>93</v>
      </c>
      <c r="J650" s="1">
        <v>1112.43005371</v>
      </c>
      <c r="K650" s="1">
        <v>0.74073659999999997</v>
      </c>
      <c r="L650" s="1">
        <v>1399.2399902300001</v>
      </c>
      <c r="M650" s="1">
        <v>1.0865869500000001</v>
      </c>
      <c r="N650" s="1">
        <v>1188.2760009799999</v>
      </c>
      <c r="Q650" s="1" t="str">
        <f t="shared" si="86"/>
        <v>2025.01.31-10h08m.h5__SV.txt (m63-cor)</v>
      </c>
      <c r="R650" s="1" t="s">
        <v>86</v>
      </c>
      <c r="S650" s="1">
        <v>45</v>
      </c>
      <c r="T650" s="1">
        <v>25</v>
      </c>
      <c r="U650" s="1">
        <v>24</v>
      </c>
      <c r="V650" s="1" t="s">
        <v>70</v>
      </c>
      <c r="W650" s="24" t="s">
        <v>79</v>
      </c>
      <c r="Y650" s="24">
        <f t="shared" si="101"/>
        <v>24048.699199999999</v>
      </c>
      <c r="Z650" s="24">
        <f t="shared" si="102"/>
        <v>327582.25</v>
      </c>
      <c r="AA650" s="24">
        <f t="shared" si="98"/>
        <v>18804.8711</v>
      </c>
      <c r="AB650" s="24">
        <f t="shared" si="99"/>
        <v>20385.988300000001</v>
      </c>
      <c r="AC650" s="24">
        <f t="shared" si="100"/>
        <v>72886.375</v>
      </c>
    </row>
    <row r="651" spans="9:29" ht="12.75" customHeight="1" x14ac:dyDescent="0.25">
      <c r="I651" s="1" t="s">
        <v>93</v>
      </c>
      <c r="J651" s="1">
        <v>1844.4499511700001</v>
      </c>
      <c r="K651" s="1">
        <v>0.57528310999999999</v>
      </c>
      <c r="L651" s="1">
        <v>2304.0600585900002</v>
      </c>
      <c r="M651" s="1">
        <v>0.96824789</v>
      </c>
      <c r="N651" s="1">
        <v>1092.4431152300001</v>
      </c>
      <c r="Q651" s="1" t="str">
        <f t="shared" si="86"/>
        <v>2025.01.31-10h08m.h5__SV.txt (m63-cor)</v>
      </c>
      <c r="R651" s="1" t="s">
        <v>86</v>
      </c>
      <c r="S651" s="1">
        <v>45</v>
      </c>
      <c r="T651" s="1">
        <v>25</v>
      </c>
      <c r="U651" s="1">
        <v>24</v>
      </c>
      <c r="V651" s="1" t="s">
        <v>71</v>
      </c>
      <c r="W651" s="24" t="s">
        <v>79</v>
      </c>
      <c r="Y651" s="24">
        <f t="shared" si="101"/>
        <v>24958.300800000001</v>
      </c>
      <c r="Z651" s="24">
        <f t="shared" si="102"/>
        <v>297199.40600000002</v>
      </c>
      <c r="AA651" s="24">
        <f t="shared" si="98"/>
        <v>17312.099600000001</v>
      </c>
      <c r="AB651" s="24">
        <f t="shared" si="99"/>
        <v>19236.285199999998</v>
      </c>
      <c r="AC651" s="24">
        <f t="shared" si="100"/>
        <v>77602.765599999999</v>
      </c>
    </row>
    <row r="652" spans="9:29" ht="12.75" customHeight="1" x14ac:dyDescent="0.25">
      <c r="I652" s="1" t="s">
        <v>93</v>
      </c>
      <c r="J652" s="1">
        <v>2587.2700195299999</v>
      </c>
      <c r="K652" s="1">
        <v>1.03622448</v>
      </c>
      <c r="L652" s="1">
        <v>2854.8798828099998</v>
      </c>
      <c r="M652" s="1">
        <v>0.70739346999999997</v>
      </c>
      <c r="N652" s="1">
        <v>765.76202393000005</v>
      </c>
    </row>
    <row r="653" spans="9:29" ht="12.75" customHeight="1" x14ac:dyDescent="0.25">
      <c r="I653" s="1" t="s">
        <v>93</v>
      </c>
      <c r="J653" s="1">
        <v>3319.2900390599998</v>
      </c>
      <c r="K653" s="1">
        <v>1.0764596500000001</v>
      </c>
      <c r="L653" s="1">
        <v>3554.5</v>
      </c>
      <c r="M653" s="1">
        <v>0.83524423999999997</v>
      </c>
      <c r="N653" s="1">
        <v>334.40899658000001</v>
      </c>
    </row>
    <row r="654" spans="9:29" ht="12.75" customHeight="1" x14ac:dyDescent="0.25">
      <c r="I654" s="1" t="s">
        <v>93</v>
      </c>
      <c r="J654" s="1">
        <v>4062.1101074200001</v>
      </c>
      <c r="K654" s="1">
        <v>0.95483726000000002</v>
      </c>
      <c r="L654" s="1">
        <v>4651.3300781199996</v>
      </c>
      <c r="M654" s="1">
        <v>2.5055670700000001</v>
      </c>
      <c r="N654" s="2">
        <v>15779.6543</v>
      </c>
    </row>
    <row r="655" spans="9:29" ht="12.75" customHeight="1" x14ac:dyDescent="0.25">
      <c r="I655" s="1" t="s">
        <v>93</v>
      </c>
      <c r="J655" s="1">
        <v>4978.9399414099998</v>
      </c>
      <c r="K655" s="1">
        <v>2.3469028500000002</v>
      </c>
      <c r="L655" s="1">
        <v>5424.1499023400002</v>
      </c>
      <c r="M655" s="1">
        <v>3.2954573599999999</v>
      </c>
      <c r="N655" s="2">
        <v>19000.529299999998</v>
      </c>
    </row>
    <row r="656" spans="9:29" ht="12.75" customHeight="1" x14ac:dyDescent="0.25">
      <c r="I656" s="1" t="s">
        <v>93</v>
      </c>
      <c r="J656" s="1">
        <v>5898.16015625</v>
      </c>
      <c r="K656" s="1">
        <v>2.6662101699999998</v>
      </c>
      <c r="L656" s="1">
        <v>6452.5800781199996</v>
      </c>
      <c r="M656" s="1">
        <v>1.30707061</v>
      </c>
      <c r="N656" s="2">
        <v>19113.9941</v>
      </c>
    </row>
    <row r="657" spans="9:14" ht="12.75" customHeight="1" x14ac:dyDescent="0.25">
      <c r="I657" s="1" t="s">
        <v>93</v>
      </c>
      <c r="J657" s="1">
        <v>7481</v>
      </c>
      <c r="K657" s="1">
        <v>0.79574191999999999</v>
      </c>
      <c r="L657" s="1">
        <v>7891.4199218800004</v>
      </c>
      <c r="M657" s="1">
        <v>0.50495577000000003</v>
      </c>
      <c r="N657" s="1">
        <v>1567.0994873</v>
      </c>
    </row>
    <row r="658" spans="9:14" ht="12.75" customHeight="1" x14ac:dyDescent="0.25">
      <c r="I658" s="1" t="s">
        <v>93</v>
      </c>
      <c r="J658" s="1">
        <v>8221.4199218800004</v>
      </c>
      <c r="K658" s="1">
        <v>0.81121235999999997</v>
      </c>
      <c r="L658" s="1">
        <v>8516.6298828100007</v>
      </c>
      <c r="M658" s="1">
        <v>0.80186886000000002</v>
      </c>
      <c r="N658" s="1">
        <v>845.42419433999999</v>
      </c>
    </row>
    <row r="659" spans="9:14" ht="12.75" customHeight="1" x14ac:dyDescent="0.25">
      <c r="I659" s="1" t="s">
        <v>93</v>
      </c>
      <c r="J659" s="1">
        <v>8942.6396484399993</v>
      </c>
      <c r="K659" s="1">
        <v>0.72884499999999997</v>
      </c>
      <c r="L659" s="1">
        <v>9270.25</v>
      </c>
      <c r="M659" s="1">
        <v>0.80401480000000003</v>
      </c>
      <c r="N659" s="1">
        <v>829.66735840000001</v>
      </c>
    </row>
    <row r="660" spans="9:14" ht="12.75" customHeight="1" x14ac:dyDescent="0.25">
      <c r="I660" s="1" t="s">
        <v>93</v>
      </c>
      <c r="J660" s="1">
        <v>9684.2597656199996</v>
      </c>
      <c r="K660" s="1">
        <v>0.94806665000000001</v>
      </c>
      <c r="L660" s="2">
        <v>10044.299800000001</v>
      </c>
      <c r="M660" s="1">
        <v>1.1530937000000001</v>
      </c>
      <c r="N660" s="1">
        <v>539.28308104999996</v>
      </c>
    </row>
    <row r="661" spans="9:14" ht="12.75" customHeight="1" x14ac:dyDescent="0.25">
      <c r="I661" s="1" t="s">
        <v>93</v>
      </c>
      <c r="J661" s="2">
        <v>10423.5</v>
      </c>
      <c r="K661" s="1">
        <v>0.94069069999999999</v>
      </c>
      <c r="L661" s="2">
        <v>10688.700199999999</v>
      </c>
      <c r="M661" s="1">
        <v>0.65322732999999999</v>
      </c>
      <c r="N661" s="1">
        <v>382.89675903</v>
      </c>
    </row>
    <row r="662" spans="9:14" ht="12.75" customHeight="1" x14ac:dyDescent="0.25">
      <c r="I662" s="1" t="s">
        <v>93</v>
      </c>
      <c r="J662" s="2">
        <v>11168.700199999999</v>
      </c>
      <c r="K662" s="1">
        <v>0.7969541</v>
      </c>
      <c r="L662" s="2">
        <v>11507.0996</v>
      </c>
      <c r="M662" s="1">
        <v>0.79228388999999999</v>
      </c>
      <c r="N662" s="1">
        <v>607.44842529000005</v>
      </c>
    </row>
    <row r="663" spans="9:14" ht="12.75" customHeight="1" x14ac:dyDescent="0.25">
      <c r="I663" s="1" t="s">
        <v>93</v>
      </c>
      <c r="J663" s="2">
        <v>11903.0996</v>
      </c>
      <c r="K663" s="1">
        <v>1.0126366600000001</v>
      </c>
      <c r="L663" s="2">
        <v>12237.9004</v>
      </c>
      <c r="M663" s="1">
        <v>1.2441798399999999</v>
      </c>
      <c r="N663" s="1">
        <v>469.07498169000002</v>
      </c>
    </row>
    <row r="664" spans="9:14" ht="12.75" customHeight="1" x14ac:dyDescent="0.25">
      <c r="I664" s="1" t="s">
        <v>93</v>
      </c>
      <c r="J664" s="2">
        <v>12641.0996</v>
      </c>
      <c r="K664" s="1">
        <v>0.85728477999999997</v>
      </c>
      <c r="L664" s="2">
        <v>13291.5996</v>
      </c>
      <c r="M664" s="1">
        <v>1.2069121599999999</v>
      </c>
      <c r="N664" s="2">
        <v>40710.609400000001</v>
      </c>
    </row>
    <row r="665" spans="9:14" ht="12.75" customHeight="1" x14ac:dyDescent="0.25">
      <c r="I665" s="1" t="s">
        <v>93</v>
      </c>
      <c r="J665" s="2">
        <v>13559.200199999999</v>
      </c>
      <c r="K665" s="1">
        <v>1.4486987600000001</v>
      </c>
      <c r="L665" s="2">
        <v>14076.4004</v>
      </c>
      <c r="M665" s="1">
        <v>1.3468473000000001</v>
      </c>
      <c r="N665" s="2">
        <v>26624.5098</v>
      </c>
    </row>
    <row r="666" spans="9:14" ht="12.75" customHeight="1" x14ac:dyDescent="0.25">
      <c r="I666" s="1" t="s">
        <v>93</v>
      </c>
      <c r="J666" s="2">
        <v>14477.200199999999</v>
      </c>
      <c r="K666" s="1">
        <v>1.72067082</v>
      </c>
      <c r="L666" s="2">
        <v>15031.5996</v>
      </c>
      <c r="M666" s="1">
        <v>2.2902800999999999</v>
      </c>
      <c r="N666" s="2">
        <v>43050.191400000003</v>
      </c>
    </row>
    <row r="667" spans="9:14" ht="12.75" customHeight="1" x14ac:dyDescent="0.25">
      <c r="I667" s="1" t="s">
        <v>93</v>
      </c>
      <c r="J667" s="2">
        <v>15395.200199999999</v>
      </c>
      <c r="K667" s="1">
        <v>2.4239797599999999</v>
      </c>
      <c r="L667" s="2">
        <v>15899.200199999999</v>
      </c>
      <c r="M667" s="1">
        <v>1.2835321399999999</v>
      </c>
      <c r="N667" s="2">
        <v>21168.726600000002</v>
      </c>
    </row>
    <row r="668" spans="9:14" ht="12.75" customHeight="1" x14ac:dyDescent="0.25">
      <c r="I668" s="1" t="s">
        <v>93</v>
      </c>
      <c r="J668" s="2">
        <v>16313.200199999999</v>
      </c>
      <c r="K668" s="1">
        <v>1.0747689</v>
      </c>
      <c r="L668" s="2">
        <v>16788.5</v>
      </c>
      <c r="M668" s="1">
        <v>1.6384003199999999</v>
      </c>
      <c r="N668" s="2">
        <v>17113.835899999998</v>
      </c>
    </row>
    <row r="669" spans="9:14" ht="12.75" customHeight="1" x14ac:dyDescent="0.25">
      <c r="I669" s="1" t="s">
        <v>93</v>
      </c>
      <c r="J669" s="2">
        <v>17226.5</v>
      </c>
      <c r="K669" s="1">
        <v>1.33480716</v>
      </c>
      <c r="L669" s="2">
        <v>17670.5</v>
      </c>
      <c r="M669" s="1">
        <v>0.94762760000000001</v>
      </c>
      <c r="N669" s="2">
        <v>10699.704100000001</v>
      </c>
    </row>
    <row r="670" spans="9:14" ht="12.75" customHeight="1" x14ac:dyDescent="0.25">
      <c r="I670" s="1" t="s">
        <v>93</v>
      </c>
      <c r="J670" s="2">
        <v>18163.699199999999</v>
      </c>
      <c r="K670" s="1">
        <v>1.08689916</v>
      </c>
      <c r="L670" s="2">
        <v>19042.099600000001</v>
      </c>
      <c r="M670" s="1">
        <v>0.90034073999999997</v>
      </c>
      <c r="N670" s="1">
        <v>143.22900390999999</v>
      </c>
    </row>
    <row r="671" spans="9:14" ht="12.75" customHeight="1" x14ac:dyDescent="0.25">
      <c r="I671" s="1" t="s">
        <v>93</v>
      </c>
      <c r="J671" s="2">
        <v>19640.900399999999</v>
      </c>
      <c r="K671" s="1">
        <v>1.03858089</v>
      </c>
      <c r="L671" s="2">
        <v>20048.900399999999</v>
      </c>
      <c r="M671" s="1">
        <v>0.51799523999999997</v>
      </c>
      <c r="N671" s="1">
        <v>1382.8830566399999</v>
      </c>
    </row>
    <row r="672" spans="9:14" ht="12.75" customHeight="1" x14ac:dyDescent="0.25">
      <c r="I672" s="1" t="s">
        <v>93</v>
      </c>
      <c r="J672" s="2">
        <v>20380.199199999999</v>
      </c>
      <c r="K672" s="1">
        <v>1.4845835000000001</v>
      </c>
      <c r="L672" s="2">
        <v>20928.599600000001</v>
      </c>
      <c r="M672" s="1">
        <v>1.2619448900000001</v>
      </c>
      <c r="N672" s="2">
        <v>49081.523399999998</v>
      </c>
    </row>
    <row r="673" spans="9:14" ht="12.75" customHeight="1" x14ac:dyDescent="0.25">
      <c r="I673" s="1" t="s">
        <v>93</v>
      </c>
      <c r="J673" s="2">
        <v>21297</v>
      </c>
      <c r="K673" s="1">
        <v>0.82199871999999996</v>
      </c>
      <c r="L673" s="2">
        <v>21895.800800000001</v>
      </c>
      <c r="M673" s="1">
        <v>1.4675898599999999</v>
      </c>
      <c r="N673" s="2">
        <v>58115.835899999998</v>
      </c>
    </row>
    <row r="674" spans="9:14" ht="12.75" customHeight="1" x14ac:dyDescent="0.25">
      <c r="I674" s="1" t="s">
        <v>93</v>
      </c>
      <c r="J674" s="2">
        <v>22209</v>
      </c>
      <c r="K674" s="1">
        <v>0.78234881000000001</v>
      </c>
      <c r="L674" s="2">
        <v>22829.400399999999</v>
      </c>
      <c r="M674" s="1">
        <v>0.79737091000000004</v>
      </c>
      <c r="N674" s="2">
        <v>43144.6875</v>
      </c>
    </row>
    <row r="675" spans="9:14" ht="12.75" customHeight="1" x14ac:dyDescent="0.25">
      <c r="I675" s="1" t="s">
        <v>93</v>
      </c>
      <c r="J675" s="2">
        <v>23130.599600000001</v>
      </c>
      <c r="K675" s="1">
        <v>1.4390600899999999</v>
      </c>
      <c r="L675" s="2">
        <v>23778.599600000001</v>
      </c>
      <c r="M675" s="1">
        <v>1.1269069899999999</v>
      </c>
      <c r="N675" s="2">
        <v>26550.9355</v>
      </c>
    </row>
    <row r="676" spans="9:14" ht="12.75" customHeight="1" x14ac:dyDescent="0.25">
      <c r="I676" s="1" t="s">
        <v>93</v>
      </c>
      <c r="J676" s="2">
        <v>24049.900399999999</v>
      </c>
      <c r="K676" s="1">
        <v>0.98064523999999997</v>
      </c>
      <c r="L676" s="2">
        <v>24682.300800000001</v>
      </c>
      <c r="M676" s="1">
        <v>0.70147002000000003</v>
      </c>
      <c r="N676" s="2">
        <v>18804.8711</v>
      </c>
    </row>
    <row r="677" spans="9:14" ht="12.75" customHeight="1" x14ac:dyDescent="0.25">
      <c r="I677" s="1" t="s">
        <v>93</v>
      </c>
      <c r="J677" s="2">
        <v>24961.900399999999</v>
      </c>
      <c r="K677" s="1">
        <v>1.0671770599999999</v>
      </c>
      <c r="L677" s="2">
        <v>25533.099600000001</v>
      </c>
      <c r="M677" s="1">
        <v>0.99053663000000003</v>
      </c>
      <c r="N677" s="2">
        <v>17312.099600000001</v>
      </c>
    </row>
    <row r="678" spans="9:14" ht="12.75" customHeight="1" x14ac:dyDescent="0.25"/>
    <row r="679" spans="9:14" ht="12.75" customHeight="1" x14ac:dyDescent="0.25">
      <c r="I679" s="1" t="s">
        <v>12</v>
      </c>
    </row>
    <row r="680" spans="9:14" ht="12.75" customHeight="1" x14ac:dyDescent="0.25">
      <c r="I680" s="1" t="s">
        <v>0</v>
      </c>
      <c r="J680" s="1" t="s">
        <v>1</v>
      </c>
      <c r="K680" s="1" t="s">
        <v>2</v>
      </c>
      <c r="L680" s="1" t="s">
        <v>3</v>
      </c>
      <c r="M680" s="1" t="s">
        <v>4</v>
      </c>
      <c r="N680" s="1" t="s">
        <v>5</v>
      </c>
    </row>
    <row r="681" spans="9:14" ht="12.75" customHeight="1" x14ac:dyDescent="0.25">
      <c r="I681" s="1" t="s">
        <v>94</v>
      </c>
      <c r="J681" s="1">
        <v>1111.2299804700001</v>
      </c>
      <c r="K681" s="1">
        <v>4.4729819300000004</v>
      </c>
      <c r="L681" s="1">
        <v>1521.64001465</v>
      </c>
      <c r="M681" s="1">
        <v>3.21936131</v>
      </c>
      <c r="N681" s="2">
        <v>14788.7305</v>
      </c>
    </row>
    <row r="682" spans="9:14" ht="12.75" customHeight="1" x14ac:dyDescent="0.25">
      <c r="I682" s="1" t="s">
        <v>94</v>
      </c>
      <c r="J682" s="1">
        <v>1836.0500488299999</v>
      </c>
      <c r="K682" s="1">
        <v>3.5457131899999998</v>
      </c>
      <c r="L682" s="1">
        <v>2294.4599609400002</v>
      </c>
      <c r="M682" s="1">
        <v>3.3703005300000002</v>
      </c>
      <c r="N682" s="1">
        <v>1785.3758544899999</v>
      </c>
    </row>
    <row r="683" spans="9:14" ht="12.75" customHeight="1" x14ac:dyDescent="0.25">
      <c r="I683" s="1" t="s">
        <v>94</v>
      </c>
      <c r="J683" s="1">
        <v>2580.0700683599998</v>
      </c>
      <c r="K683" s="1">
        <v>3.43912029</v>
      </c>
      <c r="L683" s="1">
        <v>3090.0800781200001</v>
      </c>
      <c r="M683" s="1">
        <v>3.2953472100000001</v>
      </c>
      <c r="N683" s="1">
        <v>1665.9935302700001</v>
      </c>
    </row>
    <row r="684" spans="9:14" ht="12.75" customHeight="1" x14ac:dyDescent="0.25">
      <c r="I684" s="1" t="s">
        <v>94</v>
      </c>
      <c r="J684" s="1">
        <v>3314.4899902299999</v>
      </c>
      <c r="K684" s="1">
        <v>4.0845961600000003</v>
      </c>
      <c r="L684" s="1">
        <v>3602.5</v>
      </c>
      <c r="M684" s="1">
        <v>2.77908087</v>
      </c>
      <c r="N684" s="1">
        <v>768.58569336000005</v>
      </c>
    </row>
    <row r="685" spans="9:14" ht="12.75" customHeight="1" x14ac:dyDescent="0.25">
      <c r="I685" s="1" t="s">
        <v>94</v>
      </c>
      <c r="J685" s="1">
        <v>4063.3100585900002</v>
      </c>
      <c r="K685" s="1">
        <v>3.91988373</v>
      </c>
      <c r="L685" s="1">
        <v>4678.9301757800004</v>
      </c>
      <c r="M685" s="1">
        <v>4.5854544600000002</v>
      </c>
      <c r="N685" s="2">
        <v>24653.248</v>
      </c>
    </row>
    <row r="686" spans="9:14" ht="12.75" customHeight="1" x14ac:dyDescent="0.25">
      <c r="I686" s="1" t="s">
        <v>94</v>
      </c>
      <c r="J686" s="1">
        <v>4975.33984375</v>
      </c>
      <c r="K686" s="1">
        <v>4.4857649799999999</v>
      </c>
      <c r="L686" s="1">
        <v>5532.1499023400002</v>
      </c>
      <c r="M686" s="1">
        <v>5.2714300200000004</v>
      </c>
      <c r="N686" s="2">
        <v>30124.398399999998</v>
      </c>
    </row>
    <row r="687" spans="9:14" ht="12.75" customHeight="1" x14ac:dyDescent="0.25">
      <c r="I687" s="1" t="s">
        <v>94</v>
      </c>
      <c r="J687" s="1">
        <v>5893.3598632800004</v>
      </c>
      <c r="K687" s="1">
        <v>5.4620428099999998</v>
      </c>
      <c r="L687" s="1">
        <v>6457.3798828099998</v>
      </c>
      <c r="M687" s="1">
        <v>3.4562845200000001</v>
      </c>
      <c r="N687" s="2">
        <v>29701.375</v>
      </c>
    </row>
    <row r="688" spans="9:14" ht="12.75" customHeight="1" x14ac:dyDescent="0.25">
      <c r="I688" s="1" t="s">
        <v>94</v>
      </c>
      <c r="J688" s="1">
        <v>7473.7998046900002</v>
      </c>
      <c r="K688" s="1">
        <v>2.65315199</v>
      </c>
      <c r="L688" s="1">
        <v>7987.4199218800004</v>
      </c>
      <c r="M688" s="1">
        <v>3.6475117199999998</v>
      </c>
      <c r="N688" s="2">
        <v>17284.421900000001</v>
      </c>
    </row>
    <row r="689" spans="9:14" ht="12.75" customHeight="1" x14ac:dyDescent="0.25">
      <c r="I689" s="1" t="s">
        <v>94</v>
      </c>
      <c r="J689" s="1">
        <v>8220.2197265600007</v>
      </c>
      <c r="K689" s="1">
        <v>3.0165200200000002</v>
      </c>
      <c r="L689" s="1">
        <v>8559.8300781199996</v>
      </c>
      <c r="M689" s="1">
        <v>3.7989084700000002</v>
      </c>
      <c r="N689" s="1">
        <v>739.93475341999999</v>
      </c>
    </row>
    <row r="690" spans="9:14" ht="12.75" customHeight="1" x14ac:dyDescent="0.25">
      <c r="I690" s="1" t="s">
        <v>94</v>
      </c>
      <c r="J690" s="1">
        <v>8947.4404296899993</v>
      </c>
      <c r="K690" s="1">
        <v>3.6218278399999999</v>
      </c>
      <c r="L690" s="1">
        <v>9240.25</v>
      </c>
      <c r="M690" s="1">
        <v>4.1708550500000001</v>
      </c>
      <c r="N690" s="1">
        <v>529.34661864999998</v>
      </c>
    </row>
    <row r="691" spans="9:14" ht="12.75" customHeight="1" x14ac:dyDescent="0.25">
      <c r="I691" s="1" t="s">
        <v>94</v>
      </c>
      <c r="J691" s="1">
        <v>9690.2597656199996</v>
      </c>
      <c r="K691" s="1">
        <v>4.2139677999999998</v>
      </c>
      <c r="L691" s="1">
        <v>9973.4697265600007</v>
      </c>
      <c r="M691" s="1">
        <v>4.0558066400000001</v>
      </c>
      <c r="N691" s="1">
        <v>332.22900391000002</v>
      </c>
    </row>
    <row r="692" spans="9:14" ht="12.75" customHeight="1" x14ac:dyDescent="0.25">
      <c r="I692" s="1" t="s">
        <v>94</v>
      </c>
      <c r="J692" s="2">
        <v>10433.0996</v>
      </c>
      <c r="K692" s="1">
        <v>4.1292610200000004</v>
      </c>
      <c r="L692" s="2">
        <v>10717.5</v>
      </c>
      <c r="M692" s="1">
        <v>3.0735073100000001</v>
      </c>
      <c r="N692" s="1">
        <v>531.27093506000006</v>
      </c>
    </row>
    <row r="693" spans="9:14" ht="12.75" customHeight="1" x14ac:dyDescent="0.25">
      <c r="I693" s="1" t="s">
        <v>94</v>
      </c>
      <c r="J693" s="2">
        <v>11165.0996</v>
      </c>
      <c r="K693" s="1">
        <v>3.5627226799999998</v>
      </c>
      <c r="L693" s="2">
        <v>11473.5</v>
      </c>
      <c r="M693" s="1">
        <v>3.5993239899999998</v>
      </c>
      <c r="N693" s="1">
        <v>1007.3853149399999</v>
      </c>
    </row>
    <row r="694" spans="9:14" ht="12.75" customHeight="1" x14ac:dyDescent="0.25">
      <c r="I694" s="1" t="s">
        <v>94</v>
      </c>
      <c r="J694" s="2">
        <v>11898.299800000001</v>
      </c>
      <c r="K694" s="1">
        <v>4.1962971700000002</v>
      </c>
      <c r="L694" s="2">
        <v>12175.5</v>
      </c>
      <c r="M694" s="1">
        <v>4.19687462</v>
      </c>
      <c r="N694" s="1">
        <v>1033.6899414100001</v>
      </c>
    </row>
    <row r="695" spans="9:14" ht="12.75" customHeight="1" x14ac:dyDescent="0.25">
      <c r="I695" s="1" t="s">
        <v>94</v>
      </c>
      <c r="J695" s="2">
        <v>12642.299800000001</v>
      </c>
      <c r="K695" s="1">
        <v>3.7929918800000002</v>
      </c>
      <c r="L695" s="2">
        <v>13135.5996</v>
      </c>
      <c r="M695" s="1">
        <v>3.8097789299999998</v>
      </c>
      <c r="N695" s="2">
        <v>25563.6914</v>
      </c>
    </row>
    <row r="696" spans="9:14" ht="12.75" customHeight="1" x14ac:dyDescent="0.25">
      <c r="I696" s="1" t="s">
        <v>94</v>
      </c>
      <c r="J696" s="2">
        <v>13561.5996</v>
      </c>
      <c r="K696" s="1">
        <v>4.46052933</v>
      </c>
      <c r="L696" s="2">
        <v>14071.5996</v>
      </c>
      <c r="M696" s="1">
        <v>3.9849762900000001</v>
      </c>
      <c r="N696" s="2">
        <v>15684.3467</v>
      </c>
    </row>
    <row r="697" spans="9:14" ht="12.75" customHeight="1" x14ac:dyDescent="0.25">
      <c r="I697" s="1" t="s">
        <v>94</v>
      </c>
      <c r="J697" s="2">
        <v>14478.4004</v>
      </c>
      <c r="K697" s="1">
        <v>4.2268843699999996</v>
      </c>
      <c r="L697" s="2">
        <v>15103.5996</v>
      </c>
      <c r="M697" s="1">
        <v>3.1235451699999999</v>
      </c>
      <c r="N697" s="2">
        <v>27427.039100000002</v>
      </c>
    </row>
    <row r="698" spans="9:14" ht="12.75" customHeight="1" x14ac:dyDescent="0.25">
      <c r="I698" s="1" t="s">
        <v>94</v>
      </c>
      <c r="J698" s="2">
        <v>15396.4004</v>
      </c>
      <c r="K698" s="1">
        <v>3.8108830500000002</v>
      </c>
      <c r="L698" s="2">
        <v>16021.5996</v>
      </c>
      <c r="M698" s="1">
        <v>3.2353735000000001</v>
      </c>
      <c r="N698" s="2">
        <v>21128.6973</v>
      </c>
    </row>
    <row r="699" spans="9:14" ht="12.75" customHeight="1" x14ac:dyDescent="0.25">
      <c r="I699" s="1" t="s">
        <v>94</v>
      </c>
      <c r="J699" s="2">
        <v>16313.200199999999</v>
      </c>
      <c r="K699" s="1">
        <v>3.40206075</v>
      </c>
      <c r="L699" s="2">
        <v>16914.5</v>
      </c>
      <c r="M699" s="1">
        <v>2.4229624300000001</v>
      </c>
      <c r="N699" s="2">
        <v>18375.890599999999</v>
      </c>
    </row>
    <row r="700" spans="9:14" ht="12.75" customHeight="1" x14ac:dyDescent="0.25">
      <c r="I700" s="1" t="s">
        <v>94</v>
      </c>
      <c r="J700" s="2">
        <v>17231.300800000001</v>
      </c>
      <c r="K700" s="1">
        <v>3.5786221</v>
      </c>
      <c r="L700" s="2">
        <v>17723.300800000001</v>
      </c>
      <c r="M700" s="1">
        <v>3.4785516300000001</v>
      </c>
      <c r="N700" s="2">
        <v>11515.761699999999</v>
      </c>
    </row>
    <row r="701" spans="9:14" ht="12.75" customHeight="1" x14ac:dyDescent="0.25">
      <c r="I701" s="1" t="s">
        <v>94</v>
      </c>
      <c r="J701" s="2">
        <v>18144.5</v>
      </c>
      <c r="K701" s="1">
        <v>3.3431115199999999</v>
      </c>
      <c r="L701" s="2">
        <v>19031.300800000001</v>
      </c>
      <c r="M701" s="1">
        <v>3.8896143400000001</v>
      </c>
      <c r="N701" s="1">
        <v>3769.9147949200001</v>
      </c>
    </row>
    <row r="702" spans="9:14" ht="12.75" customHeight="1" x14ac:dyDescent="0.25">
      <c r="I702" s="1" t="s">
        <v>94</v>
      </c>
      <c r="J702" s="2">
        <v>19643.300800000001</v>
      </c>
      <c r="K702" s="1">
        <v>2.8076095599999999</v>
      </c>
      <c r="L702" s="2">
        <v>20230.199199999999</v>
      </c>
      <c r="M702" s="1">
        <v>3.0915386699999998</v>
      </c>
      <c r="N702" s="2">
        <v>16071.830099999999</v>
      </c>
    </row>
    <row r="703" spans="9:14" ht="12.75" customHeight="1" x14ac:dyDescent="0.25">
      <c r="I703" s="1" t="s">
        <v>94</v>
      </c>
      <c r="J703" s="2">
        <v>20380.199199999999</v>
      </c>
      <c r="K703" s="1">
        <v>3.1877078999999999</v>
      </c>
      <c r="L703" s="2">
        <v>20937</v>
      </c>
      <c r="M703" s="1">
        <v>5.2984847999999998</v>
      </c>
      <c r="N703" s="2">
        <v>31283.847699999998</v>
      </c>
    </row>
    <row r="704" spans="9:14" ht="12.75" customHeight="1" x14ac:dyDescent="0.25">
      <c r="I704" s="1" t="s">
        <v>94</v>
      </c>
      <c r="J704" s="2">
        <v>21297</v>
      </c>
      <c r="K704" s="1">
        <v>5.2153940199999997</v>
      </c>
      <c r="L704" s="2">
        <v>21826.199199999999</v>
      </c>
      <c r="M704" s="1">
        <v>5.56945801</v>
      </c>
      <c r="N704" s="2">
        <v>36693.742200000001</v>
      </c>
    </row>
    <row r="705" spans="9:14" ht="12.75" customHeight="1" x14ac:dyDescent="0.25">
      <c r="I705" s="1" t="s">
        <v>94</v>
      </c>
      <c r="J705" s="2">
        <v>22216.199199999999</v>
      </c>
      <c r="K705" s="1">
        <v>5.7122240099999999</v>
      </c>
      <c r="L705" s="2">
        <v>22713</v>
      </c>
      <c r="M705" s="1">
        <v>6.2021269800000001</v>
      </c>
      <c r="N705" s="2">
        <v>28654.095700000002</v>
      </c>
    </row>
    <row r="706" spans="9:14" ht="12.75" customHeight="1" x14ac:dyDescent="0.25">
      <c r="I706" s="1" t="s">
        <v>94</v>
      </c>
      <c r="J706" s="2">
        <v>23129.400399999999</v>
      </c>
      <c r="K706" s="1">
        <v>4.0826706899999996</v>
      </c>
      <c r="L706" s="2">
        <v>23748.599600000001</v>
      </c>
      <c r="M706" s="1">
        <v>5.2895627000000003</v>
      </c>
      <c r="N706" s="2">
        <v>26240.703099999999</v>
      </c>
    </row>
    <row r="707" spans="9:14" ht="12.75" customHeight="1" x14ac:dyDescent="0.25">
      <c r="I707" s="1" t="s">
        <v>94</v>
      </c>
      <c r="J707" s="2">
        <v>24046.300800000001</v>
      </c>
      <c r="K707" s="1">
        <v>5.0510835600000004</v>
      </c>
      <c r="L707" s="2">
        <v>24534.699199999999</v>
      </c>
      <c r="M707" s="1">
        <v>6.2084636700000004</v>
      </c>
      <c r="N707" s="2">
        <v>20385.988300000001</v>
      </c>
    </row>
    <row r="708" spans="9:14" ht="12.75" customHeight="1" x14ac:dyDescent="0.25">
      <c r="I708" s="1" t="s">
        <v>94</v>
      </c>
      <c r="J708" s="2">
        <v>24963.099600000001</v>
      </c>
      <c r="K708" s="1">
        <v>5.4040489200000001</v>
      </c>
      <c r="L708" s="2">
        <v>25487.5</v>
      </c>
      <c r="M708" s="1">
        <v>5.2199120499999996</v>
      </c>
      <c r="N708" s="2">
        <v>19236.285199999998</v>
      </c>
    </row>
    <row r="709" spans="9:14" ht="12.75" customHeight="1" x14ac:dyDescent="0.25"/>
    <row r="710" spans="9:14" ht="12.75" customHeight="1" x14ac:dyDescent="0.25">
      <c r="I710" s="1" t="s">
        <v>17</v>
      </c>
    </row>
    <row r="711" spans="9:14" ht="12.75" customHeight="1" x14ac:dyDescent="0.25">
      <c r="I711" s="1" t="s">
        <v>0</v>
      </c>
      <c r="J711" s="1" t="s">
        <v>1</v>
      </c>
      <c r="K711" s="1" t="s">
        <v>2</v>
      </c>
      <c r="L711" s="1" t="s">
        <v>3</v>
      </c>
      <c r="M711" s="1" t="s">
        <v>4</v>
      </c>
      <c r="N711" s="1" t="s">
        <v>5</v>
      </c>
    </row>
    <row r="712" spans="9:14" ht="12.75" customHeight="1" x14ac:dyDescent="0.25">
      <c r="I712" s="1" t="s">
        <v>95</v>
      </c>
      <c r="J712" s="1">
        <v>1108.82995605</v>
      </c>
      <c r="K712" s="1">
        <v>0.75210052999999999</v>
      </c>
      <c r="L712" s="1">
        <v>1648.84997559</v>
      </c>
      <c r="M712" s="1">
        <v>1.4080263399999999</v>
      </c>
      <c r="N712" s="2">
        <v>225424.15599999999</v>
      </c>
    </row>
    <row r="713" spans="9:14" ht="12.75" customHeight="1" x14ac:dyDescent="0.25">
      <c r="I713" s="1" t="s">
        <v>95</v>
      </c>
      <c r="J713" s="1">
        <v>1850.4499511700001</v>
      </c>
      <c r="K713" s="1">
        <v>0.65771294000000002</v>
      </c>
      <c r="L713" s="1">
        <v>2175.6599121099998</v>
      </c>
      <c r="M713" s="1">
        <v>0.72083127000000002</v>
      </c>
      <c r="N713" s="1">
        <v>368.84460448999999</v>
      </c>
    </row>
    <row r="714" spans="9:14" ht="12.75" customHeight="1" x14ac:dyDescent="0.25">
      <c r="I714" s="1" t="s">
        <v>95</v>
      </c>
      <c r="J714" s="1">
        <v>2588.4699707</v>
      </c>
      <c r="K714" s="1">
        <v>1.3630410399999999</v>
      </c>
      <c r="L714" s="1">
        <v>2859.6799316400002</v>
      </c>
      <c r="M714" s="1">
        <v>0.63492393000000003</v>
      </c>
      <c r="N714" s="1">
        <v>44.616168979999998</v>
      </c>
    </row>
    <row r="715" spans="9:14" ht="12.75" customHeight="1" x14ac:dyDescent="0.25">
      <c r="I715" s="1" t="s">
        <v>95</v>
      </c>
      <c r="J715" s="1">
        <v>3322.8898925799999</v>
      </c>
      <c r="K715" s="1">
        <v>0.55069285999999995</v>
      </c>
      <c r="L715" s="1">
        <v>3594.1000976599998</v>
      </c>
      <c r="M715" s="1">
        <v>0.76413041000000004</v>
      </c>
      <c r="N715" s="1">
        <v>108.32288361000001</v>
      </c>
    </row>
    <row r="716" spans="9:14" ht="12.75" customHeight="1" x14ac:dyDescent="0.25">
      <c r="I716" s="1" t="s">
        <v>95</v>
      </c>
      <c r="J716" s="1">
        <v>4059.7099609400002</v>
      </c>
      <c r="K716" s="1">
        <v>1.03157294</v>
      </c>
      <c r="L716" s="1">
        <v>4352.5200195300004</v>
      </c>
      <c r="M716" s="1">
        <v>0.96873425999999996</v>
      </c>
      <c r="N716" s="1">
        <v>548.12591553000004</v>
      </c>
    </row>
    <row r="717" spans="9:14" ht="12.75" customHeight="1" x14ac:dyDescent="0.25">
      <c r="I717" s="1" t="s">
        <v>95</v>
      </c>
      <c r="J717" s="1">
        <v>4975.33984375</v>
      </c>
      <c r="K717" s="1">
        <v>0.72394389000000003</v>
      </c>
      <c r="L717" s="1">
        <v>5336.5498046900002</v>
      </c>
      <c r="M717" s="1">
        <v>1.08367491</v>
      </c>
      <c r="N717" s="1">
        <v>694.67883300999995</v>
      </c>
    </row>
    <row r="718" spans="9:14" ht="12.75" customHeight="1" x14ac:dyDescent="0.25">
      <c r="I718" s="1" t="s">
        <v>95</v>
      </c>
      <c r="J718" s="1">
        <v>5889.7597656199996</v>
      </c>
      <c r="K718" s="1">
        <v>0.93065107000000002</v>
      </c>
      <c r="L718" s="1">
        <v>6224.5698242199996</v>
      </c>
      <c r="M718" s="1">
        <v>0.64193445000000005</v>
      </c>
      <c r="N718" s="1">
        <v>713.28344727000001</v>
      </c>
    </row>
    <row r="719" spans="9:14" ht="12.75" customHeight="1" x14ac:dyDescent="0.25">
      <c r="I719" s="1" t="s">
        <v>95</v>
      </c>
      <c r="J719" s="1">
        <v>7467.7998046900002</v>
      </c>
      <c r="K719" s="1">
        <v>0.79696292000000002</v>
      </c>
      <c r="L719" s="1">
        <v>8046.2202148400002</v>
      </c>
      <c r="M719" s="1">
        <v>1.45601797</v>
      </c>
      <c r="N719" s="2">
        <v>267823.53100000002</v>
      </c>
    </row>
    <row r="720" spans="9:14" ht="12.75" customHeight="1" x14ac:dyDescent="0.25">
      <c r="I720" s="1" t="s">
        <v>95</v>
      </c>
      <c r="J720" s="1">
        <v>8213.01953125</v>
      </c>
      <c r="K720" s="1">
        <v>1.2419694699999999</v>
      </c>
      <c r="L720" s="1">
        <v>8523.8300781199996</v>
      </c>
      <c r="M720" s="1">
        <v>1.0958915899999999</v>
      </c>
      <c r="N720" s="1">
        <v>909.31494140999996</v>
      </c>
    </row>
    <row r="721" spans="9:14" ht="12.75" customHeight="1" x14ac:dyDescent="0.25">
      <c r="I721" s="1" t="s">
        <v>95</v>
      </c>
      <c r="J721" s="1">
        <v>8947.4404296899993</v>
      </c>
      <c r="K721" s="1">
        <v>0.87069713999999998</v>
      </c>
      <c r="L721" s="1">
        <v>9204.25</v>
      </c>
      <c r="M721" s="1">
        <v>1.24262381</v>
      </c>
      <c r="N721" s="1">
        <v>1138.3432617200001</v>
      </c>
    </row>
    <row r="722" spans="9:14" ht="12.75" customHeight="1" x14ac:dyDescent="0.25">
      <c r="I722" s="1" t="s">
        <v>95</v>
      </c>
      <c r="J722" s="1">
        <v>9689.0595703100007</v>
      </c>
      <c r="K722" s="1">
        <v>1.2372432900000001</v>
      </c>
      <c r="L722" s="1">
        <v>9975.8701171899993</v>
      </c>
      <c r="M722" s="1">
        <v>1.31040406</v>
      </c>
      <c r="N722" s="1">
        <v>972.14398193</v>
      </c>
    </row>
    <row r="723" spans="9:14" ht="12.75" customHeight="1" x14ac:dyDescent="0.25">
      <c r="I723" s="1" t="s">
        <v>95</v>
      </c>
      <c r="J723" s="2">
        <v>10428.299800000001</v>
      </c>
      <c r="K723" s="1">
        <v>0.58041339999999997</v>
      </c>
      <c r="L723" s="2">
        <v>10747.5</v>
      </c>
      <c r="M723" s="1">
        <v>0.79145211000000004</v>
      </c>
      <c r="N723" s="1">
        <v>1537.22814941</v>
      </c>
    </row>
    <row r="724" spans="9:14" ht="12.75" customHeight="1" x14ac:dyDescent="0.25">
      <c r="I724" s="1" t="s">
        <v>95</v>
      </c>
      <c r="J724" s="2">
        <v>11149.5</v>
      </c>
      <c r="K724" s="1">
        <v>0.87186319000000001</v>
      </c>
      <c r="L724" s="2">
        <v>11465.0996</v>
      </c>
      <c r="M724" s="1">
        <v>1.2394774</v>
      </c>
      <c r="N724" s="1">
        <v>4171.1044921900002</v>
      </c>
    </row>
    <row r="725" spans="9:14" ht="12.75" customHeight="1" x14ac:dyDescent="0.25">
      <c r="I725" s="1" t="s">
        <v>95</v>
      </c>
      <c r="J725" s="2">
        <v>11904.299800000001</v>
      </c>
      <c r="K725" s="1">
        <v>0.86954123000000005</v>
      </c>
      <c r="L725" s="2">
        <v>12324.299800000001</v>
      </c>
      <c r="M725" s="1">
        <v>1.1464903399999999</v>
      </c>
      <c r="N725" s="1">
        <v>8760.5332031199996</v>
      </c>
    </row>
    <row r="726" spans="9:14" ht="12.75" customHeight="1" x14ac:dyDescent="0.25">
      <c r="I726" s="1" t="s">
        <v>95</v>
      </c>
      <c r="J726" s="2">
        <v>12642.299800000001</v>
      </c>
      <c r="K726" s="1">
        <v>1.49458051</v>
      </c>
      <c r="L726" s="2">
        <v>13346.799800000001</v>
      </c>
      <c r="M726" s="1">
        <v>1.21486855</v>
      </c>
      <c r="N726" s="2">
        <v>124133.30499999999</v>
      </c>
    </row>
    <row r="727" spans="9:14" ht="12.75" customHeight="1" x14ac:dyDescent="0.25">
      <c r="I727" s="1" t="s">
        <v>95</v>
      </c>
      <c r="J727" s="2">
        <v>13558</v>
      </c>
      <c r="K727" s="1">
        <v>1.6506043699999999</v>
      </c>
      <c r="L727" s="2">
        <v>14198.799800000001</v>
      </c>
      <c r="M727" s="1">
        <v>1.6676512999999999</v>
      </c>
      <c r="N727" s="2">
        <v>60694.367200000001</v>
      </c>
    </row>
    <row r="728" spans="9:14" ht="12.75" customHeight="1" x14ac:dyDescent="0.25">
      <c r="I728" s="1" t="s">
        <v>95</v>
      </c>
      <c r="J728" s="2">
        <v>14473.5996</v>
      </c>
      <c r="K728" s="1">
        <v>1.5649204299999999</v>
      </c>
      <c r="L728" s="2">
        <v>15146.799800000001</v>
      </c>
      <c r="M728" s="1">
        <v>3.1816725699999999</v>
      </c>
      <c r="N728" s="2">
        <v>152306.68799999999</v>
      </c>
    </row>
    <row r="729" spans="9:14" ht="12.75" customHeight="1" x14ac:dyDescent="0.25">
      <c r="I729" s="1" t="s">
        <v>95</v>
      </c>
      <c r="J729" s="2">
        <v>15395.200199999999</v>
      </c>
      <c r="K729" s="1">
        <v>3.6742184199999999</v>
      </c>
      <c r="L729" s="2">
        <v>15995.200199999999</v>
      </c>
      <c r="M729" s="1">
        <v>0.93361722999999996</v>
      </c>
      <c r="N729" s="2">
        <v>67334.757800000007</v>
      </c>
    </row>
    <row r="730" spans="9:14" ht="12.75" customHeight="1" x14ac:dyDescent="0.25">
      <c r="I730" s="1" t="s">
        <v>95</v>
      </c>
      <c r="J730" s="2">
        <v>16313.200199999999</v>
      </c>
      <c r="K730" s="1">
        <v>1.51889205</v>
      </c>
      <c r="L730" s="2">
        <v>16853.300800000001</v>
      </c>
      <c r="M730" s="1">
        <v>1.2846108700000001</v>
      </c>
      <c r="N730" s="2">
        <v>67187.960900000005</v>
      </c>
    </row>
    <row r="731" spans="9:14" ht="12.75" customHeight="1" x14ac:dyDescent="0.25">
      <c r="I731" s="1" t="s">
        <v>95</v>
      </c>
      <c r="J731" s="2">
        <v>17227.699199999999</v>
      </c>
      <c r="K731" s="1">
        <v>0.84921508999999995</v>
      </c>
      <c r="L731" s="2">
        <v>17778.5</v>
      </c>
      <c r="M731" s="1">
        <v>1.4979834599999999</v>
      </c>
      <c r="N731" s="2">
        <v>49706.292999999998</v>
      </c>
    </row>
    <row r="732" spans="9:14" ht="12.75" customHeight="1" x14ac:dyDescent="0.25">
      <c r="I732" s="1" t="s">
        <v>95</v>
      </c>
      <c r="J732" s="2">
        <v>18149.300800000001</v>
      </c>
      <c r="K732" s="1">
        <v>0.78294580999999996</v>
      </c>
      <c r="L732" s="2">
        <v>19055.300800000001</v>
      </c>
      <c r="M732" s="1">
        <v>0.97398596999999998</v>
      </c>
      <c r="N732" s="1">
        <v>135.20623778999999</v>
      </c>
    </row>
    <row r="733" spans="9:14" ht="12.75" customHeight="1" x14ac:dyDescent="0.25">
      <c r="I733" s="1" t="s">
        <v>95</v>
      </c>
      <c r="J733" s="2">
        <v>19639.699199999999</v>
      </c>
      <c r="K733" s="1">
        <v>0.65872507999999996</v>
      </c>
      <c r="L733" s="2">
        <v>20181</v>
      </c>
      <c r="M733" s="1">
        <v>1.6207726</v>
      </c>
      <c r="N733" s="2">
        <v>236947.03099999999</v>
      </c>
    </row>
    <row r="734" spans="9:14" ht="12.75" customHeight="1" x14ac:dyDescent="0.25">
      <c r="I734" s="1" t="s">
        <v>95</v>
      </c>
      <c r="J734" s="2">
        <v>20376.599600000001</v>
      </c>
      <c r="K734" s="1">
        <v>1.2590926899999999</v>
      </c>
      <c r="L734" s="2">
        <v>21023.400399999999</v>
      </c>
      <c r="M734" s="1">
        <v>0.96519732000000003</v>
      </c>
      <c r="N734" s="2">
        <v>150849.59400000001</v>
      </c>
    </row>
    <row r="735" spans="9:14" ht="12.75" customHeight="1" x14ac:dyDescent="0.25">
      <c r="I735" s="1" t="s">
        <v>95</v>
      </c>
      <c r="J735" s="2">
        <v>21298.199199999999</v>
      </c>
      <c r="K735" s="1">
        <v>1.63909042</v>
      </c>
      <c r="L735" s="2">
        <v>21929.400399999999</v>
      </c>
      <c r="M735" s="1">
        <v>1.5982142699999999</v>
      </c>
      <c r="N735" s="2">
        <v>152969.96900000001</v>
      </c>
    </row>
    <row r="736" spans="9:14" ht="12.75" customHeight="1" x14ac:dyDescent="0.25">
      <c r="I736" s="1" t="s">
        <v>95</v>
      </c>
      <c r="J736" s="2">
        <v>22209</v>
      </c>
      <c r="K736" s="1">
        <v>1.1311187700000001</v>
      </c>
      <c r="L736" s="2">
        <v>22878.599600000001</v>
      </c>
      <c r="M736" s="1">
        <v>1.56223679</v>
      </c>
      <c r="N736" s="2">
        <v>153097.46900000001</v>
      </c>
    </row>
    <row r="737" spans="9:14" ht="12.75" customHeight="1" x14ac:dyDescent="0.25">
      <c r="I737" s="1" t="s">
        <v>95</v>
      </c>
      <c r="J737" s="2">
        <v>23131.800800000001</v>
      </c>
      <c r="K737" s="1">
        <v>1.0762849999999999</v>
      </c>
      <c r="L737" s="2">
        <v>23650.199199999999</v>
      </c>
      <c r="M737" s="1">
        <v>1.7773978699999999</v>
      </c>
      <c r="N737" s="2">
        <v>78314.523400000005</v>
      </c>
    </row>
    <row r="738" spans="9:14" ht="12.75" customHeight="1" x14ac:dyDescent="0.25">
      <c r="I738" s="1" t="s">
        <v>95</v>
      </c>
      <c r="J738" s="2">
        <v>24051.099600000001</v>
      </c>
      <c r="K738" s="1">
        <v>1.1170783</v>
      </c>
      <c r="L738" s="2">
        <v>24736.300800000001</v>
      </c>
      <c r="M738" s="1">
        <v>0.98009073999999996</v>
      </c>
      <c r="N738" s="2">
        <v>72886.375</v>
      </c>
    </row>
    <row r="739" spans="9:14" ht="12.75" customHeight="1" x14ac:dyDescent="0.25">
      <c r="I739" s="1" t="s">
        <v>95</v>
      </c>
      <c r="J739" s="2">
        <v>24959.5</v>
      </c>
      <c r="K739" s="1">
        <v>1.20901299</v>
      </c>
      <c r="L739" s="2">
        <v>25666.300800000001</v>
      </c>
      <c r="M739" s="1">
        <v>1.2546395100000001</v>
      </c>
      <c r="N739" s="2">
        <v>77602.765599999999</v>
      </c>
    </row>
    <row r="740" spans="9:14" ht="12.75" customHeight="1" x14ac:dyDescent="0.25"/>
    <row r="741" spans="9:14" ht="12.75" customHeight="1" x14ac:dyDescent="0.25"/>
    <row r="742" spans="9:14" ht="12.75" customHeight="1" x14ac:dyDescent="0.25"/>
    <row r="743" spans="9:14" ht="12.75" customHeight="1" x14ac:dyDescent="0.25"/>
    <row r="744" spans="9:14" ht="12.75" customHeight="1" x14ac:dyDescent="0.25"/>
    <row r="745" spans="9:14" ht="12.75" customHeight="1" x14ac:dyDescent="0.25"/>
    <row r="746" spans="9:14" ht="12.75" customHeight="1" x14ac:dyDescent="0.25"/>
    <row r="747" spans="9:14" ht="12.75" customHeight="1" x14ac:dyDescent="0.25"/>
    <row r="748" spans="9:14" ht="12.75" customHeight="1" x14ac:dyDescent="0.25"/>
    <row r="749" spans="9:14" ht="12.75" customHeight="1" x14ac:dyDescent="0.25"/>
    <row r="750" spans="9:14" ht="12.75" customHeight="1" x14ac:dyDescent="0.25"/>
    <row r="751" spans="9:14" ht="12.75" customHeight="1" x14ac:dyDescent="0.25"/>
    <row r="752" spans="9:14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2 5 o I W 8 p c N 5 q l A A A A + A A A A B I A H A B D b 2 5 m a W c v U G F j a 2 F n Z S 5 4 b W w g o h g A K K A U A A A A A A A A A A A A A A A A A A A A A A A A A A A A h Y 9 N D o I w G E S v Q r q n f 0 o 0 p p S F W 0 l M T I z b p l R o h A 9 D i + V u L j y S V x C j q D u X 8 + Y t Z u 7 X m 8 i G p o 4 u p n O 2 h R Q x T F F k Q L e F h T J F v T / G S 5 R J s V X 6 p E o T j T K 4 1 e C K F F X e n 1 e E h B B w m O G 2 K w m n l J F D v t n p y j Q K f W T 7 X 4 4 t O K 9 A G y T F / j V G c s z m C W a U L z A V Z K I i t / A 1 + D j 4 2 f 5 A s e 5 r 3 3 d G G o h Z M n Z T F u T 9 Q j 4 A U E s D B B Q A A g A I A N u a C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m g h b x l B P K 8 o B A A B 2 A w A A E w A c A E Z v c m 1 1 b G F z L 1 N l Y 3 R p b 2 4 x L m 0 g o h g A K K A U A A A A A A A A A A A A A A A A A A A A A A A A A A A A d Z J P a 9 t A E M X v B n + H Q b 1 I I A R p S 6 E N P r h y Q k R b K J b b H C w T x q u J p X r / i N 1 V I m P 0 3 b u y 5 D i p X V 2 E 3 h P z f m 8 Y Q 8 y W S k L a v 6 + u x 6 P x y B S o K Q d 8 I o 0 b M j A B T n Y 8 A v e k q t a M n H L T M O L R v d L b t V J b / 7 b k F M V K W p L W + F 7 8 J f t l S J v s U d Q a s 5 l i t e i c b K O V L O W G Z H b n U n 9 q 9 c c F w 1 S 7 d A Z T v k H K Z m g x Y 5 x Q Z r M k l v Q c N d w 0 X h C C r D k P w e q a g r D H O S I + p A W R d V g 9 3 3 6 Z W B I T 7 2 h 7 4 b d S 5 h P v 8 J e 3 a p d d x m q Y 8 c 5 z G E J Z 1 / i O M H f U n h u 0 w L V r N D i D 7 r + N C 2 E 5 + F P O U 4 Y c t Z l 0 d K v g Z X R c o G u b w 2 J X 0 W n s Q q M 0 j 0 q L W P F a y M 4 0 / g W O c L / 3 0 o p Y 2 V U A 6 3 4 D S 4 1 t Q 3 A 6 8 g g w x 8 o 6 K 5 H 2 0 8 e o m 3 P y q K m i c 2 t R C j p X 5 1 T x 6 C w i m R 0 l l L u D c v W e H S V Z i z X p X v 3 A 4 I L c l / v 8 N q 0 9 7 W Z O Q j 2 5 t l 8 5 y i 3 M 1 f O r x a f E 3 W F 0 m v / P E k M g Z A V I Z e F 7 a W y U m B t R 2 Z 1 / + O h H / k D L C n d l 3 R E Y f 0 5 M 6 T y 6 L Y n n v 5 H X b t U P Q c f n 9 R f V B s E 5 U 8 / + C q g 3 B t m / C B + e K r f B e F T K / w 2 9 / g t Q S w E C L Q A U A A I A C A D b m g h b y l w 3 m q U A A A D 4 A A A A E g A A A A A A A A A A A A A A A A A A A A A A Q 2 9 u Z m l n L 1 B h Y 2 t h Z 2 U u e G 1 s U E s B A i 0 A F A A C A A g A 2 5 o I W w / K 6 a u k A A A A 6 Q A A A B M A A A A A A A A A A A A A A A A A 8 Q A A A F t D b 2 5 0 Z W 5 0 X 1 R 5 c G V z X S 5 4 b W x Q S w E C L Q A U A A I A C A D b m g h b x l B P K 8 o B A A B 2 A w A A E w A A A A A A A A A A A A A A A A D i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C A A A A A A A A P 8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d m V y Y W d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O G Q 2 M 2 Z j L W Z i Y T A t N D Y 5 Z S 1 i N D k 3 L T Y 3 N G J m Z D k 2 N W Q 4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O F Q x N z o w N D o x M i 4 3 M D k z N D U 4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2 F 2 Z X J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X J h Z 2 V z L 2 F 2 Z X J h Z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V y Y W d l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l c m F n Z X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J J B y t + L r U a I a V z U U o K + / A A A A A A C A A A A A A A Q Z g A A A A E A A C A A A A D 7 0 C / g 7 Z 9 Z h r u v 3 o / F C r A Q E T p l b m H m i 1 u 2 J D X q z Q x 6 c w A A A A A O g A A A A A I A A C A A A A A i / 5 i g d h o K h J Z A H U 1 3 i V I U B v + L C n r 1 n j C 3 9 3 6 L 7 A + O N F A A A A A a G m T S V I / W G W 4 a + 6 x Q 2 G W 4 M F H K e 3 T R Q 0 1 3 Q 9 1 z Z L k q 0 5 F 4 8 d B N d g g q s q B 5 Y o P o N b M h C D 3 3 Q 0 6 3 k A l j 1 x D J H Q F R Z X x D X 7 X h Q I D m M g W E h K Z e i k A A A A A M e x d 7 H B m W 0 f j d / Z z e 7 F I u J O p 4 p 0 r a v o Z J D r V O G Z Y 0 D E Q Q D 7 r x 3 B v f L u e 1 S 7 m t 7 z x A i Y I T m a X 4 w Y f + j L w f t T H 6 < / D a t a M a s h u p > 
</file>

<file path=customXml/itemProps1.xml><?xml version="1.0" encoding="utf-8"?>
<ds:datastoreItem xmlns:ds="http://schemas.openxmlformats.org/officeDocument/2006/customXml" ds:itemID="{D7B867C2-8475-4AD3-9837-004DD1C8B5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Polarella</vt:lpstr>
      <vt:lpstr>Chryso</vt:lpstr>
      <vt:lpstr>DMSPraw (JS)</vt:lpstr>
      <vt:lpstr>dic</vt:lpstr>
      <vt:lpstr>Picarro</vt:lpstr>
      <vt:lpstr>Cell Count</vt:lpstr>
      <vt:lpstr>DMSPraw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Stefels</dc:creator>
  <cp:lastModifiedBy>Flora Murakeozy-Kis</cp:lastModifiedBy>
  <dcterms:created xsi:type="dcterms:W3CDTF">2025-03-17T14:29:26Z</dcterms:created>
  <dcterms:modified xsi:type="dcterms:W3CDTF">2025-09-07T23:25:37Z</dcterms:modified>
</cp:coreProperties>
</file>