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"/>
    </mc:Choice>
  </mc:AlternateContent>
  <xr:revisionPtr revIDLastSave="0" documentId="13_ncr:1_{F130D101-E7D6-45F6-BA08-5F457EE72E80}" xr6:coauthVersionLast="38" xr6:coauthVersionMax="40" xr10:uidLastSave="{00000000-0000-0000-0000-000000000000}"/>
  <bookViews>
    <workbookView xWindow="0" yWindow="0" windowWidth="23040" windowHeight="9000" activeTab="1" xr2:uid="{00000000-000D-0000-FFFF-FFFF00000000}"/>
  </bookViews>
  <sheets>
    <sheet name="Productos" sheetId="3" r:id="rId1"/>
    <sheet name="Clientes" sheetId="2" r:id="rId2"/>
    <sheet name="Oferta" sheetId="1" r:id="rId3"/>
    <sheet name="Pedido" sheetId="6" r:id="rId4"/>
    <sheet name="Albaran" sheetId="7" r:id="rId5"/>
    <sheet name="factura" sheetId="4" r:id="rId6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" i="1" l="1"/>
  <c r="K17" i="1"/>
  <c r="K10" i="1"/>
  <c r="I10" i="1"/>
  <c r="F11" i="1"/>
  <c r="F12" i="1"/>
  <c r="F13" i="1"/>
  <c r="F14" i="1"/>
  <c r="F15" i="1"/>
  <c r="F16" i="1"/>
  <c r="F17" i="1"/>
  <c r="G7" i="6" l="1"/>
  <c r="E7" i="6"/>
  <c r="G6" i="6"/>
  <c r="E6" i="6"/>
  <c r="G5" i="6"/>
  <c r="E5" i="6"/>
  <c r="H13" i="6"/>
  <c r="H14" i="6"/>
  <c r="H15" i="6"/>
  <c r="H16" i="6"/>
  <c r="H17" i="6"/>
  <c r="H18" i="6"/>
  <c r="H19" i="6"/>
  <c r="H20" i="6"/>
  <c r="H10" i="1"/>
  <c r="F10" i="1"/>
  <c r="F13" i="6"/>
  <c r="I21" i="6"/>
  <c r="F14" i="6"/>
  <c r="F15" i="6"/>
  <c r="F16" i="6"/>
  <c r="F17" i="6"/>
  <c r="F18" i="6"/>
  <c r="F19" i="6"/>
  <c r="F20" i="6"/>
  <c r="F21" i="6"/>
  <c r="F22" i="6"/>
  <c r="F23" i="6"/>
  <c r="F24" i="6"/>
  <c r="H13" i="4"/>
  <c r="H12" i="4"/>
  <c r="I12" i="4"/>
  <c r="J12" i="4"/>
  <c r="L12" i="4"/>
  <c r="I13" i="4"/>
  <c r="J13" i="4"/>
  <c r="L13" i="4"/>
  <c r="I14" i="4"/>
  <c r="J14" i="4"/>
  <c r="L14" i="4"/>
  <c r="I15" i="4"/>
  <c r="J15" i="4"/>
  <c r="L15" i="4"/>
  <c r="I16" i="4"/>
  <c r="J16" i="4"/>
  <c r="L16" i="4"/>
  <c r="I17" i="4"/>
  <c r="J17" i="4"/>
  <c r="L17" i="4"/>
  <c r="I18" i="4"/>
  <c r="J18" i="4"/>
  <c r="L18" i="4"/>
  <c r="I19" i="4"/>
  <c r="J19" i="4"/>
  <c r="L19" i="4"/>
  <c r="I20" i="4"/>
  <c r="J20" i="4"/>
  <c r="L20" i="4"/>
  <c r="I21" i="4"/>
  <c r="J21" i="4"/>
  <c r="L21" i="4"/>
  <c r="I22" i="4"/>
  <c r="J22" i="4"/>
  <c r="L22" i="4"/>
  <c r="I23" i="4"/>
  <c r="J23" i="4"/>
  <c r="L23" i="4"/>
  <c r="L25" i="4"/>
  <c r="L26" i="4"/>
  <c r="L27" i="4"/>
  <c r="H10" i="7"/>
  <c r="H9" i="7"/>
  <c r="H20" i="7"/>
  <c r="H19" i="7"/>
  <c r="H18" i="7"/>
  <c r="H17" i="7"/>
  <c r="H16" i="7"/>
  <c r="H15" i="7"/>
  <c r="H14" i="7"/>
  <c r="H13" i="7"/>
  <c r="H12" i="7"/>
  <c r="H11" i="7"/>
  <c r="J4" i="7"/>
  <c r="J6" i="7"/>
  <c r="J5" i="7"/>
  <c r="H6" i="7"/>
  <c r="H5" i="7"/>
  <c r="H4" i="7"/>
  <c r="J7" i="4"/>
  <c r="J8" i="4"/>
  <c r="H8" i="4"/>
  <c r="F5" i="7"/>
  <c r="G12" i="4"/>
  <c r="L7" i="4"/>
  <c r="J9" i="4"/>
  <c r="L9" i="4"/>
  <c r="L8" i="4"/>
  <c r="G19" i="4"/>
  <c r="G18" i="4"/>
  <c r="G17" i="4"/>
  <c r="G16" i="4"/>
  <c r="G15" i="4"/>
  <c r="G14" i="4"/>
  <c r="G13" i="4"/>
  <c r="G20" i="4"/>
  <c r="G21" i="4"/>
  <c r="G22" i="4"/>
  <c r="G23" i="4"/>
  <c r="H11" i="1"/>
  <c r="I11" i="1"/>
  <c r="K11" i="1"/>
  <c r="H12" i="1"/>
  <c r="I12" i="1"/>
  <c r="K12" i="1"/>
  <c r="H13" i="1"/>
  <c r="I13" i="1"/>
  <c r="K13" i="1"/>
  <c r="H14" i="1"/>
  <c r="I14" i="1"/>
  <c r="K14" i="1"/>
  <c r="H15" i="1"/>
  <c r="I15" i="1"/>
  <c r="K15" i="1"/>
  <c r="H16" i="1"/>
  <c r="I16" i="1"/>
  <c r="K16" i="1"/>
  <c r="H17" i="1"/>
  <c r="I17" i="1"/>
  <c r="K19" i="1" l="1"/>
  <c r="K20" i="1" s="1"/>
</calcChain>
</file>

<file path=xl/sharedStrings.xml><?xml version="1.0" encoding="utf-8"?>
<sst xmlns="http://schemas.openxmlformats.org/spreadsheetml/2006/main" count="204" uniqueCount="110">
  <si>
    <t>codigo</t>
  </si>
  <si>
    <t>Producto </t>
  </si>
  <si>
    <t>Precio/Unidad</t>
  </si>
  <si>
    <t>Stock</t>
  </si>
  <si>
    <t>PT0001</t>
  </si>
  <si>
    <t>ventilador techo</t>
  </si>
  <si>
    <t>PM0001</t>
  </si>
  <si>
    <t>ventilador de mesa</t>
  </si>
  <si>
    <t>PP0001</t>
  </si>
  <si>
    <t>ventilador pared</t>
  </si>
  <si>
    <t>PP0002</t>
  </si>
  <si>
    <t>ventilador piso</t>
  </si>
  <si>
    <t>IC0001</t>
  </si>
  <si>
    <t>ventilador industrial centrifugo</t>
  </si>
  <si>
    <t>IH0001</t>
  </si>
  <si>
    <t>ventilador industrial helicoidal</t>
  </si>
  <si>
    <t>IA0001</t>
  </si>
  <si>
    <t>ventilador industrial axial</t>
  </si>
  <si>
    <t>IT0001</t>
  </si>
  <si>
    <t>ventilador industrial techo </t>
  </si>
  <si>
    <t>Nombre</t>
  </si>
  <si>
    <t>CIF</t>
  </si>
  <si>
    <t>Provincia</t>
  </si>
  <si>
    <t>Localidad</t>
  </si>
  <si>
    <t>Cp</t>
  </si>
  <si>
    <t>Dirección</t>
  </si>
  <si>
    <t>Teléfono</t>
  </si>
  <si>
    <t>E-mail</t>
  </si>
  <si>
    <t>Propagua del levante 2007 S.L.</t>
  </si>
  <si>
    <t>B54182936</t>
  </si>
  <si>
    <t>Alicante</t>
  </si>
  <si>
    <t>Daya nueva</t>
  </si>
  <si>
    <t>03159</t>
  </si>
  <si>
    <t>PL La fabrica C/Rojales Nº1</t>
  </si>
  <si>
    <t xml:space="preserve">966 78 58 46 </t>
  </si>
  <si>
    <t>propagua@grupoelnilo.com</t>
  </si>
  <si>
    <t>Muebles el rebajon</t>
  </si>
  <si>
    <t>A19378542</t>
  </si>
  <si>
    <t>Elche</t>
  </si>
  <si>
    <t>03298</t>
  </si>
  <si>
    <t>Pol. Llano San José Ctra. Elche a Crevillente</t>
  </si>
  <si>
    <t>965 44 94 04</t>
  </si>
  <si>
    <t>rebajonelche@muebleselrebajon.com</t>
  </si>
  <si>
    <t>Cambayas</t>
  </si>
  <si>
    <t>C58293418</t>
  </si>
  <si>
    <t>Elche(Las Bayas)</t>
  </si>
  <si>
    <t>03292</t>
  </si>
  <si>
    <t>Baya Baja pol. 2 nº 40</t>
  </si>
  <si>
    <t>966 63 74 88</t>
  </si>
  <si>
    <t>sebastian@cambayas.com</t>
  </si>
  <si>
    <t>Mirlo fruits S.L.</t>
  </si>
  <si>
    <t>E95418293</t>
  </si>
  <si>
    <t>Elche(La Hoya)</t>
  </si>
  <si>
    <t>03294</t>
  </si>
  <si>
    <t>Pl 1 Nº 207, Partida Daimes</t>
  </si>
  <si>
    <t>966 39 83 95</t>
  </si>
  <si>
    <t>administracion@exquisitefruits.com </t>
  </si>
  <si>
    <t>Hortofrutícola 3 puentes S.L.</t>
  </si>
  <si>
    <t>G34255632</t>
  </si>
  <si>
    <t>Dolores</t>
  </si>
  <si>
    <t>03150</t>
  </si>
  <si>
    <t xml:space="preserve"> Ctra. Dolores – San Fulgencio Km. 1</t>
  </si>
  <si>
    <t>966 71 17 90</t>
  </si>
  <si>
    <t>josemanuelsoto@3puentes.es</t>
  </si>
  <si>
    <t>Embutidos y jamones huescar el ovalo S.L.</t>
  </si>
  <si>
    <t>B18350371</t>
  </si>
  <si>
    <t>Granada</t>
  </si>
  <si>
    <t>Huescar</t>
  </si>
  <si>
    <t>AVENIDA DE ANDALUCÍA, S/Nº.</t>
  </si>
  <si>
    <t>958 74 21 65</t>
  </si>
  <si>
    <t>Embutidosyjamones@elovalo.es</t>
  </si>
  <si>
    <t>OFERTA</t>
  </si>
  <si>
    <t>E82941935</t>
  </si>
  <si>
    <t>Codigo</t>
  </si>
  <si>
    <t>Nombe</t>
  </si>
  <si>
    <t>Cantidad</t>
  </si>
  <si>
    <t>precio unitario</t>
  </si>
  <si>
    <t>total bruto</t>
  </si>
  <si>
    <t>descuento(%)</t>
  </si>
  <si>
    <t>precio total</t>
  </si>
  <si>
    <t>Direcion</t>
  </si>
  <si>
    <t>Pl Ex parc C/Martín Soler Nº1</t>
  </si>
  <si>
    <t>Jubalcoy</t>
  </si>
  <si>
    <t>E-Mail</t>
  </si>
  <si>
    <t>ventas@melillense.com</t>
  </si>
  <si>
    <t>Telefono</t>
  </si>
  <si>
    <t>965 45 69 47</t>
  </si>
  <si>
    <t>IVA(%)</t>
  </si>
  <si>
    <t>IVA</t>
  </si>
  <si>
    <t>Comentarios:</t>
  </si>
  <si>
    <t>telefono</t>
  </si>
  <si>
    <t>e-mail</t>
  </si>
  <si>
    <t>PEDIDO</t>
  </si>
  <si>
    <t>Artículo</t>
  </si>
  <si>
    <t>Unidades pedidas</t>
  </si>
  <si>
    <t>ALBARAN</t>
  </si>
  <si>
    <t>NºPedido</t>
  </si>
  <si>
    <t>785h</t>
  </si>
  <si>
    <t>Fecha</t>
  </si>
  <si>
    <t>NºFactura</t>
  </si>
  <si>
    <t>856l</t>
  </si>
  <si>
    <t>Firma del emisor</t>
  </si>
  <si>
    <t>Firma del transportista</t>
  </si>
  <si>
    <t>Firma del receptor</t>
  </si>
  <si>
    <t>Observaciones:</t>
  </si>
  <si>
    <t>FACTURA</t>
  </si>
  <si>
    <t>TOTAL</t>
  </si>
  <si>
    <t>precio bruto</t>
  </si>
  <si>
    <t xml:space="preserve"> total</t>
  </si>
  <si>
    <t>NºAlbaran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</si>
</sst>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28"/>
      <color rgb="FFFF0000"/>
      <name val="Calibri"/>
      <family val="2"/>
      <scheme val="minor"/>
    </font>
    <font>
      <b/>
      <i/>
      <sz val="2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EA9D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vertical="center"/>
    </xf>
    <xf numFmtId="0" fontId="1" fillId="0" borderId="0" xfId="1" applyBorder="1"/>
    <xf numFmtId="0" fontId="4" fillId="0" borderId="0" xfId="0" applyFont="1" applyAlignment="1"/>
    <xf numFmtId="0" fontId="0" fillId="0" borderId="5" xfId="0" applyBorder="1"/>
    <xf numFmtId="0" fontId="0" fillId="0" borderId="7" xfId="0" applyBorder="1"/>
    <xf numFmtId="2" fontId="0" fillId="0" borderId="0" xfId="0" applyNumberFormat="1" applyBorder="1"/>
    <xf numFmtId="0" fontId="4" fillId="0" borderId="9" xfId="0" applyFont="1" applyBorder="1" applyAlignment="1"/>
    <xf numFmtId="0" fontId="0" fillId="0" borderId="10" xfId="0" applyBorder="1"/>
    <xf numFmtId="14" fontId="0" fillId="0" borderId="0" xfId="0" applyNumberFormat="1" applyBorder="1"/>
    <xf numFmtId="0" fontId="0" fillId="0" borderId="13" xfId="0" applyBorder="1"/>
    <xf numFmtId="0" fontId="0" fillId="0" borderId="0" xfId="0" applyBorder="1" applyAlignment="1">
      <alignment vertical="top"/>
    </xf>
    <xf numFmtId="0" fontId="0" fillId="0" borderId="0" xfId="0" applyFont="1" applyBorder="1" applyAlignment="1"/>
    <xf numFmtId="10" fontId="0" fillId="0" borderId="1" xfId="0" applyNumberFormat="1" applyBorder="1"/>
    <xf numFmtId="0" fontId="1" fillId="0" borderId="7" xfId="1" applyBorder="1"/>
    <xf numFmtId="0" fontId="0" fillId="0" borderId="14" xfId="0" applyBorder="1"/>
    <xf numFmtId="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3" fillId="0" borderId="0" xfId="0" applyFont="1" applyAlignment="1">
      <alignment vertic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6" xfId="0" applyNumberFormat="1" applyBorder="1"/>
    <xf numFmtId="164" fontId="0" fillId="0" borderId="8" xfId="0" applyNumberFormat="1" applyBorder="1"/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3" xfId="1" applyBorder="1"/>
    <xf numFmtId="0" fontId="0" fillId="4" borderId="6" xfId="0" applyFill="1" applyBorder="1"/>
    <xf numFmtId="0" fontId="0" fillId="4" borderId="3" xfId="0" applyFill="1" applyBorder="1"/>
    <xf numFmtId="0" fontId="0" fillId="4" borderId="3" xfId="0" quotePrefix="1" applyFill="1" applyBorder="1" applyAlignment="1">
      <alignment horizontal="center" wrapText="1"/>
    </xf>
    <xf numFmtId="0" fontId="0" fillId="4" borderId="6" xfId="0" quotePrefix="1" applyFill="1" applyBorder="1" applyAlignment="1">
      <alignment horizontal="center"/>
    </xf>
    <xf numFmtId="0" fontId="1" fillId="4" borderId="13" xfId="1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0" borderId="13" xfId="0" applyNumberFormat="1" applyBorder="1"/>
    <xf numFmtId="2" fontId="0" fillId="0" borderId="14" xfId="0" applyNumberFormat="1" applyBorder="1"/>
    <xf numFmtId="0" fontId="0" fillId="5" borderId="3" xfId="0" applyFill="1" applyBorder="1"/>
    <xf numFmtId="0" fontId="0" fillId="5" borderId="6" xfId="0" applyFill="1" applyBorder="1"/>
    <xf numFmtId="0" fontId="0" fillId="5" borderId="8" xfId="0" applyFill="1" applyBorder="1"/>
    <xf numFmtId="0" fontId="9" fillId="6" borderId="3" xfId="0" applyFont="1" applyFill="1" applyBorder="1"/>
    <xf numFmtId="0" fontId="9" fillId="6" borderId="3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0" borderId="2" xfId="0" applyBorder="1" applyAlignment="1">
      <alignment vertical="top"/>
    </xf>
    <xf numFmtId="0" fontId="0" fillId="9" borderId="2" xfId="0" applyFill="1" applyBorder="1" applyAlignment="1">
      <alignment vertical="top"/>
    </xf>
    <xf numFmtId="0" fontId="9" fillId="11" borderId="3" xfId="0" applyFont="1" applyFill="1" applyBorder="1"/>
    <xf numFmtId="0" fontId="9" fillId="11" borderId="6" xfId="0" applyFont="1" applyFill="1" applyBorder="1"/>
    <xf numFmtId="0" fontId="9" fillId="11" borderId="8" xfId="0" applyFont="1" applyFill="1" applyBorder="1"/>
    <xf numFmtId="0" fontId="9" fillId="10" borderId="2" xfId="0" applyFont="1" applyFill="1" applyBorder="1"/>
    <xf numFmtId="0" fontId="9" fillId="12" borderId="2" xfId="0" applyFont="1" applyFill="1" applyBorder="1"/>
    <xf numFmtId="0" fontId="9" fillId="10" borderId="4" xfId="0" applyFont="1" applyFill="1" applyBorder="1"/>
    <xf numFmtId="0" fontId="0" fillId="5" borderId="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13" borderId="2" xfId="0" applyFill="1" applyBorder="1"/>
    <xf numFmtId="0" fontId="0" fillId="13" borderId="13" xfId="0" applyFont="1" applyFill="1" applyBorder="1" applyAlignment="1"/>
    <xf numFmtId="0" fontId="0" fillId="13" borderId="14" xfId="0" applyFont="1" applyFill="1" applyBorder="1" applyAlignment="1"/>
    <xf numFmtId="0" fontId="0" fillId="13" borderId="13" xfId="0" applyFill="1" applyBorder="1"/>
    <xf numFmtId="2" fontId="0" fillId="0" borderId="13" xfId="0" applyNumberFormat="1" applyBorder="1"/>
    <xf numFmtId="0" fontId="0" fillId="15" borderId="2" xfId="0" applyFill="1" applyBorder="1"/>
    <xf numFmtId="0" fontId="0" fillId="15" borderId="13" xfId="0" applyFont="1" applyFill="1" applyBorder="1" applyAlignment="1"/>
    <xf numFmtId="0" fontId="0" fillId="15" borderId="14" xfId="0" applyFont="1" applyFill="1" applyBorder="1" applyAlignment="1"/>
    <xf numFmtId="0" fontId="0" fillId="15" borderId="13" xfId="0" applyFill="1" applyBorder="1"/>
    <xf numFmtId="0" fontId="9" fillId="14" borderId="11" xfId="0" applyFont="1" applyFill="1" applyBorder="1"/>
    <xf numFmtId="0" fontId="9" fillId="14" borderId="1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12" xfId="0" applyFont="1" applyFill="1" applyBorder="1" applyAlignment="1">
      <alignment horizontal="center"/>
    </xf>
    <xf numFmtId="0" fontId="9" fillId="3" borderId="11" xfId="0" applyFont="1" applyFill="1" applyBorder="1"/>
    <xf numFmtId="0" fontId="6" fillId="16" borderId="1" xfId="0" applyFont="1" applyFill="1" applyBorder="1" applyAlignment="1">
      <alignment horizontal="center"/>
    </xf>
    <xf numFmtId="0" fontId="0" fillId="7" borderId="2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8" xfId="0" applyFill="1" applyBorder="1"/>
    <xf numFmtId="0" fontId="1" fillId="4" borderId="14" xfId="1" applyFill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3" fillId="8" borderId="1" xfId="0" applyFont="1" applyFill="1" applyBorder="1"/>
    <xf numFmtId="0" fontId="0" fillId="13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9" fillId="12" borderId="2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44" fontId="0" fillId="0" borderId="7" xfId="3" applyFont="1" applyBorder="1"/>
    <xf numFmtId="44" fontId="0" fillId="0" borderId="3" xfId="3" applyFont="1" applyBorder="1"/>
    <xf numFmtId="44" fontId="0" fillId="0" borderId="6" xfId="3" applyFont="1" applyBorder="1"/>
    <xf numFmtId="44" fontId="0" fillId="0" borderId="8" xfId="3" applyFont="1" applyBorder="1"/>
    <xf numFmtId="44" fontId="0" fillId="0" borderId="10" xfId="3" applyFont="1" applyBorder="1"/>
    <xf numFmtId="44" fontId="0" fillId="0" borderId="2" xfId="3" applyFont="1" applyBorder="1"/>
    <xf numFmtId="44" fontId="0" fillId="0" borderId="1" xfId="3" applyFont="1" applyBorder="1"/>
    <xf numFmtId="44" fontId="13" fillId="0" borderId="12" xfId="3" applyFont="1" applyBorder="1"/>
    <xf numFmtId="44" fontId="0" fillId="0" borderId="12" xfId="3" applyFont="1" applyBorder="1"/>
    <xf numFmtId="44" fontId="6" fillId="4" borderId="12" xfId="3" applyFont="1" applyFill="1" applyBorder="1" applyAlignment="1">
      <alignment vertical="center"/>
    </xf>
    <xf numFmtId="0" fontId="1" fillId="4" borderId="2" xfId="2" applyFill="1" applyBorder="1"/>
  </cellXfs>
  <cellStyles count="4">
    <cellStyle name="Hipervínculo" xfId="2" builtinId="8"/>
    <cellStyle name="Hyperlink" xfId="1" xr:uid="{00000000-000B-0000-0000-000008000000}"/>
    <cellStyle name="Moneda" xfId="3" builtinId="4"/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85725</xdr:rowOff>
    </xdr:from>
    <xdr:to>
      <xdr:col>2</xdr:col>
      <xdr:colOff>523875</xdr:colOff>
      <xdr:row>7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DA5BF0-60F5-4803-8E9C-539B77089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85725"/>
          <a:ext cx="1019175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4</xdr:row>
      <xdr:rowOff>158115</xdr:rowOff>
    </xdr:from>
    <xdr:to>
      <xdr:col>2</xdr:col>
      <xdr:colOff>990600</xdr:colOff>
      <xdr:row>11</xdr:row>
      <xdr:rowOff>177165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49D29E-0D63-40E7-9B4E-8AE0C07C1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889635"/>
          <a:ext cx="1066800" cy="1383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0</xdr:row>
      <xdr:rowOff>171450</xdr:rowOff>
    </xdr:from>
    <xdr:to>
      <xdr:col>3</xdr:col>
      <xdr:colOff>504825</xdr:colOff>
      <xdr:row>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45F36A-0F80-44B3-B51A-BA121A5F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171450"/>
          <a:ext cx="7620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993548</xdr:colOff>
      <xdr:row>22</xdr:row>
      <xdr:rowOff>106927</xdr:rowOff>
    </xdr:from>
    <xdr:to>
      <xdr:col>4</xdr:col>
      <xdr:colOff>1675327</xdr:colOff>
      <xdr:row>27</xdr:row>
      <xdr:rowOff>83386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06320C-75D6-4A52-8E7F-5369E163BCC6}"/>
            </a:ext>
            <a:ext uri="{147F2762-F138-4A5C-976F-8EAC2B608ADB}">
              <a16:predDERef xmlns:a16="http://schemas.microsoft.com/office/drawing/2014/main" pred="{9945F36A-0F80-44B3-B51A-BA121A5F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505083">
          <a:off x="3431948" y="4122667"/>
          <a:ext cx="681779" cy="8908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9</xdr:row>
      <xdr:rowOff>152400</xdr:rowOff>
    </xdr:from>
    <xdr:to>
      <xdr:col>1</xdr:col>
      <xdr:colOff>523875</xdr:colOff>
      <xdr:row>16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59165E-C766-402A-99C0-AEFAE4857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2400" y="2828925"/>
          <a:ext cx="981075" cy="1323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bajonelche@muebleselrebajon.com" TargetMode="External"/><Relationship Id="rId2" Type="http://schemas.openxmlformats.org/officeDocument/2006/relationships/hyperlink" Target="mailto:josemanuelsoto@3puentes.es" TargetMode="External"/><Relationship Id="rId1" Type="http://schemas.openxmlformats.org/officeDocument/2006/relationships/hyperlink" Target="mailto:propagua@grupoelnilo.com" TargetMode="External"/><Relationship Id="rId6" Type="http://schemas.openxmlformats.org/officeDocument/2006/relationships/hyperlink" Target="mailto:Embutidosyjamones@elovalo.es" TargetMode="External"/><Relationship Id="rId5" Type="http://schemas.openxmlformats.org/officeDocument/2006/relationships/hyperlink" Target="mailto:sebastian@cambayas.com" TargetMode="External"/><Relationship Id="rId4" Type="http://schemas.openxmlformats.org/officeDocument/2006/relationships/hyperlink" Target="mailto:administracion@exquisitefruits.com&#160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tas@melillens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ventas@melillense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ventas@melillense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ventas@melillen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C5DB-EF3A-4E19-A259-529313F3629C}">
  <dimension ref="B1:E10"/>
  <sheetViews>
    <sheetView workbookViewId="0">
      <selection activeCell="C10" sqref="C10"/>
    </sheetView>
  </sheetViews>
  <sheetFormatPr baseColWidth="10" defaultColWidth="8.88671875" defaultRowHeight="14.4" x14ac:dyDescent="0.3"/>
  <cols>
    <col min="3" max="3" width="28" customWidth="1"/>
    <col min="4" max="4" width="13.44140625" customWidth="1"/>
  </cols>
  <sheetData>
    <row r="1" spans="2:5" x14ac:dyDescent="0.3">
      <c r="B1" s="1"/>
      <c r="C1" s="1"/>
      <c r="D1" s="1"/>
    </row>
    <row r="2" spans="2:5" x14ac:dyDescent="0.3">
      <c r="B2" s="40" t="s">
        <v>0</v>
      </c>
      <c r="C2" s="40" t="s">
        <v>1</v>
      </c>
      <c r="D2" s="40" t="s">
        <v>2</v>
      </c>
      <c r="E2" s="41" t="s">
        <v>3</v>
      </c>
    </row>
    <row r="3" spans="2:5" x14ac:dyDescent="0.3">
      <c r="B3" s="8" t="s">
        <v>4</v>
      </c>
      <c r="C3" s="36" t="s">
        <v>5</v>
      </c>
      <c r="D3" s="38">
        <v>50</v>
      </c>
      <c r="E3" s="23">
        <v>75</v>
      </c>
    </row>
    <row r="4" spans="2:5" x14ac:dyDescent="0.3">
      <c r="B4" s="8" t="s">
        <v>6</v>
      </c>
      <c r="C4" s="36" t="s">
        <v>7</v>
      </c>
      <c r="D4" s="38">
        <v>10</v>
      </c>
      <c r="E4" s="23">
        <v>100</v>
      </c>
    </row>
    <row r="5" spans="2:5" x14ac:dyDescent="0.3">
      <c r="B5" s="8" t="s">
        <v>8</v>
      </c>
      <c r="C5" s="36" t="s">
        <v>9</v>
      </c>
      <c r="D5" s="38">
        <v>15</v>
      </c>
      <c r="E5" s="23">
        <v>50</v>
      </c>
    </row>
    <row r="6" spans="2:5" x14ac:dyDescent="0.3">
      <c r="B6" s="8" t="s">
        <v>10</v>
      </c>
      <c r="C6" s="36" t="s">
        <v>11</v>
      </c>
      <c r="D6" s="38">
        <v>20</v>
      </c>
      <c r="E6" s="23">
        <v>50</v>
      </c>
    </row>
    <row r="7" spans="2:5" x14ac:dyDescent="0.3">
      <c r="B7" s="8" t="s">
        <v>12</v>
      </c>
      <c r="C7" s="36" t="s">
        <v>13</v>
      </c>
      <c r="D7" s="38">
        <v>160</v>
      </c>
      <c r="E7" s="23">
        <v>5</v>
      </c>
    </row>
    <row r="8" spans="2:5" x14ac:dyDescent="0.3">
      <c r="B8" s="8" t="s">
        <v>14</v>
      </c>
      <c r="C8" s="36" t="s">
        <v>15</v>
      </c>
      <c r="D8" s="38">
        <v>100</v>
      </c>
      <c r="E8" s="23">
        <v>20</v>
      </c>
    </row>
    <row r="9" spans="2:5" x14ac:dyDescent="0.3">
      <c r="B9" s="8" t="s">
        <v>16</v>
      </c>
      <c r="C9" s="36" t="s">
        <v>17</v>
      </c>
      <c r="D9" s="38">
        <v>190</v>
      </c>
      <c r="E9" s="23">
        <v>25</v>
      </c>
    </row>
    <row r="10" spans="2:5" x14ac:dyDescent="0.3">
      <c r="B10" s="12" t="s">
        <v>18</v>
      </c>
      <c r="C10" s="37" t="s">
        <v>19</v>
      </c>
      <c r="D10" s="39">
        <v>350</v>
      </c>
      <c r="E10" s="2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7CCC-B7E2-4B47-89A0-614DF976FFF9}">
  <dimension ref="B3:I9"/>
  <sheetViews>
    <sheetView tabSelected="1" workbookViewId="0">
      <selection activeCell="I16" sqref="I16"/>
    </sheetView>
  </sheetViews>
  <sheetFormatPr baseColWidth="10" defaultColWidth="8.88671875" defaultRowHeight="14.4" x14ac:dyDescent="0.3"/>
  <cols>
    <col min="2" max="2" width="39.109375" bestFit="1" customWidth="1"/>
    <col min="3" max="3" width="10.44140625" bestFit="1" customWidth="1"/>
    <col min="4" max="4" width="9.33203125" bestFit="1" customWidth="1"/>
    <col min="5" max="5" width="15.6640625" customWidth="1"/>
    <col min="7" max="7" width="40" bestFit="1" customWidth="1"/>
    <col min="8" max="8" width="11.44140625" bestFit="1" customWidth="1"/>
    <col min="9" max="9" width="36.109375" bestFit="1" customWidth="1"/>
  </cols>
  <sheetData>
    <row r="3" spans="2:9" x14ac:dyDescent="0.3">
      <c r="B3" s="50" t="s">
        <v>20</v>
      </c>
      <c r="C3" s="51" t="s">
        <v>21</v>
      </c>
      <c r="D3" s="52" t="s">
        <v>22</v>
      </c>
      <c r="E3" s="52" t="s">
        <v>23</v>
      </c>
      <c r="F3" s="52" t="s">
        <v>24</v>
      </c>
      <c r="G3" s="52" t="s">
        <v>25</v>
      </c>
      <c r="H3" s="52" t="s">
        <v>26</v>
      </c>
      <c r="I3" s="52" t="s">
        <v>27</v>
      </c>
    </row>
    <row r="4" spans="2:9" x14ac:dyDescent="0.3">
      <c r="B4" s="43" t="s">
        <v>28</v>
      </c>
      <c r="C4" s="44" t="s">
        <v>29</v>
      </c>
      <c r="D4" s="44" t="s">
        <v>30</v>
      </c>
      <c r="E4" s="44" t="s">
        <v>31</v>
      </c>
      <c r="F4" s="45" t="s">
        <v>32</v>
      </c>
      <c r="G4" s="44" t="s">
        <v>33</v>
      </c>
      <c r="H4" s="44" t="s">
        <v>34</v>
      </c>
      <c r="I4" s="144" t="s">
        <v>35</v>
      </c>
    </row>
    <row r="5" spans="2:9" x14ac:dyDescent="0.3">
      <c r="B5" s="43" t="s">
        <v>36</v>
      </c>
      <c r="C5" s="43" t="s">
        <v>37</v>
      </c>
      <c r="D5" s="43" t="s">
        <v>30</v>
      </c>
      <c r="E5" s="43" t="s">
        <v>38</v>
      </c>
      <c r="F5" s="46" t="s">
        <v>39</v>
      </c>
      <c r="G5" s="43" t="s">
        <v>40</v>
      </c>
      <c r="H5" s="43" t="s">
        <v>41</v>
      </c>
      <c r="I5" s="47" t="s">
        <v>42</v>
      </c>
    </row>
    <row r="6" spans="2:9" x14ac:dyDescent="0.3">
      <c r="B6" s="43" t="s">
        <v>43</v>
      </c>
      <c r="C6" s="43" t="s">
        <v>44</v>
      </c>
      <c r="D6" s="43" t="s">
        <v>30</v>
      </c>
      <c r="E6" s="43" t="s">
        <v>45</v>
      </c>
      <c r="F6" s="46" t="s">
        <v>46</v>
      </c>
      <c r="G6" s="43" t="s">
        <v>47</v>
      </c>
      <c r="H6" s="43" t="s">
        <v>48</v>
      </c>
      <c r="I6" s="47" t="s">
        <v>49</v>
      </c>
    </row>
    <row r="7" spans="2:9" x14ac:dyDescent="0.3">
      <c r="B7" s="43" t="s">
        <v>50</v>
      </c>
      <c r="C7" s="43" t="s">
        <v>51</v>
      </c>
      <c r="D7" s="43" t="s">
        <v>30</v>
      </c>
      <c r="E7" s="43" t="s">
        <v>52</v>
      </c>
      <c r="F7" s="46" t="s">
        <v>53</v>
      </c>
      <c r="G7" s="43" t="s">
        <v>54</v>
      </c>
      <c r="H7" s="43" t="s">
        <v>55</v>
      </c>
      <c r="I7" s="47" t="s">
        <v>56</v>
      </c>
    </row>
    <row r="8" spans="2:9" x14ac:dyDescent="0.3">
      <c r="B8" s="43" t="s">
        <v>57</v>
      </c>
      <c r="C8" s="43" t="s">
        <v>58</v>
      </c>
      <c r="D8" s="43" t="s">
        <v>30</v>
      </c>
      <c r="E8" s="43" t="s">
        <v>59</v>
      </c>
      <c r="F8" s="46" t="s">
        <v>60</v>
      </c>
      <c r="G8" s="43" t="s">
        <v>61</v>
      </c>
      <c r="H8" s="43" t="s">
        <v>62</v>
      </c>
      <c r="I8" s="47" t="s">
        <v>63</v>
      </c>
    </row>
    <row r="9" spans="2:9" x14ac:dyDescent="0.3">
      <c r="B9" s="48" t="s">
        <v>64</v>
      </c>
      <c r="C9" s="48" t="s">
        <v>65</v>
      </c>
      <c r="D9" s="48" t="s">
        <v>66</v>
      </c>
      <c r="E9" s="48" t="s">
        <v>67</v>
      </c>
      <c r="F9" s="49">
        <v>18830</v>
      </c>
      <c r="G9" s="48" t="s">
        <v>68</v>
      </c>
      <c r="H9" s="48" t="s">
        <v>69</v>
      </c>
      <c r="I9" s="94" t="s">
        <v>70</v>
      </c>
    </row>
  </sheetData>
  <hyperlinks>
    <hyperlink ref="I4" r:id="rId1" xr:uid="{1F46FD8A-14B5-41C6-9A5F-C9BDFE714F94}"/>
    <hyperlink ref="I8" r:id="rId2" xr:uid="{809FCEEB-FE0F-4E0B-BCA5-FF6DF861D664}"/>
    <hyperlink ref="I5" r:id="rId3" xr:uid="{33B75CC7-3739-44AA-83B5-974F233E389F}"/>
    <hyperlink ref="I7" r:id="rId4" xr:uid="{C2AA2CF5-5E68-419E-823D-3FAD9F0FA104}"/>
    <hyperlink ref="I6" r:id="rId5" xr:uid="{7CA8B2D4-E407-42AC-87E6-68DF289D3060}"/>
    <hyperlink ref="I9" r:id="rId6" xr:uid="{20229743-4772-4778-A0B1-AD8B907731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workbookViewId="0">
      <selection activeCell="G5" sqref="G5"/>
    </sheetView>
  </sheetViews>
  <sheetFormatPr baseColWidth="10" defaultColWidth="8.88671875" defaultRowHeight="14.4" x14ac:dyDescent="0.3"/>
  <cols>
    <col min="3" max="3" width="26.5546875" customWidth="1"/>
    <col min="5" max="5" width="13.5546875" customWidth="1"/>
    <col min="6" max="6" width="28.88671875" bestFit="1" customWidth="1"/>
    <col min="8" max="8" width="14.33203125" bestFit="1" customWidth="1"/>
    <col min="9" max="9" width="11.33203125" bestFit="1" customWidth="1"/>
    <col min="10" max="10" width="13.5546875" bestFit="1" customWidth="1"/>
    <col min="11" max="11" width="13.77734375" bestFit="1" customWidth="1"/>
  </cols>
  <sheetData>
    <row r="2" spans="2:11" ht="15" customHeight="1" x14ac:dyDescent="0.7">
      <c r="D2" s="4"/>
      <c r="E2" s="4"/>
      <c r="F2" s="4"/>
      <c r="G2" s="4"/>
      <c r="H2" s="4"/>
    </row>
    <row r="3" spans="2:11" ht="15" customHeight="1" x14ac:dyDescent="0.3">
      <c r="F3" s="95"/>
      <c r="G3" s="95"/>
      <c r="H3" s="95"/>
      <c r="I3" s="95"/>
      <c r="J3" s="95"/>
      <c r="K3" s="95"/>
    </row>
    <row r="4" spans="2:11" x14ac:dyDescent="0.3">
      <c r="E4" s="96" t="s">
        <v>71</v>
      </c>
      <c r="F4" s="96"/>
    </row>
    <row r="5" spans="2:11" x14ac:dyDescent="0.3">
      <c r="E5" s="96"/>
      <c r="F5" s="96"/>
    </row>
    <row r="9" spans="2:11" x14ac:dyDescent="0.3">
      <c r="B9" s="55" t="s">
        <v>21</v>
      </c>
      <c r="C9" s="5" t="s">
        <v>72</v>
      </c>
      <c r="E9" s="58" t="s">
        <v>73</v>
      </c>
      <c r="F9" s="58" t="s">
        <v>74</v>
      </c>
      <c r="G9" s="58" t="s">
        <v>75</v>
      </c>
      <c r="H9" s="59" t="s">
        <v>76</v>
      </c>
      <c r="I9" s="59" t="s">
        <v>107</v>
      </c>
      <c r="J9" s="60" t="s">
        <v>78</v>
      </c>
      <c r="K9" s="61" t="s">
        <v>79</v>
      </c>
    </row>
    <row r="10" spans="2:11" x14ac:dyDescent="0.3">
      <c r="B10" s="56" t="s">
        <v>80</v>
      </c>
      <c r="C10" s="23" t="s">
        <v>81</v>
      </c>
      <c r="E10" s="6" t="s">
        <v>14</v>
      </c>
      <c r="F10" s="5" t="str">
        <f>IFERROR(VLOOKUP($E10,Productos!$B$3:$D$10,2,FALSE)," ")</f>
        <v>ventilador industrial helicoidal</v>
      </c>
      <c r="G10" s="7">
        <v>10</v>
      </c>
      <c r="H10" s="135">
        <f>IFERROR(VLOOKUP(E10,Productos!$B$3:$D$10,3,FALSE)," ")</f>
        <v>100</v>
      </c>
      <c r="I10" s="135">
        <f>IFERROR(G10*H10," ")</f>
        <v>1000</v>
      </c>
      <c r="J10" s="32">
        <v>20</v>
      </c>
      <c r="K10" s="134">
        <f>IFERROR(I10-((J10/100)*I10)," ")</f>
        <v>800</v>
      </c>
    </row>
    <row r="11" spans="2:11" x14ac:dyDescent="0.3">
      <c r="B11" s="56" t="s">
        <v>22</v>
      </c>
      <c r="C11" s="23" t="s">
        <v>30</v>
      </c>
      <c r="E11" s="8" t="s">
        <v>12</v>
      </c>
      <c r="F11" s="23" t="str">
        <f>IFERROR(VLOOKUP($E11,Productos!$B$3:$D$10,2,FALSE)," ")</f>
        <v>ventilador industrial centrifugo</v>
      </c>
      <c r="G11" s="9">
        <v>2</v>
      </c>
      <c r="H11" s="136">
        <f>IFERROR(VLOOKUP(E11,Productos!$B$3:$D$10,3,FALSE)," ")</f>
        <v>160</v>
      </c>
      <c r="I11" s="136">
        <f t="shared" ref="I11:I17" si="0">IFERROR(G11*H11," ")</f>
        <v>320</v>
      </c>
      <c r="J11" s="53"/>
      <c r="K11" s="134">
        <f t="shared" ref="K11:K17" si="1">IFERROR(I11-((J11/100)*I11)," ")</f>
        <v>320</v>
      </c>
    </row>
    <row r="12" spans="2:11" x14ac:dyDescent="0.3">
      <c r="B12" s="56" t="s">
        <v>23</v>
      </c>
      <c r="C12" s="23" t="s">
        <v>82</v>
      </c>
      <c r="E12" s="8"/>
      <c r="F12" s="23" t="str">
        <f>IFERROR(VLOOKUP($E12,Productos!$B$3:$D$10,2,FALSE)," ")</f>
        <v xml:space="preserve"> </v>
      </c>
      <c r="G12" s="9"/>
      <c r="H12" s="136" t="str">
        <f>IFERROR(VLOOKUP(E12,Productos!$B$3:$D$10,3,FALSE)," ")</f>
        <v xml:space="preserve"> </v>
      </c>
      <c r="I12" s="136" t="str">
        <f t="shared" si="0"/>
        <v xml:space="preserve"> </v>
      </c>
      <c r="J12" s="53"/>
      <c r="K12" s="134" t="str">
        <f t="shared" si="1"/>
        <v xml:space="preserve"> </v>
      </c>
    </row>
    <row r="13" spans="2:11" x14ac:dyDescent="0.3">
      <c r="B13" s="56" t="s">
        <v>83</v>
      </c>
      <c r="C13" s="42" t="s">
        <v>84</v>
      </c>
      <c r="E13" s="8"/>
      <c r="F13" s="23" t="str">
        <f>IFERROR(VLOOKUP($E13,Productos!$B$3:$D$10,2,FALSE)," ")</f>
        <v xml:space="preserve"> </v>
      </c>
      <c r="G13" s="9"/>
      <c r="H13" s="136" t="str">
        <f>IFERROR(VLOOKUP(E13,Productos!$B$3:$D$10,3,FALSE)," ")</f>
        <v xml:space="preserve"> </v>
      </c>
      <c r="I13" s="136" t="str">
        <f t="shared" si="0"/>
        <v xml:space="preserve"> </v>
      </c>
      <c r="J13" s="53"/>
      <c r="K13" s="134" t="str">
        <f t="shared" si="1"/>
        <v xml:space="preserve"> </v>
      </c>
    </row>
    <row r="14" spans="2:11" x14ac:dyDescent="0.3">
      <c r="B14" s="57" t="s">
        <v>85</v>
      </c>
      <c r="C14" s="28" t="s">
        <v>86</v>
      </c>
      <c r="E14" s="8"/>
      <c r="F14" s="23" t="str">
        <f>IFERROR(VLOOKUP($E14,Productos!$B$3:$D$10,2,FALSE)," ")</f>
        <v xml:space="preserve"> </v>
      </c>
      <c r="G14" s="9"/>
      <c r="H14" s="136" t="str">
        <f>IFERROR(VLOOKUP(E14,Productos!$B$3:$D$10,3,FALSE)," ")</f>
        <v xml:space="preserve"> </v>
      </c>
      <c r="I14" s="136" t="str">
        <f t="shared" si="0"/>
        <v xml:space="preserve"> </v>
      </c>
      <c r="J14" s="53"/>
      <c r="K14" s="134" t="str">
        <f t="shared" si="1"/>
        <v xml:space="preserve"> </v>
      </c>
    </row>
    <row r="15" spans="2:11" x14ac:dyDescent="0.3">
      <c r="E15" s="8"/>
      <c r="F15" s="23" t="str">
        <f>IFERROR(VLOOKUP($E15,Productos!$B$3:$D$10,2,FALSE)," ")</f>
        <v xml:space="preserve"> </v>
      </c>
      <c r="G15" s="9"/>
      <c r="H15" s="136" t="str">
        <f>IFERROR(VLOOKUP(E15,Productos!$B$3:$D$10,3,FALSE)," ")</f>
        <v xml:space="preserve"> </v>
      </c>
      <c r="I15" s="136" t="str">
        <f t="shared" si="0"/>
        <v xml:space="preserve"> </v>
      </c>
      <c r="J15" s="53"/>
      <c r="K15" s="134" t="str">
        <f t="shared" si="1"/>
        <v xml:space="preserve"> </v>
      </c>
    </row>
    <row r="16" spans="2:11" x14ac:dyDescent="0.3">
      <c r="E16" s="8"/>
      <c r="F16" s="23" t="str">
        <f>IFERROR(VLOOKUP($E16,Productos!$B$3:$D$10,2,FALSE)," ")</f>
        <v xml:space="preserve"> </v>
      </c>
      <c r="G16" s="9"/>
      <c r="H16" s="136" t="str">
        <f>IFERROR(VLOOKUP(E16,Productos!$B$3:$D$10,3,FALSE)," ")</f>
        <v xml:space="preserve"> </v>
      </c>
      <c r="I16" s="136" t="str">
        <f t="shared" si="0"/>
        <v xml:space="preserve"> </v>
      </c>
      <c r="J16" s="53"/>
      <c r="K16" s="134" t="str">
        <f t="shared" si="1"/>
        <v xml:space="preserve"> </v>
      </c>
    </row>
    <row r="17" spans="5:11" x14ac:dyDescent="0.3">
      <c r="E17" s="12"/>
      <c r="F17" s="28" t="str">
        <f>IFERROR(VLOOKUP($E17,Productos!$B$3:$D$10,2,FALSE)," ")</f>
        <v xml:space="preserve"> </v>
      </c>
      <c r="G17" s="13"/>
      <c r="H17" s="137" t="str">
        <f>IFERROR(VLOOKUP(E17,Productos!$B$3:$D$10,3,FALSE)," ")</f>
        <v xml:space="preserve"> </v>
      </c>
      <c r="I17" s="137" t="str">
        <f t="shared" si="0"/>
        <v xml:space="preserve"> </v>
      </c>
      <c r="J17" s="54"/>
      <c r="K17" s="138" t="str">
        <f>IFERROR(I17-((J17/100)*I17)," ")</f>
        <v xml:space="preserve"> </v>
      </c>
    </row>
    <row r="18" spans="5:11" x14ac:dyDescent="0.3">
      <c r="H18" s="2"/>
      <c r="I18" s="2"/>
    </row>
    <row r="19" spans="5:11" x14ac:dyDescent="0.3">
      <c r="F19" s="2"/>
      <c r="G19" s="2"/>
      <c r="H19" s="63" t="s">
        <v>87</v>
      </c>
      <c r="I19" s="26">
        <v>0.21</v>
      </c>
      <c r="J19" s="5" t="s">
        <v>77</v>
      </c>
      <c r="K19" s="139">
        <f>SUM(K10:K17)</f>
        <v>1120</v>
      </c>
    </row>
    <row r="20" spans="5:11" x14ac:dyDescent="0.3">
      <c r="F20" s="2"/>
      <c r="G20" s="2"/>
      <c r="J20" s="5" t="s">
        <v>88</v>
      </c>
      <c r="K20" s="140">
        <f>(I19/100)*K19</f>
        <v>2.3519999999999999</v>
      </c>
    </row>
    <row r="21" spans="5:11" ht="18" x14ac:dyDescent="0.35">
      <c r="E21" s="65" t="s">
        <v>89</v>
      </c>
      <c r="F21" s="24"/>
      <c r="G21" s="24"/>
      <c r="H21" s="24"/>
      <c r="I21" s="24"/>
      <c r="J21" s="123" t="s">
        <v>108</v>
      </c>
      <c r="K21" s="141">
        <f>K19+K20</f>
        <v>1122.3520000000001</v>
      </c>
    </row>
    <row r="22" spans="5:11" x14ac:dyDescent="0.3">
      <c r="E22" s="97"/>
      <c r="F22" s="98"/>
      <c r="G22" s="98"/>
      <c r="H22" s="98"/>
      <c r="I22" s="99"/>
    </row>
    <row r="23" spans="5:11" x14ac:dyDescent="0.3">
      <c r="E23" s="100"/>
      <c r="F23" s="101"/>
      <c r="G23" s="101"/>
      <c r="H23" s="101"/>
      <c r="I23" s="102"/>
    </row>
    <row r="24" spans="5:11" x14ac:dyDescent="0.3">
      <c r="E24" s="100"/>
      <c r="F24" s="101"/>
      <c r="G24" s="101"/>
      <c r="H24" s="101"/>
      <c r="I24" s="102"/>
    </row>
    <row r="25" spans="5:11" x14ac:dyDescent="0.3">
      <c r="E25" s="100"/>
      <c r="F25" s="101"/>
      <c r="G25" s="101"/>
      <c r="H25" s="101"/>
      <c r="I25" s="102"/>
    </row>
    <row r="26" spans="5:11" x14ac:dyDescent="0.3">
      <c r="E26" s="103"/>
      <c r="F26" s="104"/>
      <c r="G26" s="104"/>
      <c r="H26" s="104"/>
      <c r="I26" s="105"/>
    </row>
    <row r="27" spans="5:11" x14ac:dyDescent="0.3">
      <c r="H27" s="2"/>
      <c r="I27" s="2"/>
    </row>
    <row r="28" spans="5:11" x14ac:dyDescent="0.3">
      <c r="H28" s="2"/>
      <c r="I28" s="2"/>
    </row>
  </sheetData>
  <mergeCells count="3">
    <mergeCell ref="F3:K3"/>
    <mergeCell ref="E4:F5"/>
    <mergeCell ref="E22:I26"/>
  </mergeCells>
  <hyperlinks>
    <hyperlink ref="C13" r:id="rId1" xr:uid="{CCEE95AB-63F0-4F65-8B8B-0081CF1051A6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EF6F-A021-4BD0-85A1-CF4184721E10}">
  <dimension ref="B4:N35"/>
  <sheetViews>
    <sheetView workbookViewId="0">
      <selection activeCell="F13" sqref="F13"/>
    </sheetView>
  </sheetViews>
  <sheetFormatPr baseColWidth="10" defaultColWidth="8.88671875" defaultRowHeight="14.4" x14ac:dyDescent="0.3"/>
  <cols>
    <col min="3" max="3" width="27.88671875" customWidth="1"/>
    <col min="5" max="5" width="11.44140625" bestFit="1" customWidth="1"/>
    <col min="6" max="6" width="29.33203125" bestFit="1" customWidth="1"/>
    <col min="7" max="7" width="40" bestFit="1" customWidth="1"/>
    <col min="8" max="8" width="5.88671875" bestFit="1" customWidth="1"/>
    <col min="10" max="10" width="14.33203125" bestFit="1" customWidth="1"/>
    <col min="11" max="11" width="10.5546875" bestFit="1" customWidth="1"/>
    <col min="13" max="13" width="11.33203125" bestFit="1" customWidth="1"/>
  </cols>
  <sheetData>
    <row r="4" spans="2:13" x14ac:dyDescent="0.3">
      <c r="D4" s="70" t="s">
        <v>20</v>
      </c>
      <c r="E4" s="107" t="s">
        <v>36</v>
      </c>
      <c r="F4" s="108"/>
      <c r="G4" s="109"/>
    </row>
    <row r="5" spans="2:13" ht="19.8" customHeight="1" x14ac:dyDescent="0.7">
      <c r="D5" s="124" t="s">
        <v>21</v>
      </c>
      <c r="E5" s="125" t="str">
        <f>VLOOKUP(E4,Clientes!$B$4:$I$9,2,FALSE)</f>
        <v>A19378542</v>
      </c>
      <c r="F5" s="124" t="s">
        <v>25</v>
      </c>
      <c r="G5" s="126" t="str">
        <f>VLOOKUP(E4,Clientes!$B$4:$I$9,6,FALSE)</f>
        <v>Pol. Llano San José Ctra. Elche a Crevillente</v>
      </c>
      <c r="H5" s="4"/>
      <c r="I5" s="4"/>
      <c r="J5" s="4"/>
    </row>
    <row r="6" spans="2:13" ht="15" customHeight="1" x14ac:dyDescent="0.3">
      <c r="D6" s="76" t="s">
        <v>22</v>
      </c>
      <c r="E6" s="9" t="str">
        <f>VLOOKUP(E4,Clientes!$B$4:$I$9,3,FALSE)</f>
        <v>Alicante</v>
      </c>
      <c r="F6" s="78" t="s">
        <v>23</v>
      </c>
      <c r="G6" s="18" t="str">
        <f>VLOOKUP(E4,Clientes!$B$4:$I$9,4,FALSE)</f>
        <v>Elche</v>
      </c>
      <c r="H6" s="35"/>
      <c r="I6" s="35"/>
      <c r="J6" s="35"/>
      <c r="K6" s="35"/>
      <c r="L6" s="35"/>
      <c r="M6" s="35"/>
    </row>
    <row r="7" spans="2:13" ht="15" customHeight="1" x14ac:dyDescent="0.3">
      <c r="C7" s="3"/>
      <c r="D7" s="77" t="s">
        <v>90</v>
      </c>
      <c r="E7" s="13" t="str">
        <f>VLOOKUP(E4,Clientes!$B$4:$I$9,7,FALSE)</f>
        <v>965 44 94 04</v>
      </c>
      <c r="F7" s="77" t="s">
        <v>91</v>
      </c>
      <c r="G7" s="21" t="str">
        <f>VLOOKUP(E4,Clientes!$B$4:$I$9,8,FALSE)</f>
        <v>rebajonelche@muebleselrebajon.com</v>
      </c>
      <c r="H7" s="35"/>
      <c r="I7" s="35"/>
      <c r="J7" s="35"/>
      <c r="K7" s="35"/>
      <c r="L7" s="35"/>
      <c r="M7" s="35"/>
    </row>
    <row r="10" spans="2:13" x14ac:dyDescent="0.3">
      <c r="E10" s="106" t="s">
        <v>92</v>
      </c>
      <c r="F10" s="106"/>
      <c r="G10" s="106"/>
    </row>
    <row r="11" spans="2:13" x14ac:dyDescent="0.3">
      <c r="E11" s="106"/>
      <c r="F11" s="106"/>
      <c r="G11" s="106"/>
    </row>
    <row r="12" spans="2:13" x14ac:dyDescent="0.3">
      <c r="E12" s="90" t="s">
        <v>73</v>
      </c>
      <c r="F12" s="90" t="s">
        <v>93</v>
      </c>
      <c r="G12" s="90" t="s">
        <v>94</v>
      </c>
      <c r="H12" s="62" t="s">
        <v>3</v>
      </c>
    </row>
    <row r="13" spans="2:13" x14ac:dyDescent="0.3">
      <c r="B13" s="91" t="s">
        <v>21</v>
      </c>
      <c r="C13" s="5" t="s">
        <v>72</v>
      </c>
      <c r="E13" s="5" t="s">
        <v>4</v>
      </c>
      <c r="F13" s="7" t="str">
        <f>IFERROR(VLOOKUP($E13,Productos!$B$3:$D$10,2,FALSE)," ")</f>
        <v>ventilador techo</v>
      </c>
      <c r="G13" s="5">
        <v>5</v>
      </c>
      <c r="H13" s="18">
        <f>IFERROR(VLOOKUP($E13,Productos!$B$3:$E$10,4,FALSE)," ")</f>
        <v>75</v>
      </c>
    </row>
    <row r="14" spans="2:13" x14ac:dyDescent="0.3">
      <c r="B14" s="92" t="s">
        <v>80</v>
      </c>
      <c r="C14" s="23" t="s">
        <v>81</v>
      </c>
      <c r="E14" s="23" t="s">
        <v>18</v>
      </c>
      <c r="F14" s="9" t="str">
        <f>IFERROR(VLOOKUP($E14,Productos!$B$3:$D$10,2,FALSE)," ")</f>
        <v>ventilador industrial techo </v>
      </c>
      <c r="G14" s="23">
        <v>1</v>
      </c>
      <c r="H14" s="18">
        <f>IFERROR(VLOOKUP($E14,Productos!$B$3:$E$10,4,FALSE)," ")</f>
        <v>2</v>
      </c>
    </row>
    <row r="15" spans="2:13" x14ac:dyDescent="0.3">
      <c r="B15" s="92" t="s">
        <v>22</v>
      </c>
      <c r="C15" s="23" t="s">
        <v>30</v>
      </c>
      <c r="E15" s="23"/>
      <c r="F15" s="9" t="str">
        <f>IFERROR(VLOOKUP($E15,Productos!$B$3:$D$10,2,FALSE)," ")</f>
        <v xml:space="preserve"> </v>
      </c>
      <c r="G15" s="23"/>
      <c r="H15" s="18" t="str">
        <f>IFERROR(VLOOKUP($E15,Productos!$B$3:$E$10,4,FALSE)," ")</f>
        <v xml:space="preserve"> </v>
      </c>
    </row>
    <row r="16" spans="2:13" x14ac:dyDescent="0.3">
      <c r="B16" s="92" t="s">
        <v>23</v>
      </c>
      <c r="C16" s="23" t="s">
        <v>82</v>
      </c>
      <c r="E16" s="23"/>
      <c r="F16" s="9" t="str">
        <f>IFERROR(VLOOKUP($E16,Productos!$B$3:$D$10,2,FALSE)," ")</f>
        <v xml:space="preserve"> </v>
      </c>
      <c r="G16" s="23"/>
      <c r="H16" s="18" t="str">
        <f>IFERROR(VLOOKUP($E16,Productos!$B$3:$E$10,4,FALSE)," ")</f>
        <v xml:space="preserve"> </v>
      </c>
    </row>
    <row r="17" spans="2:14" x14ac:dyDescent="0.3">
      <c r="B17" s="92" t="s">
        <v>83</v>
      </c>
      <c r="C17" s="42" t="s">
        <v>84</v>
      </c>
      <c r="E17" s="23"/>
      <c r="F17" s="9" t="str">
        <f>IFERROR(VLOOKUP($E17,Productos!$B$3:$D$10,2,FALSE)," ")</f>
        <v xml:space="preserve"> </v>
      </c>
      <c r="G17" s="23"/>
      <c r="H17" s="18" t="str">
        <f>IFERROR(VLOOKUP($E17,Productos!$B$3:$E$10,4,FALSE)," ")</f>
        <v xml:space="preserve"> </v>
      </c>
    </row>
    <row r="18" spans="2:14" x14ac:dyDescent="0.3">
      <c r="B18" s="93" t="s">
        <v>85</v>
      </c>
      <c r="C18" s="28" t="s">
        <v>86</v>
      </c>
      <c r="E18" s="23"/>
      <c r="F18" s="9" t="str">
        <f>IFERROR(VLOOKUP($E18,Productos!$B$3:$D$10,2,FALSE)," ")</f>
        <v xml:space="preserve"> </v>
      </c>
      <c r="G18" s="23"/>
      <c r="H18" s="18" t="str">
        <f>IFERROR(VLOOKUP($E18,Productos!$B$3:$E$10,4,FALSE)," ")</f>
        <v xml:space="preserve"> </v>
      </c>
      <c r="J18" s="33"/>
      <c r="K18" s="33"/>
      <c r="L18" s="33"/>
      <c r="M18" s="33"/>
      <c r="N18" s="9"/>
    </row>
    <row r="19" spans="2:14" x14ac:dyDescent="0.3">
      <c r="E19" s="23"/>
      <c r="F19" s="9" t="str">
        <f>IFERROR(VLOOKUP($E19,Productos!$B$3:$D$10,2,FALSE)," ")</f>
        <v xml:space="preserve"> </v>
      </c>
      <c r="G19" s="23"/>
      <c r="H19" s="18" t="str">
        <f>IFERROR(VLOOKUP($E19,Productos!$B$3:$E$10,4,FALSE)," ")</f>
        <v xml:space="preserve"> </v>
      </c>
      <c r="J19" s="10"/>
      <c r="K19" s="10"/>
      <c r="L19" s="11"/>
      <c r="M19" s="10"/>
      <c r="N19" s="9"/>
    </row>
    <row r="20" spans="2:14" x14ac:dyDescent="0.3">
      <c r="E20" s="28"/>
      <c r="F20" s="13" t="str">
        <f>IFERROR(VLOOKUP($E20,Productos!$B$3:$D$10,2,FALSE)," ")</f>
        <v xml:space="preserve"> </v>
      </c>
      <c r="G20" s="28"/>
      <c r="H20" s="21" t="str">
        <f>IFERROR(VLOOKUP($E20,Productos!$B$3:$E$10,4,FALSE)," ")</f>
        <v xml:space="preserve"> </v>
      </c>
      <c r="J20" s="10"/>
      <c r="K20" s="10"/>
      <c r="L20" s="11"/>
      <c r="M20" s="10"/>
      <c r="N20" s="9"/>
    </row>
    <row r="21" spans="2:14" x14ac:dyDescent="0.3">
      <c r="D21" s="9"/>
      <c r="E21" s="9"/>
      <c r="F21" s="9" t="str">
        <f>IFERROR(VLOOKUP($E21,Productos!$B$3:$D$10,2,FALSE)," ")</f>
        <v xml:space="preserve"> </v>
      </c>
      <c r="G21" s="9"/>
      <c r="H21" s="9"/>
      <c r="I21" s="9" t="str">
        <f>IFERROR(VLOOKUP($E21,Productos!$B11:$E18,4,FALSE)," ")</f>
        <v xml:space="preserve"> </v>
      </c>
      <c r="J21" s="10"/>
      <c r="K21" s="10"/>
      <c r="L21" s="11"/>
      <c r="M21" s="10"/>
      <c r="N21" s="9"/>
    </row>
    <row r="22" spans="2:14" x14ac:dyDescent="0.3">
      <c r="D22" s="9"/>
      <c r="E22" s="9"/>
      <c r="F22" s="9" t="str">
        <f>IFERROR(VLOOKUP($E22,Productos!$B$3:$D$10,2,FALSE)," ")</f>
        <v xml:space="preserve"> </v>
      </c>
      <c r="G22" s="9"/>
      <c r="H22" s="9"/>
      <c r="I22" s="9"/>
      <c r="J22" s="10"/>
      <c r="K22" s="10"/>
      <c r="L22" s="11"/>
      <c r="M22" s="10"/>
      <c r="N22" s="9"/>
    </row>
    <row r="23" spans="2:14" x14ac:dyDescent="0.3">
      <c r="D23" s="9"/>
      <c r="E23" s="9"/>
      <c r="F23" s="9" t="str">
        <f>IFERROR(VLOOKUP($E23,Productos!$B$3:$D$10,2,FALSE)," ")</f>
        <v xml:space="preserve"> </v>
      </c>
      <c r="G23" s="9"/>
      <c r="H23" s="9"/>
      <c r="I23" s="9"/>
      <c r="J23" s="10"/>
      <c r="K23" s="10"/>
      <c r="L23" s="11"/>
      <c r="M23" s="10"/>
      <c r="N23" s="9"/>
    </row>
    <row r="24" spans="2:14" x14ac:dyDescent="0.3">
      <c r="F24" t="str">
        <f>IFERROR(VLOOKUP($E24,Productos!$B$3:$D$10,2,FALSE)," ")</f>
        <v xml:space="preserve"> </v>
      </c>
      <c r="G24" s="9"/>
      <c r="H24" s="9"/>
      <c r="I24" s="9"/>
      <c r="J24" s="10"/>
      <c r="K24" s="10"/>
      <c r="L24" s="11"/>
      <c r="M24" s="10"/>
      <c r="N24" s="9"/>
    </row>
    <row r="25" spans="2:14" x14ac:dyDescent="0.3">
      <c r="G25" s="9"/>
      <c r="H25" s="9"/>
      <c r="I25" s="9"/>
      <c r="J25" s="10"/>
      <c r="K25" s="10"/>
      <c r="L25" s="11"/>
      <c r="M25" s="10"/>
      <c r="N25" s="9"/>
    </row>
    <row r="26" spans="2:14" x14ac:dyDescent="0.3">
      <c r="G26" s="9"/>
      <c r="H26" s="9"/>
      <c r="I26" s="9"/>
      <c r="J26" s="10"/>
      <c r="K26" s="10"/>
      <c r="L26" s="19"/>
      <c r="M26" s="10"/>
      <c r="N26" s="9"/>
    </row>
    <row r="27" spans="2:14" x14ac:dyDescent="0.3">
      <c r="G27" s="9"/>
      <c r="H27" s="9"/>
      <c r="I27" s="9"/>
      <c r="J27" s="10"/>
      <c r="K27" s="10"/>
      <c r="L27" s="9"/>
      <c r="M27" s="9"/>
      <c r="N27" s="9"/>
    </row>
    <row r="28" spans="2:14" x14ac:dyDescent="0.3">
      <c r="G28" s="9"/>
      <c r="H28" s="10"/>
      <c r="I28" s="10"/>
      <c r="J28" s="9"/>
      <c r="K28" s="34"/>
      <c r="L28" s="9"/>
      <c r="M28" s="10"/>
      <c r="N28" s="9"/>
    </row>
    <row r="29" spans="2:14" x14ac:dyDescent="0.3">
      <c r="G29" s="9"/>
      <c r="H29" s="10"/>
      <c r="I29" s="10"/>
      <c r="J29" s="9"/>
      <c r="K29" s="9"/>
      <c r="L29" s="9"/>
      <c r="M29" s="10"/>
      <c r="N29" s="9"/>
    </row>
    <row r="30" spans="2:14" x14ac:dyDescent="0.3">
      <c r="G30" s="24"/>
      <c r="H30" s="24"/>
      <c r="I30" s="24"/>
      <c r="J30" s="24"/>
      <c r="K30" s="24"/>
      <c r="L30" s="9"/>
      <c r="M30" s="10"/>
      <c r="N30" s="9"/>
    </row>
    <row r="31" spans="2:14" x14ac:dyDescent="0.3">
      <c r="G31" s="24"/>
      <c r="H31" s="24"/>
      <c r="I31" s="24"/>
      <c r="J31" s="24"/>
      <c r="K31" s="24"/>
      <c r="L31" s="9"/>
      <c r="M31" s="9"/>
      <c r="N31" s="9"/>
    </row>
    <row r="32" spans="2:14" x14ac:dyDescent="0.3">
      <c r="G32" s="24"/>
      <c r="H32" s="24"/>
      <c r="I32" s="24"/>
      <c r="J32" s="24"/>
      <c r="K32" s="24"/>
      <c r="L32" s="9"/>
      <c r="M32" s="9"/>
      <c r="N32" s="9"/>
    </row>
    <row r="33" spans="7:14" x14ac:dyDescent="0.3">
      <c r="G33" s="24"/>
      <c r="H33" s="24"/>
      <c r="I33" s="24"/>
      <c r="J33" s="24"/>
      <c r="K33" s="24"/>
      <c r="L33" s="9"/>
      <c r="M33" s="9"/>
      <c r="N33" s="9"/>
    </row>
    <row r="34" spans="7:14" x14ac:dyDescent="0.3">
      <c r="G34" s="24"/>
      <c r="H34" s="24"/>
      <c r="I34" s="24"/>
      <c r="J34" s="24"/>
      <c r="K34" s="24"/>
      <c r="L34" s="9"/>
      <c r="M34" s="9"/>
      <c r="N34" s="9"/>
    </row>
    <row r="35" spans="7:14" x14ac:dyDescent="0.3">
      <c r="G35" s="24"/>
      <c r="H35" s="24"/>
      <c r="I35" s="24"/>
      <c r="J35" s="24"/>
      <c r="K35" s="24"/>
      <c r="L35" s="9"/>
      <c r="M35" s="9"/>
      <c r="N35" s="9"/>
    </row>
  </sheetData>
  <mergeCells count="2">
    <mergeCell ref="E10:G11"/>
    <mergeCell ref="E4:G4"/>
  </mergeCells>
  <conditionalFormatting sqref="G13:G20">
    <cfRule type="cellIs" dxfId="16" priority="25" operator="greaterThan">
      <formula>#REF!</formula>
    </cfRule>
  </conditionalFormatting>
  <conditionalFormatting sqref="G13">
    <cfRule type="cellIs" dxfId="15" priority="16" operator="greaterThan">
      <formula>$H$13</formula>
    </cfRule>
  </conditionalFormatting>
  <conditionalFormatting sqref="G14">
    <cfRule type="cellIs" dxfId="14" priority="15" operator="greaterThan">
      <formula>$H$14</formula>
    </cfRule>
  </conditionalFormatting>
  <conditionalFormatting sqref="G15">
    <cfRule type="cellIs" dxfId="13" priority="14" operator="greaterThan">
      <formula>$H$15</formula>
    </cfRule>
  </conditionalFormatting>
  <conditionalFormatting sqref="G16">
    <cfRule type="cellIs" dxfId="12" priority="13" operator="greaterThan">
      <formula>$H$16</formula>
    </cfRule>
  </conditionalFormatting>
  <conditionalFormatting sqref="G17">
    <cfRule type="cellIs" dxfId="11" priority="12" operator="greaterThan">
      <formula>$H$17</formula>
    </cfRule>
  </conditionalFormatting>
  <conditionalFormatting sqref="G18">
    <cfRule type="cellIs" dxfId="10" priority="11" operator="greaterThan">
      <formula>$H$18</formula>
    </cfRule>
  </conditionalFormatting>
  <conditionalFormatting sqref="G19">
    <cfRule type="cellIs" dxfId="9" priority="10" operator="greaterThan">
      <formula>$H$19</formula>
    </cfRule>
  </conditionalFormatting>
  <conditionalFormatting sqref="G20">
    <cfRule type="cellIs" dxfId="8" priority="9" operator="greaterThan">
      <formula>$H$20</formula>
    </cfRule>
  </conditionalFormatting>
  <conditionalFormatting sqref="G13">
    <cfRule type="cellIs" dxfId="7" priority="8" operator="equal">
      <formula>$H$13</formula>
    </cfRule>
  </conditionalFormatting>
  <conditionalFormatting sqref="G14">
    <cfRule type="cellIs" dxfId="6" priority="7" operator="equal">
      <formula>$H$14</formula>
    </cfRule>
  </conditionalFormatting>
  <conditionalFormatting sqref="G15">
    <cfRule type="cellIs" dxfId="5" priority="6" operator="equal">
      <formula>$H$15</formula>
    </cfRule>
  </conditionalFormatting>
  <conditionalFormatting sqref="G16">
    <cfRule type="cellIs" dxfId="4" priority="5" operator="equal">
      <formula>$H$16</formula>
    </cfRule>
  </conditionalFormatting>
  <conditionalFormatting sqref="G17">
    <cfRule type="cellIs" dxfId="3" priority="4" operator="equal">
      <formula>$H$17</formula>
    </cfRule>
  </conditionalFormatting>
  <conditionalFormatting sqref="G18">
    <cfRule type="cellIs" dxfId="2" priority="3" operator="equal">
      <formula>$H$18</formula>
    </cfRule>
  </conditionalFormatting>
  <conditionalFormatting sqref="G19">
    <cfRule type="cellIs" dxfId="1" priority="2" operator="equal">
      <formula>$H$19</formula>
    </cfRule>
  </conditionalFormatting>
  <conditionalFormatting sqref="G20">
    <cfRule type="cellIs" dxfId="0" priority="1" operator="equal">
      <formula>$H$20</formula>
    </cfRule>
  </conditionalFormatting>
  <hyperlinks>
    <hyperlink ref="C17" r:id="rId1" xr:uid="{CEECBF3A-6371-4150-8E87-D8C4EC08C723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9DB-346B-4131-A987-D0E0FF5F4C93}">
  <dimension ref="D2:J34"/>
  <sheetViews>
    <sheetView workbookViewId="0">
      <selection activeCell="I23" sqref="I23:J28"/>
    </sheetView>
  </sheetViews>
  <sheetFormatPr baseColWidth="10" defaultColWidth="8.88671875" defaultRowHeight="14.4" x14ac:dyDescent="0.3"/>
  <cols>
    <col min="5" max="5" width="29" customWidth="1"/>
    <col min="6" max="6" width="12.5546875" customWidth="1"/>
    <col min="7" max="7" width="11.5546875" customWidth="1"/>
    <col min="8" max="8" width="30.33203125" customWidth="1"/>
    <col min="10" max="10" width="41.109375" customWidth="1"/>
  </cols>
  <sheetData>
    <row r="2" spans="4:10" x14ac:dyDescent="0.3">
      <c r="E2" s="117" t="s">
        <v>95</v>
      </c>
      <c r="F2" s="117"/>
    </row>
    <row r="3" spans="4:10" ht="14.25" customHeight="1" x14ac:dyDescent="0.3">
      <c r="E3" s="118"/>
      <c r="F3" s="118"/>
      <c r="G3" s="70" t="s">
        <v>20</v>
      </c>
      <c r="H3" s="107" t="s">
        <v>36</v>
      </c>
      <c r="I3" s="108"/>
      <c r="J3" s="109"/>
    </row>
    <row r="4" spans="4:10" x14ac:dyDescent="0.3">
      <c r="E4" s="66" t="s">
        <v>96</v>
      </c>
      <c r="F4" s="7" t="s">
        <v>97</v>
      </c>
      <c r="G4" s="75" t="s">
        <v>21</v>
      </c>
      <c r="H4" s="7" t="str">
        <f>VLOOKUP(H3,Clientes!$B$4:$I$9,2,FALSE)</f>
        <v>A19378542</v>
      </c>
      <c r="I4" s="75" t="s">
        <v>25</v>
      </c>
      <c r="J4" s="17" t="str">
        <f>VLOOKUP(H3,Clientes!$B$4:$I$9,6,FALSE)</f>
        <v>Pol. Llano San José Ctra. Elche a Crevillente</v>
      </c>
    </row>
    <row r="5" spans="4:10" x14ac:dyDescent="0.3">
      <c r="E5" s="67" t="s">
        <v>98</v>
      </c>
      <c r="F5" s="22">
        <f ca="1">TODAY()+1</f>
        <v>43415</v>
      </c>
      <c r="G5" s="76" t="s">
        <v>22</v>
      </c>
      <c r="H5" s="9" t="str">
        <f>VLOOKUP(H3,Clientes!$B$4:$I$9,3,FALSE)</f>
        <v>Alicante</v>
      </c>
      <c r="I5" s="78" t="s">
        <v>23</v>
      </c>
      <c r="J5" s="18" t="str">
        <f>VLOOKUP(H3,Clientes!$B$4:$I$9,4,FALSE)</f>
        <v>Elche</v>
      </c>
    </row>
    <row r="6" spans="4:10" x14ac:dyDescent="0.3">
      <c r="E6" s="68" t="s">
        <v>109</v>
      </c>
      <c r="F6" s="13" t="s">
        <v>100</v>
      </c>
      <c r="G6" s="77" t="s">
        <v>90</v>
      </c>
      <c r="H6" s="13" t="str">
        <f>VLOOKUP(H3,Clientes!$B$4:$I$9,7,FALSE)</f>
        <v>965 44 94 04</v>
      </c>
      <c r="I6" s="77" t="s">
        <v>91</v>
      </c>
      <c r="J6" s="21" t="str">
        <f>VLOOKUP(H3,Clientes!$B$4:$I$9,8,FALSE)</f>
        <v>rebajonelche@muebleselrebajon.com</v>
      </c>
    </row>
    <row r="7" spans="4:10" x14ac:dyDescent="0.3">
      <c r="E7" s="9"/>
      <c r="F7" s="9"/>
      <c r="G7" s="25"/>
      <c r="H7" s="9"/>
      <c r="I7" s="25"/>
      <c r="J7" s="9"/>
    </row>
    <row r="8" spans="4:10" x14ac:dyDescent="0.3">
      <c r="D8" s="72" t="s">
        <v>21</v>
      </c>
      <c r="E8" s="17" t="s">
        <v>72</v>
      </c>
      <c r="G8" s="69" t="s">
        <v>73</v>
      </c>
      <c r="H8" s="71" t="s">
        <v>74</v>
      </c>
      <c r="I8" s="71" t="s">
        <v>75</v>
      </c>
      <c r="J8" s="8"/>
    </row>
    <row r="9" spans="4:10" x14ac:dyDescent="0.3">
      <c r="D9" s="73" t="s">
        <v>80</v>
      </c>
      <c r="E9" s="18" t="s">
        <v>81</v>
      </c>
      <c r="G9" s="6" t="s">
        <v>14</v>
      </c>
      <c r="H9" s="6" t="str">
        <f>IFERROR(VLOOKUP($G9,Productos!$B$3:$D$10,2,FALSE)," ")</f>
        <v>ventilador industrial helicoidal</v>
      </c>
      <c r="I9" s="6">
        <v>15</v>
      </c>
      <c r="J9" s="38"/>
    </row>
    <row r="10" spans="4:10" x14ac:dyDescent="0.3">
      <c r="D10" s="73" t="s">
        <v>22</v>
      </c>
      <c r="E10" s="18" t="s">
        <v>30</v>
      </c>
      <c r="G10" s="8" t="s">
        <v>12</v>
      </c>
      <c r="H10" s="8" t="str">
        <f>IFERROR(VLOOKUP($G10,Productos!$B$3:$D$10,2,FALSE)," ")</f>
        <v>ventilador industrial centrifugo</v>
      </c>
      <c r="I10" s="8">
        <v>2</v>
      </c>
      <c r="J10" s="38"/>
    </row>
    <row r="11" spans="4:10" x14ac:dyDescent="0.3">
      <c r="D11" s="73" t="s">
        <v>23</v>
      </c>
      <c r="E11" s="18" t="s">
        <v>82</v>
      </c>
      <c r="G11" s="8"/>
      <c r="H11" s="8" t="str">
        <f>IFERROR(VLOOKUP($D11,Productos!$B$3:$D$10,2,FALSE)," ")</f>
        <v xml:space="preserve"> </v>
      </c>
      <c r="I11" s="8"/>
      <c r="J11" s="38"/>
    </row>
    <row r="12" spans="4:10" x14ac:dyDescent="0.3">
      <c r="D12" s="73" t="s">
        <v>83</v>
      </c>
      <c r="E12" s="27" t="s">
        <v>84</v>
      </c>
      <c r="F12" s="2"/>
      <c r="G12" s="8"/>
      <c r="H12" s="8" t="str">
        <f>IFERROR(VLOOKUP($D12,Productos!$B$3:$D$10,2,FALSE)," ")</f>
        <v xml:space="preserve"> </v>
      </c>
      <c r="I12" s="8"/>
      <c r="J12" s="38"/>
    </row>
    <row r="13" spans="4:10" x14ac:dyDescent="0.3">
      <c r="D13" s="74" t="s">
        <v>85</v>
      </c>
      <c r="E13" s="21" t="s">
        <v>86</v>
      </c>
      <c r="G13" s="8"/>
      <c r="H13" s="8" t="str">
        <f>IFERROR(VLOOKUP($D13,Productos!$B$3:$D$10,2,FALSE)," ")</f>
        <v xml:space="preserve"> </v>
      </c>
      <c r="I13" s="8"/>
      <c r="J13" s="38"/>
    </row>
    <row r="14" spans="4:10" x14ac:dyDescent="0.3">
      <c r="D14" s="9"/>
      <c r="E14" s="9"/>
      <c r="G14" s="8"/>
      <c r="H14" s="8" t="str">
        <f>IFERROR(VLOOKUP($D14,Productos!$B$3:$D$10,2,FALSE)," ")</f>
        <v xml:space="preserve"> </v>
      </c>
      <c r="I14" s="8"/>
      <c r="J14" s="38"/>
    </row>
    <row r="15" spans="4:10" x14ac:dyDescent="0.3">
      <c r="D15" s="9"/>
      <c r="E15" s="9"/>
      <c r="G15" s="8"/>
      <c r="H15" s="8" t="str">
        <f>IFERROR(VLOOKUP($D15,Productos!$B$3:$D$10,2,FALSE)," ")</f>
        <v xml:space="preserve"> </v>
      </c>
      <c r="I15" s="8"/>
      <c r="J15" s="38"/>
    </row>
    <row r="16" spans="4:10" x14ac:dyDescent="0.3">
      <c r="D16" s="9"/>
      <c r="E16" s="9"/>
      <c r="G16" s="8"/>
      <c r="H16" s="8" t="str">
        <f>IFERROR(VLOOKUP($D16,Productos!$B$3:$D$10,2,FALSE)," ")</f>
        <v xml:space="preserve"> </v>
      </c>
      <c r="I16" s="8"/>
      <c r="J16" s="38"/>
    </row>
    <row r="17" spans="4:10" x14ac:dyDescent="0.3">
      <c r="D17" s="9"/>
      <c r="E17" s="9"/>
      <c r="G17" s="8"/>
      <c r="H17" s="8" t="str">
        <f>IFERROR(VLOOKUP($D17,Productos!$B$3:$D$10,2,FALSE)," ")</f>
        <v xml:space="preserve"> </v>
      </c>
      <c r="I17" s="8"/>
      <c r="J17" s="38"/>
    </row>
    <row r="18" spans="4:10" x14ac:dyDescent="0.3">
      <c r="D18" s="9"/>
      <c r="E18" s="9"/>
      <c r="G18" s="8"/>
      <c r="H18" s="8" t="str">
        <f>IFERROR(VLOOKUP($D18,Productos!$B$3:$D$10,2,FALSE)," ")</f>
        <v xml:space="preserve"> </v>
      </c>
      <c r="I18" s="8"/>
      <c r="J18" s="38"/>
    </row>
    <row r="19" spans="4:10" x14ac:dyDescent="0.3">
      <c r="D19" s="9"/>
      <c r="E19" s="9"/>
      <c r="G19" s="8"/>
      <c r="H19" s="8" t="str">
        <f>IFERROR(VLOOKUP($D19,Productos!$B$3:$D$10,2,FALSE)," ")</f>
        <v xml:space="preserve"> </v>
      </c>
      <c r="I19" s="8"/>
      <c r="J19" s="38"/>
    </row>
    <row r="20" spans="4:10" x14ac:dyDescent="0.3">
      <c r="D20" s="9"/>
      <c r="E20" s="9"/>
      <c r="G20" s="12"/>
      <c r="H20" s="12" t="str">
        <f>IFERROR(VLOOKUP($D20,Productos!$B$3:$D$10,2,FALSE)," ")</f>
        <v xml:space="preserve"> </v>
      </c>
      <c r="I20" s="12"/>
      <c r="J20" s="38"/>
    </row>
    <row r="21" spans="4:10" x14ac:dyDescent="0.3">
      <c r="D21" s="9"/>
    </row>
    <row r="22" spans="4:10" x14ac:dyDescent="0.3">
      <c r="E22" s="110" t="s">
        <v>101</v>
      </c>
      <c r="F22" s="110"/>
      <c r="G22" s="110" t="s">
        <v>102</v>
      </c>
      <c r="H22" s="110"/>
      <c r="I22" s="110" t="s">
        <v>103</v>
      </c>
      <c r="J22" s="110"/>
    </row>
    <row r="23" spans="4:10" x14ac:dyDescent="0.3">
      <c r="E23" s="110"/>
      <c r="F23" s="110"/>
      <c r="G23" s="110"/>
      <c r="H23" s="110"/>
      <c r="I23" s="110"/>
      <c r="J23" s="110"/>
    </row>
    <row r="24" spans="4:10" x14ac:dyDescent="0.3">
      <c r="E24" s="110"/>
      <c r="F24" s="110"/>
      <c r="G24" s="110"/>
      <c r="H24" s="110"/>
      <c r="I24" s="110"/>
      <c r="J24" s="110"/>
    </row>
    <row r="25" spans="4:10" x14ac:dyDescent="0.3">
      <c r="E25" s="110"/>
      <c r="F25" s="110"/>
      <c r="G25" s="110"/>
      <c r="H25" s="110"/>
      <c r="I25" s="110"/>
      <c r="J25" s="110"/>
    </row>
    <row r="26" spans="4:10" x14ac:dyDescent="0.3">
      <c r="E26" s="110"/>
      <c r="F26" s="110"/>
      <c r="G26" s="110"/>
      <c r="H26" s="110"/>
      <c r="I26" s="110"/>
      <c r="J26" s="110"/>
    </row>
    <row r="27" spans="4:10" x14ac:dyDescent="0.3">
      <c r="E27" s="110"/>
      <c r="F27" s="110"/>
      <c r="G27" s="110"/>
      <c r="H27" s="110"/>
      <c r="I27" s="110"/>
      <c r="J27" s="110"/>
    </row>
    <row r="28" spans="4:10" x14ac:dyDescent="0.3">
      <c r="E28" s="110"/>
      <c r="F28" s="110"/>
      <c r="G28" s="110"/>
      <c r="H28" s="110"/>
      <c r="I28" s="110"/>
      <c r="J28" s="110"/>
    </row>
    <row r="30" spans="4:10" x14ac:dyDescent="0.3">
      <c r="E30" s="5" t="s">
        <v>104</v>
      </c>
    </row>
    <row r="31" spans="4:10" x14ac:dyDescent="0.3">
      <c r="E31" s="107"/>
      <c r="F31" s="108"/>
      <c r="G31" s="108"/>
      <c r="H31" s="108"/>
      <c r="I31" s="108"/>
      <c r="J31" s="109"/>
    </row>
    <row r="32" spans="4:10" x14ac:dyDescent="0.3">
      <c r="E32" s="111"/>
      <c r="F32" s="112"/>
      <c r="G32" s="112"/>
      <c r="H32" s="112"/>
      <c r="I32" s="112"/>
      <c r="J32" s="113"/>
    </row>
    <row r="33" spans="5:10" x14ac:dyDescent="0.3">
      <c r="E33" s="111"/>
      <c r="F33" s="112"/>
      <c r="G33" s="112"/>
      <c r="H33" s="112"/>
      <c r="I33" s="112"/>
      <c r="J33" s="113"/>
    </row>
    <row r="34" spans="5:10" x14ac:dyDescent="0.3">
      <c r="E34" s="114"/>
      <c r="F34" s="115"/>
      <c r="G34" s="115"/>
      <c r="H34" s="115"/>
      <c r="I34" s="115"/>
      <c r="J34" s="116"/>
    </row>
  </sheetData>
  <mergeCells count="9">
    <mergeCell ref="E23:F28"/>
    <mergeCell ref="G23:H28"/>
    <mergeCell ref="I23:J28"/>
    <mergeCell ref="E31:J34"/>
    <mergeCell ref="E2:F3"/>
    <mergeCell ref="H3:J3"/>
    <mergeCell ref="E22:F22"/>
    <mergeCell ref="G22:H22"/>
    <mergeCell ref="I22:J22"/>
  </mergeCells>
  <hyperlinks>
    <hyperlink ref="E12" r:id="rId1" xr:uid="{9275682B-33C2-41E4-BA9F-BA799409FB51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1AED-B2EA-4771-985A-6FB48C5588F4}">
  <dimension ref="A4:M31"/>
  <sheetViews>
    <sheetView workbookViewId="0">
      <selection activeCell="B28" sqref="B28"/>
    </sheetView>
  </sheetViews>
  <sheetFormatPr baseColWidth="10" defaultColWidth="8.88671875" defaultRowHeight="14.4" x14ac:dyDescent="0.3"/>
  <cols>
    <col min="4" max="4" width="27.109375" customWidth="1"/>
    <col min="6" max="6" width="15" customWidth="1"/>
    <col min="7" max="7" width="29.33203125" bestFit="1" customWidth="1"/>
    <col min="8" max="8" width="10.88671875" bestFit="1" customWidth="1"/>
    <col min="9" max="9" width="13.44140625" bestFit="1" customWidth="1"/>
    <col min="10" max="10" width="12.44140625" customWidth="1"/>
    <col min="11" max="11" width="12" bestFit="1" customWidth="1"/>
    <col min="12" max="12" width="40" bestFit="1" customWidth="1"/>
  </cols>
  <sheetData>
    <row r="4" spans="1:13" ht="15" customHeight="1" x14ac:dyDescent="0.7">
      <c r="E4" s="9"/>
      <c r="H4" s="119" t="s">
        <v>105</v>
      </c>
      <c r="I4" s="120"/>
      <c r="J4" s="14"/>
      <c r="K4" s="9"/>
      <c r="L4" s="16"/>
      <c r="M4" s="16"/>
    </row>
    <row r="5" spans="1:13" ht="19.2" customHeight="1" x14ac:dyDescent="0.7">
      <c r="E5" s="9"/>
      <c r="H5" s="121"/>
      <c r="I5" s="122"/>
      <c r="J5" s="16"/>
      <c r="K5" s="9"/>
      <c r="L5" s="20"/>
      <c r="M5" s="16"/>
    </row>
    <row r="6" spans="1:13" s="127" customFormat="1" ht="19.2" customHeight="1" x14ac:dyDescent="0.3">
      <c r="E6" s="128"/>
      <c r="H6" s="14"/>
      <c r="I6" s="129" t="s">
        <v>20</v>
      </c>
      <c r="J6" s="130" t="s">
        <v>36</v>
      </c>
      <c r="K6" s="131"/>
      <c r="L6" s="132"/>
      <c r="M6" s="133"/>
    </row>
    <row r="7" spans="1:13" x14ac:dyDescent="0.3">
      <c r="E7" s="9"/>
      <c r="F7" s="9"/>
      <c r="G7" s="44" t="s">
        <v>96</v>
      </c>
      <c r="H7" s="7" t="s">
        <v>97</v>
      </c>
      <c r="I7" s="80" t="s">
        <v>21</v>
      </c>
      <c r="J7" s="7" t="str">
        <f>VLOOKUP($J$6,Clientes!$B$4:$I$9,2,FALSE)</f>
        <v>A19378542</v>
      </c>
      <c r="K7" s="80" t="s">
        <v>25</v>
      </c>
      <c r="L7" s="17" t="str">
        <f>VLOOKUP($J$6,Clientes!$B$4:$I$9,6,FALSE)</f>
        <v>Pol. Llano San José Ctra. Elche a Crevillente</v>
      </c>
    </row>
    <row r="8" spans="1:13" ht="15" customHeight="1" x14ac:dyDescent="0.3">
      <c r="E8" s="9"/>
      <c r="F8" s="9"/>
      <c r="G8" s="43" t="s">
        <v>98</v>
      </c>
      <c r="H8" s="22">
        <f ca="1">TODAY()+1</f>
        <v>43415</v>
      </c>
      <c r="I8" s="81" t="s">
        <v>22</v>
      </c>
      <c r="J8" s="9" t="str">
        <f>VLOOKUP($J$6,Clientes!$B$4:$I$9,3,FALSE)</f>
        <v>Alicante</v>
      </c>
      <c r="K8" s="83" t="s">
        <v>23</v>
      </c>
      <c r="L8" s="18" t="str">
        <f>VLOOKUP($J$6,Clientes!$B$4:$I$9,4,FALSE)</f>
        <v>Elche</v>
      </c>
    </row>
    <row r="9" spans="1:13" ht="15" customHeight="1" x14ac:dyDescent="0.3">
      <c r="E9" s="9"/>
      <c r="F9" s="9"/>
      <c r="G9" s="48" t="s">
        <v>99</v>
      </c>
      <c r="H9" s="13" t="s">
        <v>100</v>
      </c>
      <c r="I9" s="82" t="s">
        <v>90</v>
      </c>
      <c r="J9" s="13" t="str">
        <f>VLOOKUP($J$6,Clientes!$B$4:$I$9,7,FALSE)</f>
        <v>965 44 94 04</v>
      </c>
      <c r="K9" s="82" t="s">
        <v>91</v>
      </c>
      <c r="L9" s="21" t="str">
        <f>VLOOKUP($J$6,Clientes!$B$4:$I$9,8,FALSE)</f>
        <v>rebajonelche@muebleselrebajon.com</v>
      </c>
    </row>
    <row r="11" spans="1:13" x14ac:dyDescent="0.3">
      <c r="C11" s="6" t="s">
        <v>21</v>
      </c>
      <c r="D11" s="5" t="s">
        <v>72</v>
      </c>
      <c r="E11" s="3"/>
      <c r="F11" s="84" t="s">
        <v>73</v>
      </c>
      <c r="G11" s="84" t="s">
        <v>74</v>
      </c>
      <c r="H11" s="84" t="s">
        <v>75</v>
      </c>
      <c r="I11" s="85" t="s">
        <v>76</v>
      </c>
      <c r="J11" s="85" t="s">
        <v>77</v>
      </c>
      <c r="K11" s="86" t="s">
        <v>78</v>
      </c>
      <c r="L11" s="87" t="s">
        <v>79</v>
      </c>
    </row>
    <row r="12" spans="1:13" x14ac:dyDescent="0.3">
      <c r="C12" s="8" t="s">
        <v>80</v>
      </c>
      <c r="D12" s="23" t="s">
        <v>81</v>
      </c>
      <c r="F12" s="8" t="s">
        <v>14</v>
      </c>
      <c r="G12" s="8" t="str">
        <f>IFERROR(VLOOKUP($F12,Productos!$B$3:$D$10,2,FALSE)," ")</f>
        <v>ventilador industrial helicoidal</v>
      </c>
      <c r="H12" s="8">
        <f>Albaran!I9</f>
        <v>15</v>
      </c>
      <c r="I12" s="136">
        <f>IFERROR(VLOOKUP(F12,Productos!$B$3:$D$10,3,FALSE)," ")</f>
        <v>100</v>
      </c>
      <c r="J12" s="136">
        <f>IFERROR(H12*I12," ")</f>
        <v>1500</v>
      </c>
      <c r="K12" s="53">
        <v>5</v>
      </c>
      <c r="L12" s="134">
        <f t="shared" ref="L12:L19" si="0">IFERROR(J12-((K12/100)*J12)," ")</f>
        <v>1425</v>
      </c>
    </row>
    <row r="13" spans="1:13" x14ac:dyDescent="0.3">
      <c r="C13" s="8" t="s">
        <v>22</v>
      </c>
      <c r="D13" s="23" t="s">
        <v>30</v>
      </c>
      <c r="F13" s="8" t="s">
        <v>12</v>
      </c>
      <c r="G13" s="8" t="str">
        <f>IFERROR(VLOOKUP($F13,Productos!$B$3:$D$10,2,FALSE)," ")</f>
        <v>ventilador industrial centrifugo</v>
      </c>
      <c r="H13" s="8">
        <f>Albaran!I10</f>
        <v>2</v>
      </c>
      <c r="I13" s="136">
        <f>IFERROR(VLOOKUP(F13,Productos!$B$3:$D$10,3,FALSE)," ")</f>
        <v>160</v>
      </c>
      <c r="J13" s="136">
        <f t="shared" ref="J13:J19" si="1">IFERROR(H13*I13," ")</f>
        <v>320</v>
      </c>
      <c r="K13" s="53">
        <v>5</v>
      </c>
      <c r="L13" s="134">
        <f t="shared" si="0"/>
        <v>304</v>
      </c>
    </row>
    <row r="14" spans="1:13" x14ac:dyDescent="0.3">
      <c r="A14" s="9"/>
      <c r="B14" s="9"/>
      <c r="C14" s="8" t="s">
        <v>23</v>
      </c>
      <c r="D14" s="23" t="s">
        <v>82</v>
      </c>
      <c r="E14" s="9"/>
      <c r="F14" s="8"/>
      <c r="G14" s="8" t="str">
        <f>IFERROR(VLOOKUP($F14,Productos!$B$3:$D$10,2,FALSE)," ")</f>
        <v xml:space="preserve"> </v>
      </c>
      <c r="H14" s="8"/>
      <c r="I14" s="136" t="str">
        <f>IFERROR(VLOOKUP(F14,Productos!$B$3:$D$10,3,FALSE)," ")</f>
        <v xml:space="preserve"> </v>
      </c>
      <c r="J14" s="136" t="str">
        <f t="shared" si="1"/>
        <v xml:space="preserve"> </v>
      </c>
      <c r="K14" s="53"/>
      <c r="L14" s="134" t="str">
        <f t="shared" si="0"/>
        <v xml:space="preserve"> </v>
      </c>
    </row>
    <row r="15" spans="1:13" x14ac:dyDescent="0.3">
      <c r="A15" s="9"/>
      <c r="B15" s="9"/>
      <c r="C15" s="8" t="s">
        <v>83</v>
      </c>
      <c r="D15" s="42" t="s">
        <v>84</v>
      </c>
      <c r="E15" s="9"/>
      <c r="F15" s="8"/>
      <c r="G15" s="8" t="str">
        <f>IFERROR(VLOOKUP($F15,Productos!$B$3:$D$10,2,FALSE)," ")</f>
        <v xml:space="preserve"> </v>
      </c>
      <c r="H15" s="8"/>
      <c r="I15" s="136" t="str">
        <f>IFERROR(VLOOKUP(F15,Productos!$B$3:$D$10,3,FALSE)," ")</f>
        <v xml:space="preserve"> </v>
      </c>
      <c r="J15" s="136" t="str">
        <f t="shared" si="1"/>
        <v xml:space="preserve"> </v>
      </c>
      <c r="K15" s="53"/>
      <c r="L15" s="134" t="str">
        <f t="shared" si="0"/>
        <v xml:space="preserve"> </v>
      </c>
    </row>
    <row r="16" spans="1:13" x14ac:dyDescent="0.3">
      <c r="A16" s="9"/>
      <c r="B16" s="9"/>
      <c r="C16" s="12" t="s">
        <v>85</v>
      </c>
      <c r="D16" s="28" t="s">
        <v>86</v>
      </c>
      <c r="E16" s="9"/>
      <c r="F16" s="8"/>
      <c r="G16" s="8" t="str">
        <f>IFERROR(VLOOKUP($F16,Productos!$B$3:$D$10,2,FALSE)," ")</f>
        <v xml:space="preserve"> </v>
      </c>
      <c r="H16" s="8"/>
      <c r="I16" s="136" t="str">
        <f>IFERROR(VLOOKUP(F16,Productos!$B$3:$D$10,3,FALSE)," ")</f>
        <v xml:space="preserve"> </v>
      </c>
      <c r="J16" s="136" t="str">
        <f t="shared" si="1"/>
        <v xml:space="preserve"> </v>
      </c>
      <c r="K16" s="53"/>
      <c r="L16" s="134" t="str">
        <f t="shared" si="0"/>
        <v xml:space="preserve"> </v>
      </c>
    </row>
    <row r="17" spans="1:12" x14ac:dyDescent="0.3">
      <c r="A17" s="9"/>
      <c r="B17" s="9"/>
      <c r="C17" s="9"/>
      <c r="D17" s="9"/>
      <c r="E17" s="9"/>
      <c r="F17" s="8"/>
      <c r="G17" s="8" t="str">
        <f>IFERROR(VLOOKUP($F17,Productos!$B$3:$D$10,2,FALSE)," ")</f>
        <v xml:space="preserve"> </v>
      </c>
      <c r="H17" s="8"/>
      <c r="I17" s="136" t="str">
        <f>IFERROR(VLOOKUP(F17,Productos!$B$3:$D$10,3,FALSE)," ")</f>
        <v xml:space="preserve"> </v>
      </c>
      <c r="J17" s="136" t="str">
        <f t="shared" si="1"/>
        <v xml:space="preserve"> </v>
      </c>
      <c r="K17" s="53"/>
      <c r="L17" s="134" t="str">
        <f t="shared" si="0"/>
        <v xml:space="preserve"> </v>
      </c>
    </row>
    <row r="18" spans="1:12" x14ac:dyDescent="0.3">
      <c r="A18" s="9"/>
      <c r="B18" s="15"/>
      <c r="C18" s="9"/>
      <c r="D18" s="9"/>
      <c r="E18" s="9"/>
      <c r="F18" s="8"/>
      <c r="G18" s="8" t="str">
        <f>IFERROR(VLOOKUP($F18,Productos!$B$3:$D$10,2,FALSE)," ")</f>
        <v xml:space="preserve"> </v>
      </c>
      <c r="H18" s="8"/>
      <c r="I18" s="136" t="str">
        <f>IFERROR(VLOOKUP(F18,Productos!$B$3:$D$10,3,FALSE)," ")</f>
        <v xml:space="preserve"> </v>
      </c>
      <c r="J18" s="136" t="str">
        <f t="shared" si="1"/>
        <v xml:space="preserve"> </v>
      </c>
      <c r="K18" s="53"/>
      <c r="L18" s="134" t="str">
        <f t="shared" si="0"/>
        <v xml:space="preserve"> </v>
      </c>
    </row>
    <row r="19" spans="1:12" x14ac:dyDescent="0.3">
      <c r="A19" s="9"/>
      <c r="B19" s="9"/>
      <c r="C19" s="9"/>
      <c r="D19" s="9"/>
      <c r="E19" s="9"/>
      <c r="F19" s="8"/>
      <c r="G19" s="8" t="str">
        <f>IFERROR(VLOOKUP($F19,Productos!$B$3:$D$10,2,FALSE)," ")</f>
        <v xml:space="preserve"> </v>
      </c>
      <c r="H19" s="8"/>
      <c r="I19" s="136" t="str">
        <f>IFERROR(VLOOKUP(F19,Productos!$B$3:$D$10,3,FALSE)," ")</f>
        <v xml:space="preserve"> </v>
      </c>
      <c r="J19" s="136" t="str">
        <f t="shared" si="1"/>
        <v xml:space="preserve"> </v>
      </c>
      <c r="K19" s="79"/>
      <c r="L19" s="134" t="str">
        <f t="shared" si="0"/>
        <v xml:space="preserve"> </v>
      </c>
    </row>
    <row r="20" spans="1:12" x14ac:dyDescent="0.3">
      <c r="E20" s="9"/>
      <c r="F20" s="8"/>
      <c r="G20" s="8" t="str">
        <f>IFERROR(VLOOKUP($F20,Productos!$B$3:$D$10,2,FALSE)," ")</f>
        <v xml:space="preserve"> </v>
      </c>
      <c r="H20" s="8"/>
      <c r="I20" s="136" t="str">
        <f>IFERROR(VLOOKUP(F20,Productos!$B$3:$D$10,3,FALSE)," ")</f>
        <v xml:space="preserve"> </v>
      </c>
      <c r="J20" s="136" t="str">
        <f t="shared" ref="J20:J23" si="2">IFERROR(H20*I20," ")</f>
        <v xml:space="preserve"> </v>
      </c>
      <c r="K20" s="53"/>
      <c r="L20" s="134" t="str">
        <f t="shared" ref="L20:L23" si="3">IFERROR(J20-((K20/100)*J20)," ")</f>
        <v xml:space="preserve"> </v>
      </c>
    </row>
    <row r="21" spans="1:12" x14ac:dyDescent="0.3">
      <c r="E21" s="9"/>
      <c r="F21" s="8"/>
      <c r="G21" s="8" t="str">
        <f>IFERROR(VLOOKUP($F21,Productos!$B$3:$D$10,2,FALSE)," ")</f>
        <v xml:space="preserve"> </v>
      </c>
      <c r="H21" s="8"/>
      <c r="I21" s="136" t="str">
        <f>IFERROR(VLOOKUP(F21,Productos!$B$3:$D$10,3,FALSE)," ")</f>
        <v xml:space="preserve"> </v>
      </c>
      <c r="J21" s="136" t="str">
        <f t="shared" si="2"/>
        <v xml:space="preserve"> </v>
      </c>
      <c r="K21" s="53"/>
      <c r="L21" s="134" t="str">
        <f t="shared" si="3"/>
        <v xml:space="preserve"> </v>
      </c>
    </row>
    <row r="22" spans="1:12" x14ac:dyDescent="0.3">
      <c r="E22" s="9"/>
      <c r="F22" s="8"/>
      <c r="G22" s="8" t="str">
        <f>IFERROR(VLOOKUP($F22,Productos!$B$3:$D$10,2,FALSE)," ")</f>
        <v xml:space="preserve"> </v>
      </c>
      <c r="H22" s="8"/>
      <c r="I22" s="136" t="str">
        <f>IFERROR(VLOOKUP(F22,Productos!$B$3:$D$10,3,FALSE)," ")</f>
        <v xml:space="preserve"> </v>
      </c>
      <c r="J22" s="136" t="str">
        <f t="shared" si="2"/>
        <v xml:space="preserve"> </v>
      </c>
      <c r="K22" s="53"/>
      <c r="L22" s="134" t="str">
        <f t="shared" si="3"/>
        <v xml:space="preserve"> </v>
      </c>
    </row>
    <row r="23" spans="1:12" x14ac:dyDescent="0.3">
      <c r="F23" s="12"/>
      <c r="G23" s="12" t="str">
        <f>IFERROR(VLOOKUP($F23,Productos!$B$3:$D$10,2,FALSE)," ")</f>
        <v xml:space="preserve"> </v>
      </c>
      <c r="H23" s="12"/>
      <c r="I23" s="137" t="str">
        <f>IFERROR(VLOOKUP(F23,Productos!$B$3:$D$10,3,FALSE)," ")</f>
        <v xml:space="preserve"> </v>
      </c>
      <c r="J23" s="137" t="str">
        <f t="shared" si="2"/>
        <v xml:space="preserve"> </v>
      </c>
      <c r="K23" s="54"/>
      <c r="L23" s="138" t="str">
        <f t="shared" si="3"/>
        <v xml:space="preserve"> </v>
      </c>
    </row>
    <row r="24" spans="1:12" x14ac:dyDescent="0.3">
      <c r="K24" s="1"/>
    </row>
    <row r="25" spans="1:12" x14ac:dyDescent="0.3">
      <c r="I25" s="88" t="s">
        <v>87</v>
      </c>
      <c r="J25" s="29">
        <v>21</v>
      </c>
      <c r="K25" s="31" t="s">
        <v>77</v>
      </c>
      <c r="L25" s="139">
        <f>SUM(L12:L23)</f>
        <v>1729</v>
      </c>
    </row>
    <row r="26" spans="1:12" x14ac:dyDescent="0.3">
      <c r="F26" s="64" t="s">
        <v>104</v>
      </c>
      <c r="G26" s="24"/>
      <c r="H26" s="24"/>
      <c r="I26" s="24"/>
      <c r="J26" s="24"/>
      <c r="K26" s="30" t="s">
        <v>88</v>
      </c>
      <c r="L26" s="142">
        <f>(J25/100)*L25</f>
        <v>363.09</v>
      </c>
    </row>
    <row r="27" spans="1:12" ht="18" x14ac:dyDescent="0.35">
      <c r="F27" s="97"/>
      <c r="G27" s="98"/>
      <c r="H27" s="98"/>
      <c r="I27" s="99"/>
      <c r="J27" s="24"/>
      <c r="K27" s="89" t="s">
        <v>106</v>
      </c>
      <c r="L27" s="143">
        <f>L25+L26</f>
        <v>2092.09</v>
      </c>
    </row>
    <row r="28" spans="1:12" x14ac:dyDescent="0.3">
      <c r="F28" s="100"/>
      <c r="G28" s="101"/>
      <c r="H28" s="101"/>
      <c r="I28" s="102"/>
      <c r="J28" s="24"/>
      <c r="K28" s="24"/>
      <c r="L28" s="24"/>
    </row>
    <row r="29" spans="1:12" x14ac:dyDescent="0.3">
      <c r="F29" s="103"/>
      <c r="G29" s="104"/>
      <c r="H29" s="104"/>
      <c r="I29" s="105"/>
      <c r="J29" s="24"/>
      <c r="K29" s="24"/>
      <c r="L29" s="24"/>
    </row>
    <row r="30" spans="1:12" x14ac:dyDescent="0.3">
      <c r="F30" s="24"/>
      <c r="G30" s="24"/>
      <c r="H30" s="24"/>
      <c r="I30" s="24"/>
      <c r="J30" s="24"/>
      <c r="K30" s="24"/>
      <c r="L30" s="24"/>
    </row>
    <row r="31" spans="1:12" x14ac:dyDescent="0.3">
      <c r="F31" s="24"/>
      <c r="G31" s="24"/>
      <c r="H31" s="24"/>
      <c r="I31" s="24"/>
      <c r="J31" s="24"/>
      <c r="K31" s="24"/>
      <c r="L31" s="24"/>
    </row>
  </sheetData>
  <mergeCells count="3">
    <mergeCell ref="J6:L6"/>
    <mergeCell ref="H4:I5"/>
    <mergeCell ref="F27:I29"/>
  </mergeCells>
  <hyperlinks>
    <hyperlink ref="D15" r:id="rId1" xr:uid="{0F79A798-7866-428B-8F26-9F85BAF052A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Productos</vt:lpstr>
      <vt:lpstr>Clientes</vt:lpstr>
      <vt:lpstr>Oferta</vt:lpstr>
      <vt:lpstr>Pedido</vt:lpstr>
      <vt:lpstr>Albaran</vt:lpstr>
      <vt:lpstr>factura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</cp:lastModifiedBy>
  <cp:revision/>
  <dcterms:created xsi:type="dcterms:W3CDTF">2018-10-22T07:09:45Z</dcterms:created>
  <dcterms:modified xsi:type="dcterms:W3CDTF">2018-11-10T10:31:40Z</dcterms:modified>
  <cp:category/>
  <cp:contentStatus/>
</cp:coreProperties>
</file>