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ederico.murphy\Documents\Stock Exchange\pull_arg_stock\data\outputs\"/>
    </mc:Choice>
  </mc:AlternateContent>
  <xr:revisionPtr revIDLastSave="0" documentId="13_ncr:1_{B2BBC0A0-2B5B-43BB-96F1-79D1B110281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f_mep" sheetId="3" r:id="rId1"/>
    <sheet name="FF" sheetId="2" r:id="rId2"/>
    <sheet name="ccl" sheetId="6" r:id="rId3"/>
    <sheet name="ejemplito" sheetId="9" r:id="rId4"/>
    <sheet name="bid_ask_price" sheetId="10" r:id="rId5"/>
  </sheets>
  <definedNames>
    <definedName name="_xlnm._FilterDatabase" localSheetId="4" hidden="1">bid_ask_price!$H$12:$I$21</definedName>
    <definedName name="_xlchart.v1.0" hidden="1">FF!$O$14:$O$17</definedName>
    <definedName name="_xlchart.v1.1" hidden="1">FF!$P$14:$P$17</definedName>
    <definedName name="_xlchart.v1.2" hidden="1">ejemplito!$K$3:$K$6</definedName>
    <definedName name="_xlchart.v1.3" hidden="1">ejemplito!$L$3:$L$6</definedName>
    <definedName name="_xlchart.v1.4" hidden="1">FF!$Q$13:$Q$16</definedName>
    <definedName name="_xlchart.v1.5" hidden="1">FF!$R$13:$R$16</definedName>
    <definedName name="_xlchart.v1.6" hidden="1">ejemplito!$K$3:$K$6</definedName>
    <definedName name="_xlchart.v1.7" hidden="1">ejemplito!$L$3:$L$6</definedName>
    <definedName name="_xlchart.v1.8" hidden="1">ejemplito!$K$3:$K$6</definedName>
    <definedName name="_xlchart.v1.9" hidden="1">ejemplito!$L$3:$L$6</definedName>
    <definedName name="ExternalData_1" localSheetId="0" hidden="1">df_mep!$A$1:$O$29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3" l="1"/>
  <c r="J24" i="3"/>
  <c r="J13" i="3"/>
  <c r="J19" i="3"/>
  <c r="J15" i="3"/>
  <c r="P15" i="3" s="1"/>
  <c r="J25" i="3"/>
  <c r="J27" i="3"/>
  <c r="P27" i="3" s="1"/>
  <c r="J4" i="3"/>
  <c r="J3" i="3"/>
  <c r="J22" i="3"/>
  <c r="J6" i="3"/>
  <c r="J12" i="3"/>
  <c r="J18" i="3"/>
  <c r="P18" i="3" s="1"/>
  <c r="J26" i="3"/>
  <c r="J17" i="3"/>
  <c r="P17" i="3" s="1"/>
  <c r="J11" i="3"/>
  <c r="J9" i="3"/>
  <c r="J5" i="3"/>
  <c r="J2" i="3"/>
  <c r="J23" i="3"/>
  <c r="J29" i="3"/>
  <c r="J14" i="3"/>
  <c r="J10" i="3"/>
  <c r="J7" i="3"/>
  <c r="J20" i="3"/>
  <c r="J16" i="3"/>
  <c r="J8" i="3"/>
  <c r="J28" i="3"/>
  <c r="L21" i="3"/>
  <c r="L24" i="3"/>
  <c r="P24" i="3" s="1"/>
  <c r="L13" i="3"/>
  <c r="P13" i="3" s="1"/>
  <c r="L19" i="3"/>
  <c r="P19" i="3" s="1"/>
  <c r="L15" i="3"/>
  <c r="L25" i="3"/>
  <c r="L27" i="3"/>
  <c r="L4" i="3"/>
  <c r="L3" i="3"/>
  <c r="P3" i="3" s="1"/>
  <c r="L22" i="3"/>
  <c r="P22" i="3" s="1"/>
  <c r="L6" i="3"/>
  <c r="P6" i="3" s="1"/>
  <c r="L12" i="3"/>
  <c r="P12" i="3" s="1"/>
  <c r="L18" i="3"/>
  <c r="L26" i="3"/>
  <c r="P26" i="3" s="1"/>
  <c r="L17" i="3"/>
  <c r="L11" i="3"/>
  <c r="L9" i="3"/>
  <c r="P9" i="3" s="1"/>
  <c r="L5" i="3"/>
  <c r="P5" i="3" s="1"/>
  <c r="L2" i="3"/>
  <c r="P2" i="3" s="1"/>
  <c r="L23" i="3"/>
  <c r="P23" i="3" s="1"/>
  <c r="L29" i="3"/>
  <c r="L14" i="3"/>
  <c r="L10" i="3"/>
  <c r="L7" i="3"/>
  <c r="L20" i="3"/>
  <c r="P20" i="3" s="1"/>
  <c r="L16" i="3"/>
  <c r="P16" i="3" s="1"/>
  <c r="L8" i="3"/>
  <c r="L28" i="3"/>
  <c r="P28" i="3" s="1"/>
  <c r="P25" i="3"/>
  <c r="P29" i="3"/>
  <c r="P14" i="3"/>
  <c r="P10" i="3"/>
  <c r="P8" i="3"/>
  <c r="M3" i="2"/>
  <c r="F6" i="9"/>
  <c r="U13" i="9"/>
  <c r="U14" i="9" s="1"/>
  <c r="U15" i="9" s="1"/>
  <c r="R13" i="9"/>
  <c r="U4" i="9"/>
  <c r="E11" i="10"/>
  <c r="E12" i="10"/>
  <c r="E10" i="10"/>
  <c r="G12" i="9"/>
  <c r="G13" i="9"/>
  <c r="F14" i="9"/>
  <c r="E14" i="9"/>
  <c r="G14" i="9" s="1"/>
  <c r="U5" i="9"/>
  <c r="U6" i="9" s="1"/>
  <c r="P21" i="3" l="1"/>
  <c r="P7" i="3"/>
  <c r="P11" i="3"/>
  <c r="P4" i="3"/>
  <c r="I8" i="6"/>
  <c r="D6" i="2"/>
  <c r="C6" i="2" s="1"/>
  <c r="D12" i="9" s="1"/>
  <c r="D5" i="2"/>
  <c r="G4" i="9"/>
  <c r="G5" i="9"/>
  <c r="U7" i="9"/>
  <c r="U8" i="9" s="1"/>
  <c r="U9" i="9" s="1"/>
  <c r="K24" i="9"/>
  <c r="F7" i="9"/>
  <c r="F15" i="9"/>
  <c r="E15" i="9"/>
  <c r="R14" i="9"/>
  <c r="R15" i="9" s="1"/>
  <c r="R16" i="9" s="1"/>
  <c r="R17" i="9" s="1"/>
  <c r="R18" i="9" s="1"/>
  <c r="U16" i="9"/>
  <c r="U17" i="9" s="1"/>
  <c r="U18" i="9" s="1"/>
  <c r="E6" i="9"/>
  <c r="R5" i="9"/>
  <c r="R6" i="9" s="1"/>
  <c r="R7" i="9" s="1"/>
  <c r="R8" i="9" s="1"/>
  <c r="R9" i="9" s="1"/>
  <c r="R10" i="9" s="1"/>
  <c r="R11" i="9" s="1"/>
  <c r="E7" i="9"/>
  <c r="L5" i="9" a="1"/>
  <c r="L5" i="9" s="1"/>
  <c r="C5" i="2" l="1"/>
  <c r="D4" i="9" s="1"/>
  <c r="K9" i="6"/>
  <c r="K8" i="6"/>
  <c r="I9" i="6"/>
  <c r="I16" i="6" s="1"/>
  <c r="D13" i="9"/>
  <c r="Q9" i="9"/>
  <c r="K6" i="9"/>
  <c r="K5" i="9"/>
  <c r="T17" i="9"/>
  <c r="Q14" i="9"/>
  <c r="T6" i="9"/>
  <c r="D33" i="2"/>
  <c r="G6" i="9"/>
  <c r="G7" i="9"/>
  <c r="G15" i="9"/>
  <c r="L3" i="9" a="1"/>
  <c r="L3" i="9" s="1"/>
  <c r="R19" i="9"/>
  <c r="R20" i="9" s="1"/>
  <c r="U10" i="9"/>
  <c r="U11" i="9" s="1"/>
  <c r="U19" i="9"/>
  <c r="U20" i="9" s="1"/>
  <c r="F23" i="2"/>
  <c r="G23" i="2" s="1"/>
  <c r="H23" i="2" s="1"/>
  <c r="I23" i="2" s="1"/>
  <c r="F14" i="2"/>
  <c r="G14" i="2" s="1"/>
  <c r="H14" i="2" s="1"/>
  <c r="I14" i="2" s="1"/>
  <c r="K16" i="6" l="1"/>
  <c r="T15" i="9"/>
  <c r="Q18" i="9"/>
  <c r="T8" i="9"/>
  <c r="Q5" i="9"/>
  <c r="D5" i="9"/>
  <c r="T9" i="9" s="1"/>
  <c r="K4" i="9"/>
  <c r="K3" i="9"/>
  <c r="Q15" i="9"/>
  <c r="T5" i="9"/>
  <c r="Q8" i="9"/>
  <c r="T18" i="9"/>
  <c r="Q16" i="2"/>
  <c r="R16" i="2" s="1"/>
  <c r="Q15" i="2"/>
  <c r="R15" i="2" s="1"/>
  <c r="Q6" i="9" l="1"/>
  <c r="Q17" i="9"/>
  <c r="T14" i="9"/>
  <c r="Q14" i="2"/>
  <c r="R14" i="2" s="1"/>
  <c r="Q19" i="2" s="1"/>
  <c r="S19" i="2" s="1"/>
  <c r="Q13" i="2"/>
  <c r="R13" i="2" s="1"/>
  <c r="D17" i="2"/>
  <c r="C27" i="2"/>
  <c r="E27" i="2" s="1"/>
  <c r="C28" i="2"/>
  <c r="E28" i="2" s="1"/>
  <c r="D42" i="2"/>
  <c r="C25" i="2"/>
  <c r="E25" i="2" s="1"/>
  <c r="D44" i="2"/>
  <c r="D41" i="2"/>
  <c r="C26" i="2"/>
  <c r="E26" i="2" s="1"/>
  <c r="D18" i="2"/>
  <c r="D35" i="2"/>
  <c r="D34" i="2"/>
  <c r="D15" i="2"/>
  <c r="D16" i="2"/>
  <c r="D36" i="2"/>
  <c r="D43" i="2"/>
  <c r="F27" i="2" l="1"/>
  <c r="G27" i="2" s="1"/>
  <c r="H27" i="2" s="1"/>
  <c r="I27" i="2" s="1"/>
  <c r="F26" i="2"/>
  <c r="G26" i="2" s="1"/>
  <c r="F28" i="2"/>
  <c r="G28" i="2" s="1"/>
  <c r="H28" i="2" s="1"/>
  <c r="I28" i="2" s="1"/>
  <c r="F25" i="2"/>
  <c r="G25" i="2" s="1"/>
  <c r="H25" i="2" s="1"/>
  <c r="I25" i="2" s="1"/>
  <c r="E33" i="2"/>
  <c r="E41" i="2" s="1"/>
  <c r="E24" i="2"/>
  <c r="D2" i="2" s="1"/>
  <c r="E35" i="2" l="1"/>
  <c r="E43" i="2" s="1"/>
  <c r="E45" i="2" s="1"/>
  <c r="G34" i="2"/>
  <c r="I42" i="2" s="1"/>
  <c r="F24" i="2"/>
  <c r="F45" i="2" s="1"/>
  <c r="H26" i="2"/>
  <c r="G24" i="2"/>
  <c r="G45" i="2" s="1"/>
  <c r="G36" i="2" l="1"/>
  <c r="I44" i="2" s="1"/>
  <c r="H24" i="2"/>
  <c r="H45" i="2" s="1"/>
  <c r="I26" i="2"/>
  <c r="I24" i="2" s="1"/>
  <c r="I45" i="2" l="1"/>
  <c r="E46" i="2" s="1"/>
  <c r="E47" i="2" s="1"/>
  <c r="E49" i="2" s="1"/>
  <c r="E51" i="2" l="1"/>
  <c r="E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054AD-9948-4C23-B93A-679D824983B2}" keepAlive="1" name="Query - df_mep" description="Connection to the 'df_mep' query in the workbook." type="5" refreshedVersion="8" background="1" saveData="1">
    <dbPr connection="Provider=Microsoft.Mashup.OleDb.1;Data Source=$Workbook$;Location=df_mep;Extended Properties=&quot;&quot;" command="SELECT * FROM [df_mep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<sst xmlns="http://schemas.openxmlformats.org/spreadsheetml/2006/main" count="157" uniqueCount="119">
  <si>
    <t>base_symbol</t>
  </si>
  <si>
    <t>shortName</t>
  </si>
  <si>
    <t>bid</t>
  </si>
  <si>
    <t>ask</t>
  </si>
  <si>
    <t>MEP</t>
  </si>
  <si>
    <t>AAPL</t>
  </si>
  <si>
    <t>AMD</t>
  </si>
  <si>
    <t>AMZN</t>
  </si>
  <si>
    <t>BABA</t>
  </si>
  <si>
    <t>KO</t>
  </si>
  <si>
    <t>MELI</t>
  </si>
  <si>
    <t>MSFT</t>
  </si>
  <si>
    <t>NVDA</t>
  </si>
  <si>
    <t>TSLA</t>
  </si>
  <si>
    <t>VIST</t>
  </si>
  <si>
    <t>SPY</t>
  </si>
  <si>
    <t>FF</t>
  </si>
  <si>
    <t>MCD</t>
  </si>
  <si>
    <t>PBR</t>
  </si>
  <si>
    <t>DIA</t>
  </si>
  <si>
    <t>FF USD</t>
  </si>
  <si>
    <t>Rend</t>
  </si>
  <si>
    <t>INTC</t>
  </si>
  <si>
    <t>dia</t>
  </si>
  <si>
    <t>compro T2</t>
  </si>
  <si>
    <t>inflacion</t>
  </si>
  <si>
    <t>diaria</t>
  </si>
  <si>
    <t>$/USD</t>
  </si>
  <si>
    <t>NPV</t>
  </si>
  <si>
    <t>vendo T2</t>
  </si>
  <si>
    <t>liq compra</t>
  </si>
  <si>
    <t>liq venta</t>
  </si>
  <si>
    <t>Proyeccion precios</t>
  </si>
  <si>
    <t>Comision</t>
  </si>
  <si>
    <t>Compras + ventas</t>
  </si>
  <si>
    <t>Calendario liquidaciones</t>
  </si>
  <si>
    <t>Inversion $</t>
  </si>
  <si>
    <t>Inversion USD</t>
  </si>
  <si>
    <t>TEM</t>
  </si>
  <si>
    <t>TED</t>
  </si>
  <si>
    <t>TEA</t>
  </si>
  <si>
    <t>JNJ</t>
  </si>
  <si>
    <t>WBA</t>
  </si>
  <si>
    <t>QQQ</t>
  </si>
  <si>
    <t>XLE</t>
  </si>
  <si>
    <t>open_BA</t>
  </si>
  <si>
    <t>bid_BA</t>
  </si>
  <si>
    <t>ask_BA</t>
  </si>
  <si>
    <t>open_D_BA</t>
  </si>
  <si>
    <t>bid_D_BA</t>
  </si>
  <si>
    <t>ask_D_BA</t>
  </si>
  <si>
    <t>volume_BA</t>
  </si>
  <si>
    <t>volume_D_BA</t>
  </si>
  <si>
    <t>Johnson &amp; Johnson</t>
  </si>
  <si>
    <t>DIS</t>
  </si>
  <si>
    <t>GOOGL</t>
  </si>
  <si>
    <t>JPM</t>
  </si>
  <si>
    <t>PEP</t>
  </si>
  <si>
    <t>PFE</t>
  </si>
  <si>
    <t>WMT</t>
  </si>
  <si>
    <t>EWZ</t>
  </si>
  <si>
    <t>can_use</t>
  </si>
  <si>
    <t>BRKB</t>
  </si>
  <si>
    <t>META</t>
  </si>
  <si>
    <t/>
  </si>
  <si>
    <t>CONTADO CON LIQUI</t>
  </si>
  <si>
    <t>Compra</t>
  </si>
  <si>
    <t>Venta</t>
  </si>
  <si>
    <t>volume_money_BA</t>
  </si>
  <si>
    <t>volume_money_D_BA</t>
  </si>
  <si>
    <t>ARS</t>
  </si>
  <si>
    <t>USD</t>
  </si>
  <si>
    <t>ARS/USD</t>
  </si>
  <si>
    <t>midpoint</t>
  </si>
  <si>
    <t>USD/ARS</t>
  </si>
  <si>
    <t>rend</t>
  </si>
  <si>
    <t>amount</t>
  </si>
  <si>
    <t>price</t>
  </si>
  <si>
    <t>BID</t>
  </si>
  <si>
    <t>ASK</t>
  </si>
  <si>
    <t>MID</t>
  </si>
  <si>
    <t>This is the maximum price that a buyer is willing to pay</t>
  </si>
  <si>
    <t>This is the minimum price at which a seller is willing to sell</t>
  </si>
  <si>
    <t>USD/ARS bid</t>
  </si>
  <si>
    <t>USD/ARS ask</t>
  </si>
  <si>
    <t>Apple Inc.</t>
  </si>
  <si>
    <t>Advanced Micro Devices, Inc.</t>
  </si>
  <si>
    <t>Amazon.com, Inc.</t>
  </si>
  <si>
    <t>Alibaba Group Holding Limited</t>
  </si>
  <si>
    <t>Walt Disney Company (The)</t>
  </si>
  <si>
    <t>Alphabet Inc.</t>
  </si>
  <si>
    <t>Intel Corporation</t>
  </si>
  <si>
    <t>JP Morgan Chase &amp; Co.</t>
  </si>
  <si>
    <t>Coca-Cola Company (The)</t>
  </si>
  <si>
    <t>McDonald's Corporation</t>
  </si>
  <si>
    <t>MercadoLibre, Inc.</t>
  </si>
  <si>
    <t>Meta Platforms, Inc.</t>
  </si>
  <si>
    <t>Microsoft Corporation</t>
  </si>
  <si>
    <t>NVIDIA Corporation</t>
  </si>
  <si>
    <t>Petroleo Brasileiro S.A.- Petro</t>
  </si>
  <si>
    <t>Pepsico, Inc.</t>
  </si>
  <si>
    <t>Pfizer, Inc.</t>
  </si>
  <si>
    <t>Tesla, Inc.</t>
  </si>
  <si>
    <t>Vista Energy S.A.B. de C.V.</t>
  </si>
  <si>
    <t>Walgreens Boots Alliance, Inc.</t>
  </si>
  <si>
    <t>Walmart Inc.</t>
  </si>
  <si>
    <t>SPDR Dow Jones Industrial Avera</t>
  </si>
  <si>
    <t>Invesco QQQ Trust, Series 1</t>
  </si>
  <si>
    <t>SPDR S&amp;P 500</t>
  </si>
  <si>
    <t>SPDR Select Sector Fund - Energ</t>
  </si>
  <si>
    <t>ALTO</t>
  </si>
  <si>
    <t>BAJO</t>
  </si>
  <si>
    <t>mensual</t>
  </si>
  <si>
    <t>queremos que este sea</t>
  </si>
  <si>
    <t>-</t>
  </si>
  <si>
    <t>precio</t>
  </si>
  <si>
    <t>especia</t>
  </si>
  <si>
    <t>metrica</t>
  </si>
  <si>
    <t>Max 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</si>
</sst>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  <numFmt numFmtId="168" formatCode="[$USD]\ #,##0.00"/>
    <numFmt numFmtId="169" formatCode="[$USD]\ #,##0"/>
    <numFmt numFmtId="170" formatCode="0\ &quot;V.N.&quot;"/>
    <numFmt numFmtId="171" formatCode="0.00000000000000%"/>
    <numFmt numFmtId="172" formatCode="[$USD]\ #,##0.00_);\([$USD]\ #,##0.00\)"/>
    <numFmt numFmtId="173" formatCode="0.00\ &quot;V.N.&quot;"/>
    <numFmt numFmtId="174" formatCode="[$USD]\ #,##0_);\([$USD]\ #,##0\)"/>
    <numFmt numFmtId="175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4"/>
      <color rgb="FF079A7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79A7D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44" fontId="0" fillId="0" borderId="0" xfId="2" applyFont="1"/>
    <xf numFmtId="164" fontId="0" fillId="0" borderId="0" xfId="2" applyNumberFormat="1" applyFont="1"/>
    <xf numFmtId="165" fontId="0" fillId="0" borderId="0" xfId="2" applyNumberFormat="1" applyFont="1"/>
    <xf numFmtId="166" fontId="0" fillId="0" borderId="0" xfId="1" applyNumberFormat="1" applyFont="1"/>
    <xf numFmtId="169" fontId="0" fillId="0" borderId="0" xfId="0" applyNumberForma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center"/>
    </xf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left"/>
    </xf>
    <xf numFmtId="10" fontId="0" fillId="0" borderId="0" xfId="3" applyNumberFormat="1" applyFont="1" applyAlignment="1">
      <alignment horizontal="left"/>
    </xf>
    <xf numFmtId="10" fontId="0" fillId="0" borderId="0" xfId="3" applyNumberFormat="1" applyFont="1"/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2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10" fontId="2" fillId="0" borderId="0" xfId="3" applyNumberFormat="1" applyFont="1" applyAlignment="1">
      <alignment horizontal="center"/>
    </xf>
    <xf numFmtId="0" fontId="4" fillId="5" borderId="0" xfId="0" applyFont="1" applyFill="1"/>
    <xf numFmtId="168" fontId="0" fillId="4" borderId="0" xfId="0" applyNumberFormat="1" applyFill="1" applyAlignment="1">
      <alignment horizontal="center"/>
    </xf>
    <xf numFmtId="10" fontId="0" fillId="4" borderId="0" xfId="3" applyNumberFormat="1" applyFont="1" applyFill="1"/>
    <xf numFmtId="171" fontId="0" fillId="0" borderId="0" xfId="0" applyNumberFormat="1"/>
    <xf numFmtId="0" fontId="0" fillId="3" borderId="1" xfId="0" applyFill="1" applyBorder="1" applyAlignment="1">
      <alignment vertical="center"/>
    </xf>
    <xf numFmtId="172" fontId="0" fillId="0" borderId="0" xfId="2" applyNumberFormat="1" applyFont="1"/>
    <xf numFmtId="167" fontId="0" fillId="0" borderId="0" xfId="0" applyNumberFormat="1"/>
    <xf numFmtId="167" fontId="0" fillId="0" borderId="0" xfId="3" applyNumberFormat="1" applyFont="1"/>
    <xf numFmtId="0" fontId="0" fillId="0" borderId="0" xfId="1" applyNumberFormat="1" applyFont="1"/>
    <xf numFmtId="0" fontId="5" fillId="0" borderId="0" xfId="0" applyFont="1"/>
    <xf numFmtId="0" fontId="0" fillId="0" borderId="2" xfId="0" applyBorder="1"/>
    <xf numFmtId="0" fontId="6" fillId="0" borderId="0" xfId="0" applyFont="1" applyAlignment="1">
      <alignment horizontal="right" vertical="center"/>
    </xf>
    <xf numFmtId="164" fontId="7" fillId="0" borderId="0" xfId="2" applyNumberFormat="1" applyFont="1" applyBorder="1"/>
    <xf numFmtId="0" fontId="0" fillId="6" borderId="0" xfId="0" applyFill="1"/>
    <xf numFmtId="165" fontId="4" fillId="7" borderId="3" xfId="2" applyNumberFormat="1" applyFont="1" applyFill="1" applyBorder="1"/>
    <xf numFmtId="44" fontId="0" fillId="0" borderId="0" xfId="0" applyNumberFormat="1"/>
    <xf numFmtId="11" fontId="0" fillId="0" borderId="0" xfId="2" applyNumberFormat="1" applyFont="1"/>
    <xf numFmtId="9" fontId="0" fillId="0" borderId="0" xfId="3" applyFont="1"/>
    <xf numFmtId="172" fontId="0" fillId="0" borderId="0" xfId="0" applyNumberFormat="1"/>
    <xf numFmtId="173" fontId="0" fillId="0" borderId="0" xfId="2" applyNumberFormat="1" applyFont="1"/>
    <xf numFmtId="0" fontId="2" fillId="8" borderId="0" xfId="0" applyFont="1" applyFill="1"/>
    <xf numFmtId="10" fontId="2" fillId="8" borderId="0" xfId="3" applyNumberFormat="1" applyFont="1" applyFill="1"/>
    <xf numFmtId="174" fontId="0" fillId="0" borderId="0" xfId="0" applyNumberFormat="1"/>
    <xf numFmtId="9" fontId="0" fillId="0" borderId="0" xfId="0" applyNumberFormat="1"/>
    <xf numFmtId="0" fontId="2" fillId="0" borderId="0" xfId="0" applyFont="1"/>
    <xf numFmtId="0" fontId="8" fillId="0" borderId="0" xfId="2" applyNumberFormat="1" applyFont="1" applyAlignment="1">
      <alignment horizontal="center"/>
    </xf>
    <xf numFmtId="44" fontId="8" fillId="0" borderId="0" xfId="2" applyFont="1" applyAlignment="1">
      <alignment horizontal="center"/>
    </xf>
    <xf numFmtId="0" fontId="9" fillId="0" borderId="0" xfId="2" applyNumberFormat="1" applyFont="1" applyAlignment="1">
      <alignment horizontal="center"/>
    </xf>
    <xf numFmtId="44" fontId="9" fillId="0" borderId="0" xfId="2" applyFont="1" applyAlignment="1">
      <alignment horizontal="center"/>
    </xf>
    <xf numFmtId="175" fontId="0" fillId="0" borderId="0" xfId="3" applyNumberFormat="1" applyFont="1"/>
    <xf numFmtId="172" fontId="0" fillId="0" borderId="3" xfId="2" applyNumberFormat="1" applyFont="1" applyBorder="1"/>
    <xf numFmtId="165" fontId="0" fillId="0" borderId="3" xfId="2" applyNumberFormat="1" applyFont="1" applyBorder="1"/>
    <xf numFmtId="0" fontId="0" fillId="2" borderId="4" xfId="0" applyFill="1" applyBorder="1"/>
    <xf numFmtId="168" fontId="0" fillId="0" borderId="4" xfId="0" applyNumberFormat="1" applyBorder="1" applyAlignment="1">
      <alignment horizontal="center"/>
    </xf>
    <xf numFmtId="44" fontId="0" fillId="0" borderId="0" xfId="2" applyFont="1" applyAlignment="1">
      <alignment horizontal="center"/>
    </xf>
    <xf numFmtId="167" fontId="0" fillId="4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.0_);_(&quot;$&quot;* \(#,##0.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numFmt numFmtId="166" formatCode="_(* #,##0_);_(* \(#,##0\);_(* &quot;-&quot;??_);_(@_)"/>
    </dxf>
    <dxf>
      <numFmt numFmtId="172" formatCode="[$USD]\ #,##0.00_);\([$USD]\ #,##0.00\)"/>
    </dxf>
    <dxf>
      <numFmt numFmtId="172" formatCode="[$USD]\ #,##0.00_);\([$USD]\ #,##0.00\)"/>
    </dxf>
    <dxf>
      <numFmt numFmtId="172" formatCode="[$USD]\ #,##0.00_);\([$USD]\ #,##0.00\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79A7D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boxWhisker" uniqueId="{D9B65E9E-6A65-4197-B2CE-E209F9D1444C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plotArea>
      <cx:plotAreaRegion>
        <cx:series layoutId="boxWhisker" uniqueId="{7CF83780-4E9B-4BE0-9825-11EB832D2E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7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462641</xdr:colOff>
      <xdr:row>20</xdr:row>
      <xdr:rowOff>0</xdr:rowOff>
    </xdr:from>
    <xdr:to>
      <xdr:col>18</xdr:col>
      <xdr:colOff>8004</xdr:colOff>
      <xdr:row>40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4DF5995-3D94-48EC-8401-59C6AF4E7E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23320" y="3850821"/>
              <a:ext cx="3246505" cy="390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13</xdr:col>
      <xdr:colOff>0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3F5AC8-429C-7F5D-8AA5-64BE511202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1333500"/>
              <a:ext cx="16859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C096D3-0DE4-4285-8E91-BC336AD69BF9}" autoFormatId="16" applyNumberFormats="0" applyBorderFormats="0" applyFontFormats="0" applyPatternFormats="0" applyAlignmentFormats="0" applyWidthHeightFormats="0">
  <queryTableRefresh nextId="24" unboundColumnsRight="1">
    <queryTableFields count="16">
      <queryTableField id="1" name="base_symbol" tableColumnId="1"/>
      <queryTableField id="2" name="shortName" tableColumnId="2"/>
      <queryTableField id="3" name="open_BA" tableColumnId="3"/>
      <queryTableField id="5" name="ask_BA" tableColumnId="5"/>
      <queryTableField id="4" name="bid_BA" tableColumnId="4"/>
      <queryTableField id="6" name="open_D_BA" tableColumnId="6"/>
      <queryTableField id="7" name="bid_D_BA" tableColumnId="7"/>
      <queryTableField id="8" name="ask_D_BA" tableColumnId="8"/>
      <queryTableField id="9" name="volume_BA" tableColumnId="9"/>
      <queryTableField id="19" dataBound="0" tableColumnId="19"/>
      <queryTableField id="10" name="volume_D_BA" tableColumnId="10"/>
      <queryTableField id="20" dataBound="0" tableColumnId="20"/>
      <queryTableField id="11" name="MEP" tableColumnId="11"/>
      <queryTableField id="22" name="USD/ARS ask" tableColumnId="12"/>
      <queryTableField id="23" name="USD/ARS bid" tableColumnId="13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8DBB61-1901-4454-A880-E909C4DDC6A0}" name="df_mep" displayName="df_mep" ref="A1:P29" tableType="queryTable" totalsRowShown="0">
  <autoFilter ref="A1:P29" xr:uid="{8B8DBB61-1901-4454-A880-E909C4DDC6A0}">
    <filterColumn colId="15">
      <filters>
        <filter val="1"/>
      </filters>
    </filterColumn>
  </autoFilter>
  <sortState xmlns:xlrd2="http://schemas.microsoft.com/office/spreadsheetml/2017/richdata2" ref="A2:P29">
    <sortCondition ref="N1:N29"/>
  </sortState>
  <tableColumns count="16">
    <tableColumn id="1" xr3:uid="{A25F7CF4-0962-4BFF-82D4-B91C2C7964B0}" uniqueName="1" name="base_symbol" queryTableFieldId="1" dataDxfId="15"/>
    <tableColumn id="2" xr3:uid="{680E661D-B33C-43EC-A2F8-7DE2B25AB53D}" uniqueName="2" name="shortName" queryTableFieldId="2" dataDxfId="14"/>
    <tableColumn id="3" xr3:uid="{83E401EF-CA38-4C5C-A9FF-962A36DD3FD5}" uniqueName="3" name="open_BA" queryTableFieldId="3" dataDxfId="13" dataCellStyle="Currency"/>
    <tableColumn id="5" xr3:uid="{2BC89932-DE3B-475E-A284-3F70D0307103}" uniqueName="5" name="ask_BA" queryTableFieldId="5" dataDxfId="12" dataCellStyle="Currency"/>
    <tableColumn id="4" xr3:uid="{58FF5E4C-2C08-47E3-A3C6-F1F101C404FA}" uniqueName="4" name="bid_BA" queryTableFieldId="4" dataDxfId="11" dataCellStyle="Currency"/>
    <tableColumn id="6" xr3:uid="{C7E85038-7B79-484C-9C34-12FE33F87403}" uniqueName="6" name="open_D_BA" queryTableFieldId="6" dataDxfId="10" dataCellStyle="Currency"/>
    <tableColumn id="7" xr3:uid="{1BCD4DAD-C727-4ABA-9ED9-1880E097BB57}" uniqueName="7" name="bid_D_BA" queryTableFieldId="7" dataDxfId="9" dataCellStyle="Currency"/>
    <tableColumn id="8" xr3:uid="{1AFA65CA-9519-4DE8-AF77-03A5843F185D}" uniqueName="8" name="ask_D_BA" queryTableFieldId="8" dataDxfId="8" dataCellStyle="Currency"/>
    <tableColumn id="9" xr3:uid="{66E9ABB2-EA57-4EE9-8D86-ECB6893B2BE6}" uniqueName="9" name="volume_BA" queryTableFieldId="9" dataDxfId="7" dataCellStyle="Comma"/>
    <tableColumn id="19" xr3:uid="{54034E5B-3B98-4682-95E7-881F79CC0721}" uniqueName="19" name="volume_money_BA" queryTableFieldId="19" dataDxfId="6" dataCellStyle="Comma">
      <calculatedColumnFormula>df_mep[[#This Row],[volume_BA]]*df_mep[[#This Row],[open_BA]]</calculatedColumnFormula>
    </tableColumn>
    <tableColumn id="10" xr3:uid="{AC67D152-9878-45CA-BDE7-D61094A9B9B6}" uniqueName="10" name="volume_D_BA" queryTableFieldId="10" dataDxfId="5" dataCellStyle="Comma"/>
    <tableColumn id="20" xr3:uid="{96073C08-0EF1-4741-887D-5EB2E64F0745}" uniqueName="20" name="volume_money_D_BA" queryTableFieldId="20" dataDxfId="4" dataCellStyle="Comma">
      <calculatedColumnFormula>df_mep[[#This Row],[volume_D_BA]]*df_mep[[#This Row],[open_D_BA]]</calculatedColumnFormula>
    </tableColumn>
    <tableColumn id="11" xr3:uid="{772FC475-4993-4BE3-A46F-835573978718}" uniqueName="11" name="MEP" queryTableFieldId="11" dataDxfId="3" dataCellStyle="Currency"/>
    <tableColumn id="12" xr3:uid="{A463C459-836D-49B5-B392-3CCAA221898A}" uniqueName="12" name="USD/ARS ask" queryTableFieldId="22" dataDxfId="2" dataCellStyle="Currency"/>
    <tableColumn id="13" xr3:uid="{524FD8D2-F7AD-4F71-8D1C-47D9F93715DF}" uniqueName="13" name="USD/ARS bid" queryTableFieldId="23" dataDxfId="1" dataCellStyle="Currency"/>
    <tableColumn id="16" xr3:uid="{65B5EC3D-FDD4-43A5-ABBE-2380967338C3}" uniqueName="16" name="can_use" queryTableFieldId="16" dataDxfId="0" dataCellStyle="Comma">
      <calculatedColumnFormula>IF(AND(
df_mep[[#This Row],[volume_money_BA]]&gt;80000,
df_mep[[#This Row],[volume_money_D_BA]]&gt;2000),1,0)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0FED-9204-44C6-AC20-83C7AE85F5CC}">
  <dimension ref="A1:Q29"/>
  <sheetViews>
    <sheetView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5" x14ac:dyDescent="0.25"/>
  <cols>
    <col min="1" max="2" width="12.28515625" bestFit="1" customWidth="1"/>
    <col min="3" max="3" width="12.28515625" style="4" bestFit="1" customWidth="1"/>
    <col min="4" max="5" width="11" style="4" bestFit="1" customWidth="1"/>
    <col min="6" max="6" width="12.28515625" style="29" bestFit="1" customWidth="1"/>
    <col min="7" max="8" width="11.85546875" style="29" bestFit="1" customWidth="1"/>
    <col min="9" max="12" width="12.28515625" style="5" bestFit="1" customWidth="1"/>
    <col min="13" max="13" width="8.85546875" style="3" bestFit="1" customWidth="1"/>
    <col min="14" max="15" width="12.28515625" style="2" bestFit="1" customWidth="1"/>
    <col min="16" max="16" width="10.5703125" style="30" bestFit="1" customWidth="1"/>
    <col min="17" max="17" width="12.28515625" style="31" bestFit="1" customWidth="1"/>
    <col min="18" max="18" width="13.42578125" bestFit="1" customWidth="1"/>
  </cols>
  <sheetData>
    <row r="1" spans="1:17" x14ac:dyDescent="0.25">
      <c r="A1" t="s">
        <v>0</v>
      </c>
      <c r="B1" t="s">
        <v>1</v>
      </c>
      <c r="C1" s="4" t="s">
        <v>45</v>
      </c>
      <c r="D1" s="4" t="s">
        <v>47</v>
      </c>
      <c r="E1" s="4" t="s">
        <v>46</v>
      </c>
      <c r="F1" s="29" t="s">
        <v>48</v>
      </c>
      <c r="G1" s="29" t="s">
        <v>49</v>
      </c>
      <c r="H1" s="29" t="s">
        <v>50</v>
      </c>
      <c r="I1" s="5" t="s">
        <v>51</v>
      </c>
      <c r="J1" s="5" t="s">
        <v>68</v>
      </c>
      <c r="K1" s="5" t="s">
        <v>52</v>
      </c>
      <c r="L1" s="5" t="s">
        <v>69</v>
      </c>
      <c r="M1" s="3" t="s">
        <v>4</v>
      </c>
      <c r="N1" s="2" t="s">
        <v>84</v>
      </c>
      <c r="O1" s="2" t="s">
        <v>83</v>
      </c>
      <c r="P1" s="32" t="s">
        <v>61</v>
      </c>
      <c r="Q1"/>
    </row>
    <row r="2" spans="1:17" x14ac:dyDescent="0.25">
      <c r="A2" t="s">
        <v>13</v>
      </c>
      <c r="B2" t="s">
        <v>102</v>
      </c>
      <c r="C2" s="4">
        <v>17000</v>
      </c>
      <c r="D2" s="4">
        <v>15332.5</v>
      </c>
      <c r="E2" s="4">
        <v>15311</v>
      </c>
      <c r="F2" s="29">
        <v>19.25</v>
      </c>
      <c r="G2" s="29">
        <v>18.25</v>
      </c>
      <c r="H2" s="29">
        <v>18.45</v>
      </c>
      <c r="I2" s="5">
        <v>70692</v>
      </c>
      <c r="J2" s="5">
        <f>df_mep[[#This Row],[volume_BA]]*df_mep[[#This Row],[open_BA]]</f>
        <v>1201764000</v>
      </c>
      <c r="K2" s="5">
        <v>1124</v>
      </c>
      <c r="L2" s="5">
        <f>df_mep[[#This Row],[volume_D_BA]]*df_mep[[#This Row],[open_D_BA]]</f>
        <v>21637</v>
      </c>
      <c r="M2" s="3">
        <v>883.11688311688317</v>
      </c>
      <c r="N2" s="2">
        <v>840.13698630136992</v>
      </c>
      <c r="O2" s="2">
        <v>829.8644986449865</v>
      </c>
      <c r="P2" s="32">
        <f>IF(AND(
df_mep[[#This Row],[volume_money_BA]]&gt;80000,
df_mep[[#This Row],[volume_money_D_BA]]&gt;2000),1,0)</f>
        <v>1</v>
      </c>
      <c r="Q2"/>
    </row>
    <row r="3" spans="1:17" hidden="1" x14ac:dyDescent="0.25">
      <c r="A3" t="s">
        <v>56</v>
      </c>
      <c r="B3" t="s">
        <v>92</v>
      </c>
      <c r="C3" s="4">
        <v>28900</v>
      </c>
      <c r="D3" s="4">
        <v>27880</v>
      </c>
      <c r="E3" s="4">
        <v>23000</v>
      </c>
      <c r="F3" s="29">
        <v>31.9</v>
      </c>
      <c r="G3" s="29">
        <v>33</v>
      </c>
      <c r="H3" s="29">
        <v>34.9</v>
      </c>
      <c r="I3" s="5">
        <v>7936</v>
      </c>
      <c r="J3" s="5">
        <f>df_mep[[#This Row],[volume_BA]]*df_mep[[#This Row],[open_BA]]</f>
        <v>229350400</v>
      </c>
      <c r="K3" s="5">
        <v>23</v>
      </c>
      <c r="L3" s="5">
        <f>df_mep[[#This Row],[volume_D_BA]]*df_mep[[#This Row],[open_D_BA]]</f>
        <v>733.69999999999993</v>
      </c>
      <c r="M3" s="3">
        <v>905.95611285266466</v>
      </c>
      <c r="N3" s="2">
        <v>844.84848484848487</v>
      </c>
      <c r="O3" s="2">
        <v>659.02578796561602</v>
      </c>
      <c r="P3" s="32">
        <f>IF(AND(
df_mep[[#This Row],[volume_money_BA]]&gt;80000,
df_mep[[#This Row],[volume_money_D_BA]]&gt;2000),1,0)</f>
        <v>0</v>
      </c>
      <c r="Q3"/>
    </row>
    <row r="4" spans="1:17" x14ac:dyDescent="0.25">
      <c r="A4" t="s">
        <v>41</v>
      </c>
      <c r="B4" t="s">
        <v>53</v>
      </c>
      <c r="C4" s="4">
        <v>10030</v>
      </c>
      <c r="D4" s="4">
        <v>9820</v>
      </c>
      <c r="E4" s="4">
        <v>9642.5</v>
      </c>
      <c r="F4" s="29">
        <v>11.3</v>
      </c>
      <c r="G4" s="29">
        <v>11.6</v>
      </c>
      <c r="H4" s="29">
        <v>11.85</v>
      </c>
      <c r="I4" s="5">
        <v>27461</v>
      </c>
      <c r="J4" s="5">
        <f>df_mep[[#This Row],[volume_BA]]*df_mep[[#This Row],[open_BA]]</f>
        <v>275433830</v>
      </c>
      <c r="K4" s="5">
        <v>350</v>
      </c>
      <c r="L4" s="5">
        <f>df_mep[[#This Row],[volume_D_BA]]*df_mep[[#This Row],[open_D_BA]]</f>
        <v>3955.0000000000005</v>
      </c>
      <c r="M4" s="3">
        <v>887.61061946902646</v>
      </c>
      <c r="N4" s="2">
        <v>846.55172413793105</v>
      </c>
      <c r="O4" s="2">
        <v>813.7130801687764</v>
      </c>
      <c r="P4" s="32">
        <f>IF(AND(
df_mep[[#This Row],[volume_money_BA]]&gt;80000,
df_mep[[#This Row],[volume_money_D_BA]]&gt;2000),1,0)</f>
        <v>1</v>
      </c>
      <c r="Q4"/>
    </row>
    <row r="5" spans="1:17" x14ac:dyDescent="0.25">
      <c r="A5" t="s">
        <v>58</v>
      </c>
      <c r="B5" t="s">
        <v>101</v>
      </c>
      <c r="C5" s="4">
        <v>16000</v>
      </c>
      <c r="D5" s="4">
        <v>15005</v>
      </c>
      <c r="E5" s="4">
        <v>14850</v>
      </c>
      <c r="F5" s="29">
        <v>17.850000000000001</v>
      </c>
      <c r="G5" s="29">
        <v>17.7</v>
      </c>
      <c r="H5" s="29">
        <v>17.850000000000001</v>
      </c>
      <c r="I5" s="5">
        <v>10292</v>
      </c>
      <c r="J5" s="5">
        <f>df_mep[[#This Row],[volume_BA]]*df_mep[[#This Row],[open_BA]]</f>
        <v>164672000</v>
      </c>
      <c r="K5" s="5">
        <v>446</v>
      </c>
      <c r="L5" s="5">
        <f>df_mep[[#This Row],[volume_D_BA]]*df_mep[[#This Row],[open_D_BA]]</f>
        <v>7961.1</v>
      </c>
      <c r="M5" s="3">
        <v>896.35854341736683</v>
      </c>
      <c r="N5" s="2">
        <v>847.74011299435028</v>
      </c>
      <c r="O5" s="2">
        <v>831.93277310924361</v>
      </c>
      <c r="P5" s="32">
        <f>IF(AND(
df_mep[[#This Row],[volume_money_BA]]&gt;80000,
df_mep[[#This Row],[volume_money_D_BA]]&gt;2000),1,0)</f>
        <v>1</v>
      </c>
      <c r="Q5"/>
    </row>
    <row r="6" spans="1:17" x14ac:dyDescent="0.25">
      <c r="A6" t="s">
        <v>17</v>
      </c>
      <c r="B6" t="s">
        <v>94</v>
      </c>
      <c r="C6" s="4">
        <v>10500</v>
      </c>
      <c r="D6" s="4">
        <v>10250</v>
      </c>
      <c r="E6" s="4">
        <v>10101</v>
      </c>
      <c r="F6" s="29">
        <v>12</v>
      </c>
      <c r="G6" s="29">
        <v>11.9</v>
      </c>
      <c r="H6" s="29">
        <v>12.15</v>
      </c>
      <c r="I6" s="5">
        <v>39276</v>
      </c>
      <c r="J6" s="5">
        <f>df_mep[[#This Row],[volume_BA]]*df_mep[[#This Row],[open_BA]]</f>
        <v>412398000</v>
      </c>
      <c r="K6" s="5">
        <v>591</v>
      </c>
      <c r="L6" s="5">
        <f>df_mep[[#This Row],[volume_D_BA]]*df_mep[[#This Row],[open_D_BA]]</f>
        <v>7092</v>
      </c>
      <c r="M6" s="3">
        <v>875</v>
      </c>
      <c r="N6" s="2">
        <v>861.34453781512605</v>
      </c>
      <c r="O6" s="2">
        <v>831.35802469135797</v>
      </c>
      <c r="P6" s="32">
        <f>IF(AND(
df_mep[[#This Row],[volume_money_BA]]&gt;80000,
df_mep[[#This Row],[volume_money_D_BA]]&gt;2000),1,0)</f>
        <v>1</v>
      </c>
      <c r="Q6"/>
    </row>
    <row r="7" spans="1:17" x14ac:dyDescent="0.25">
      <c r="A7" t="s">
        <v>43</v>
      </c>
      <c r="B7" t="s">
        <v>107</v>
      </c>
      <c r="C7" s="4">
        <v>17800</v>
      </c>
      <c r="D7" s="4">
        <v>17904</v>
      </c>
      <c r="E7" s="4">
        <v>17100</v>
      </c>
      <c r="F7" s="29">
        <v>21.4</v>
      </c>
      <c r="G7" s="29">
        <v>20.7</v>
      </c>
      <c r="H7" s="29">
        <v>21</v>
      </c>
      <c r="I7" s="5">
        <v>37365</v>
      </c>
      <c r="J7" s="5">
        <f>df_mep[[#This Row],[volume_BA]]*df_mep[[#This Row],[open_BA]]</f>
        <v>665097000</v>
      </c>
      <c r="K7" s="5">
        <v>1110</v>
      </c>
      <c r="L7" s="5">
        <f>df_mep[[#This Row],[volume_D_BA]]*df_mep[[#This Row],[open_D_BA]]</f>
        <v>23754</v>
      </c>
      <c r="M7" s="3">
        <v>831.7757009345795</v>
      </c>
      <c r="N7" s="2">
        <v>864.92753623188412</v>
      </c>
      <c r="O7" s="2">
        <v>814.28571428571433</v>
      </c>
      <c r="P7" s="32">
        <f>IF(AND(
df_mep[[#This Row],[volume_money_BA]]&gt;80000,
df_mep[[#This Row],[volume_money_D_BA]]&gt;2000),1,0)</f>
        <v>1</v>
      </c>
      <c r="Q7"/>
    </row>
    <row r="8" spans="1:17" x14ac:dyDescent="0.25">
      <c r="A8" t="s">
        <v>62</v>
      </c>
      <c r="B8" t="s">
        <v>64</v>
      </c>
      <c r="C8" s="4">
        <v>15215</v>
      </c>
      <c r="D8" s="4">
        <v>14750</v>
      </c>
      <c r="E8" s="4">
        <v>14641</v>
      </c>
      <c r="F8" s="29">
        <v>17.100000000000001</v>
      </c>
      <c r="G8" s="29">
        <v>17.05</v>
      </c>
      <c r="H8" s="29">
        <v>18.2</v>
      </c>
      <c r="I8" s="5">
        <v>55560</v>
      </c>
      <c r="J8" s="5">
        <f>df_mep[[#This Row],[volume_BA]]*df_mep[[#This Row],[open_BA]]</f>
        <v>845345400</v>
      </c>
      <c r="K8" s="5">
        <v>3457</v>
      </c>
      <c r="L8" s="5">
        <f>df_mep[[#This Row],[volume_D_BA]]*df_mep[[#This Row],[open_D_BA]]</f>
        <v>59114.700000000004</v>
      </c>
      <c r="M8" s="3">
        <v>889.76608187134491</v>
      </c>
      <c r="N8" s="2">
        <v>865.1026392961877</v>
      </c>
      <c r="O8" s="2">
        <v>804.45054945054949</v>
      </c>
      <c r="P8" s="32">
        <f>IF(AND(
df_mep[[#This Row],[volume_money_BA]]&gt;80000,
df_mep[[#This Row],[volume_money_D_BA]]&gt;2000),1,0)</f>
        <v>1</v>
      </c>
      <c r="Q8"/>
    </row>
    <row r="9" spans="1:17" x14ac:dyDescent="0.25">
      <c r="A9" t="s">
        <v>57</v>
      </c>
      <c r="B9" t="s">
        <v>100</v>
      </c>
      <c r="C9" s="4">
        <v>25851</v>
      </c>
      <c r="D9" s="4">
        <v>26110</v>
      </c>
      <c r="E9" s="4">
        <v>25374</v>
      </c>
      <c r="F9" s="29">
        <v>34.799999999999997</v>
      </c>
      <c r="G9" s="29">
        <v>30</v>
      </c>
      <c r="H9" s="29">
        <v>33.85</v>
      </c>
      <c r="I9" s="5">
        <v>9004</v>
      </c>
      <c r="J9" s="5">
        <f>df_mep[[#This Row],[volume_BA]]*df_mep[[#This Row],[open_BA]]</f>
        <v>232762404</v>
      </c>
      <c r="K9" s="5">
        <v>107</v>
      </c>
      <c r="L9" s="5">
        <f>df_mep[[#This Row],[volume_D_BA]]*df_mep[[#This Row],[open_D_BA]]</f>
        <v>3723.6</v>
      </c>
      <c r="M9" s="3">
        <v>742.84482758620697</v>
      </c>
      <c r="N9" s="2">
        <v>870.33333333333337</v>
      </c>
      <c r="O9" s="2">
        <v>749.60118168389954</v>
      </c>
      <c r="P9" s="32">
        <f>IF(AND(
df_mep[[#This Row],[volume_money_BA]]&gt;80000,
df_mep[[#This Row],[volume_money_D_BA]]&gt;2000),1,0)</f>
        <v>1</v>
      </c>
      <c r="Q9"/>
    </row>
    <row r="10" spans="1:17" x14ac:dyDescent="0.25">
      <c r="A10" t="s">
        <v>19</v>
      </c>
      <c r="B10" t="s">
        <v>106</v>
      </c>
      <c r="C10" s="4">
        <v>17000</v>
      </c>
      <c r="D10" s="4">
        <v>16377</v>
      </c>
      <c r="E10" s="4">
        <v>15901</v>
      </c>
      <c r="F10" s="29">
        <v>18</v>
      </c>
      <c r="G10" s="29">
        <v>18.8</v>
      </c>
      <c r="H10" s="29">
        <v>19.75</v>
      </c>
      <c r="I10" s="5">
        <v>444863</v>
      </c>
      <c r="J10" s="5">
        <f>df_mep[[#This Row],[volume_BA]]*df_mep[[#This Row],[open_BA]]</f>
        <v>7562671000</v>
      </c>
      <c r="K10" s="5">
        <v>798</v>
      </c>
      <c r="L10" s="5">
        <f>df_mep[[#This Row],[volume_D_BA]]*df_mep[[#This Row],[open_D_BA]]</f>
        <v>14364</v>
      </c>
      <c r="M10" s="3">
        <v>944.44444444444446</v>
      </c>
      <c r="N10" s="2">
        <v>871.11702127659566</v>
      </c>
      <c r="O10" s="2">
        <v>805.11392405063293</v>
      </c>
      <c r="P10" s="32">
        <f>IF(AND(
df_mep[[#This Row],[volume_money_BA]]&gt;80000,
df_mep[[#This Row],[volume_money_D_BA]]&gt;2000),1,0)</f>
        <v>1</v>
      </c>
      <c r="Q10"/>
    </row>
    <row r="11" spans="1:17" x14ac:dyDescent="0.25">
      <c r="A11" t="s">
        <v>18</v>
      </c>
      <c r="B11" t="s">
        <v>99</v>
      </c>
      <c r="C11" s="4">
        <v>16000</v>
      </c>
      <c r="D11" s="4">
        <v>15710</v>
      </c>
      <c r="E11" s="4">
        <v>15650</v>
      </c>
      <c r="F11" s="29">
        <v>17.45</v>
      </c>
      <c r="G11" s="29">
        <v>18</v>
      </c>
      <c r="H11" s="29">
        <v>18.5</v>
      </c>
      <c r="I11" s="5">
        <v>29328</v>
      </c>
      <c r="J11" s="5">
        <f>df_mep[[#This Row],[volume_BA]]*df_mep[[#This Row],[open_BA]]</f>
        <v>469248000</v>
      </c>
      <c r="K11" s="5">
        <v>863</v>
      </c>
      <c r="L11" s="5">
        <f>df_mep[[#This Row],[volume_D_BA]]*df_mep[[#This Row],[open_D_BA]]</f>
        <v>15059.349999999999</v>
      </c>
      <c r="M11" s="3">
        <v>916.90544412607449</v>
      </c>
      <c r="N11" s="2">
        <v>872.77777777777783</v>
      </c>
      <c r="O11" s="2">
        <v>845.94594594594594</v>
      </c>
      <c r="P11" s="32">
        <f>IF(AND(
df_mep[[#This Row],[volume_money_BA]]&gt;80000,
df_mep[[#This Row],[volume_money_D_BA]]&gt;2000),1,0)</f>
        <v>1</v>
      </c>
      <c r="Q11"/>
    </row>
    <row r="12" spans="1:17" x14ac:dyDescent="0.25">
      <c r="A12" t="s">
        <v>10</v>
      </c>
      <c r="B12" t="s">
        <v>95</v>
      </c>
      <c r="C12" s="4">
        <v>20250</v>
      </c>
      <c r="D12" s="4">
        <v>19155</v>
      </c>
      <c r="E12" s="4">
        <v>19100</v>
      </c>
      <c r="F12" s="29">
        <v>22.35</v>
      </c>
      <c r="G12" s="29">
        <v>21.85</v>
      </c>
      <c r="H12" s="29">
        <v>22.2</v>
      </c>
      <c r="I12" s="5">
        <v>28021</v>
      </c>
      <c r="J12" s="5">
        <f>df_mep[[#This Row],[volume_BA]]*df_mep[[#This Row],[open_BA]]</f>
        <v>567425250</v>
      </c>
      <c r="K12" s="5">
        <v>604</v>
      </c>
      <c r="L12" s="5">
        <f>df_mep[[#This Row],[volume_D_BA]]*df_mep[[#This Row],[open_D_BA]]</f>
        <v>13499.400000000001</v>
      </c>
      <c r="M12" s="3">
        <v>906.04026845637577</v>
      </c>
      <c r="N12" s="2">
        <v>876.65903890160178</v>
      </c>
      <c r="O12" s="2">
        <v>860.36036036036035</v>
      </c>
      <c r="P12" s="32">
        <f>IF(AND(
df_mep[[#This Row],[volume_money_BA]]&gt;80000,
df_mep[[#This Row],[volume_money_D_BA]]&gt;2000),1,0)</f>
        <v>1</v>
      </c>
      <c r="Q12"/>
    </row>
    <row r="13" spans="1:17" x14ac:dyDescent="0.25">
      <c r="A13" t="s">
        <v>7</v>
      </c>
      <c r="B13" t="s">
        <v>87</v>
      </c>
      <c r="C13" s="4">
        <v>896.5</v>
      </c>
      <c r="D13" s="4">
        <v>846</v>
      </c>
      <c r="E13" s="4">
        <v>844</v>
      </c>
      <c r="F13" s="29">
        <v>0.97</v>
      </c>
      <c r="G13" s="29">
        <v>0.96</v>
      </c>
      <c r="H13" s="29">
        <v>0.98599999999999999</v>
      </c>
      <c r="I13" s="5">
        <v>660034</v>
      </c>
      <c r="J13" s="5">
        <f>df_mep[[#This Row],[volume_BA]]*df_mep[[#This Row],[open_BA]]</f>
        <v>591720481</v>
      </c>
      <c r="K13" s="5">
        <v>20240</v>
      </c>
      <c r="L13" s="5">
        <f>df_mep[[#This Row],[volume_D_BA]]*df_mep[[#This Row],[open_D_BA]]</f>
        <v>19632.8</v>
      </c>
      <c r="M13" s="3">
        <v>924.22680412371142</v>
      </c>
      <c r="N13" s="2">
        <v>881.25</v>
      </c>
      <c r="O13" s="2">
        <v>855.98377281947262</v>
      </c>
      <c r="P13" s="32">
        <f>IF(AND(
df_mep[[#This Row],[volume_money_BA]]&gt;80000,
df_mep[[#This Row],[volume_money_D_BA]]&gt;2000),1,0)</f>
        <v>1</v>
      </c>
      <c r="Q13"/>
    </row>
    <row r="14" spans="1:17" x14ac:dyDescent="0.25">
      <c r="A14" t="s">
        <v>59</v>
      </c>
      <c r="B14" t="s">
        <v>105</v>
      </c>
      <c r="C14" s="4">
        <v>26740.5</v>
      </c>
      <c r="D14" s="4">
        <v>26300</v>
      </c>
      <c r="E14" s="4">
        <v>25352</v>
      </c>
      <c r="F14" s="29">
        <v>29.65</v>
      </c>
      <c r="G14" s="29">
        <v>29.8</v>
      </c>
      <c r="H14" s="29">
        <v>30.95</v>
      </c>
      <c r="I14" s="5">
        <v>12932</v>
      </c>
      <c r="J14" s="5">
        <f>df_mep[[#This Row],[volume_BA]]*df_mep[[#This Row],[open_BA]]</f>
        <v>345808146</v>
      </c>
      <c r="K14" s="5">
        <v>175</v>
      </c>
      <c r="L14" s="5">
        <f>df_mep[[#This Row],[volume_D_BA]]*df_mep[[#This Row],[open_D_BA]]</f>
        <v>5188.75</v>
      </c>
      <c r="M14" s="3">
        <v>901.87183811129853</v>
      </c>
      <c r="N14" s="2">
        <v>882.55033557046977</v>
      </c>
      <c r="O14" s="2">
        <v>819.1276252019386</v>
      </c>
      <c r="P14" s="32">
        <f>IF(AND(
df_mep[[#This Row],[volume_money_BA]]&gt;80000,
df_mep[[#This Row],[volume_money_D_BA]]&gt;2000),1,0)</f>
        <v>1</v>
      </c>
      <c r="Q14"/>
    </row>
    <row r="15" spans="1:17" x14ac:dyDescent="0.25">
      <c r="A15" t="s">
        <v>54</v>
      </c>
      <c r="B15" t="s">
        <v>89</v>
      </c>
      <c r="C15" s="4">
        <v>6924</v>
      </c>
      <c r="D15" s="4">
        <v>6740</v>
      </c>
      <c r="E15" s="4">
        <v>6670</v>
      </c>
      <c r="F15" s="29">
        <v>7.6</v>
      </c>
      <c r="G15" s="29">
        <v>7.62</v>
      </c>
      <c r="H15" s="29">
        <v>7.7</v>
      </c>
      <c r="I15" s="5">
        <v>30980</v>
      </c>
      <c r="J15" s="5">
        <f>df_mep[[#This Row],[volume_BA]]*df_mep[[#This Row],[open_BA]]</f>
        <v>214505520</v>
      </c>
      <c r="K15" s="5">
        <v>974</v>
      </c>
      <c r="L15" s="5">
        <f>df_mep[[#This Row],[volume_D_BA]]*df_mep[[#This Row],[open_D_BA]]</f>
        <v>7402.4</v>
      </c>
      <c r="M15" s="3">
        <v>911.0526315789474</v>
      </c>
      <c r="N15" s="2">
        <v>884.51443569553805</v>
      </c>
      <c r="O15" s="2">
        <v>866.23376623376623</v>
      </c>
      <c r="P15" s="32">
        <f>IF(AND(
df_mep[[#This Row],[volume_money_BA]]&gt;80000,
df_mep[[#This Row],[volume_money_D_BA]]&gt;2000),1,0)</f>
        <v>1</v>
      </c>
      <c r="Q15"/>
    </row>
    <row r="16" spans="1:17" x14ac:dyDescent="0.25">
      <c r="A16" t="s">
        <v>44</v>
      </c>
      <c r="B16" t="s">
        <v>109</v>
      </c>
      <c r="C16" s="4">
        <v>46060</v>
      </c>
      <c r="D16" s="4">
        <v>43550</v>
      </c>
      <c r="E16" s="4">
        <v>43500</v>
      </c>
      <c r="F16" s="29">
        <v>51</v>
      </c>
      <c r="G16" s="29">
        <v>49.1</v>
      </c>
      <c r="H16" s="29">
        <v>54</v>
      </c>
      <c r="I16" s="5">
        <v>23530</v>
      </c>
      <c r="J16" s="5">
        <f>df_mep[[#This Row],[volume_BA]]*df_mep[[#This Row],[open_BA]]</f>
        <v>1083791800</v>
      </c>
      <c r="K16" s="5">
        <v>417</v>
      </c>
      <c r="L16" s="5">
        <f>df_mep[[#This Row],[volume_D_BA]]*df_mep[[#This Row],[open_D_BA]]</f>
        <v>21267</v>
      </c>
      <c r="M16" s="3">
        <v>903.13725490196077</v>
      </c>
      <c r="N16" s="2">
        <v>886.96537678207733</v>
      </c>
      <c r="O16" s="2">
        <v>805.55555555555554</v>
      </c>
      <c r="P16" s="32">
        <f>IF(AND(
df_mep[[#This Row],[volume_money_BA]]&gt;80000,
df_mep[[#This Row],[volume_money_D_BA]]&gt;2000),1,0)</f>
        <v>1</v>
      </c>
      <c r="Q16"/>
    </row>
    <row r="17" spans="1:17" x14ac:dyDescent="0.25">
      <c r="A17" t="s">
        <v>12</v>
      </c>
      <c r="B17" t="s">
        <v>98</v>
      </c>
      <c r="C17" s="4">
        <v>17800</v>
      </c>
      <c r="D17" s="4">
        <v>16700</v>
      </c>
      <c r="E17" s="4">
        <v>16650</v>
      </c>
      <c r="F17" s="29">
        <v>19.649999999999999</v>
      </c>
      <c r="G17" s="29">
        <v>18.75</v>
      </c>
      <c r="H17" s="29">
        <v>19.7</v>
      </c>
      <c r="I17" s="5">
        <v>27106</v>
      </c>
      <c r="J17" s="5">
        <f>df_mep[[#This Row],[volume_BA]]*df_mep[[#This Row],[open_BA]]</f>
        <v>482486800</v>
      </c>
      <c r="K17" s="5">
        <v>765</v>
      </c>
      <c r="L17" s="5">
        <f>df_mep[[#This Row],[volume_D_BA]]*df_mep[[#This Row],[open_D_BA]]</f>
        <v>15032.249999999998</v>
      </c>
      <c r="M17" s="3">
        <v>905.85241730279904</v>
      </c>
      <c r="N17" s="2">
        <v>890.66666666666663</v>
      </c>
      <c r="O17" s="2">
        <v>845.17766497461935</v>
      </c>
      <c r="P17" s="32">
        <f>IF(AND(
df_mep[[#This Row],[volume_money_BA]]&gt;80000,
df_mep[[#This Row],[volume_money_D_BA]]&gt;2000),1,0)</f>
        <v>1</v>
      </c>
      <c r="Q17"/>
    </row>
    <row r="18" spans="1:17" x14ac:dyDescent="0.25">
      <c r="A18" t="s">
        <v>63</v>
      </c>
      <c r="B18" t="s">
        <v>96</v>
      </c>
      <c r="C18" s="4">
        <v>13490</v>
      </c>
      <c r="D18" s="4">
        <v>12758</v>
      </c>
      <c r="E18" s="4">
        <v>12501</v>
      </c>
      <c r="F18" s="29">
        <v>15</v>
      </c>
      <c r="G18" s="29">
        <v>14.3</v>
      </c>
      <c r="H18" s="29">
        <v>14.65</v>
      </c>
      <c r="I18" s="5">
        <v>20503</v>
      </c>
      <c r="J18" s="5">
        <f>df_mep[[#This Row],[volume_BA]]*df_mep[[#This Row],[open_BA]]</f>
        <v>276585470</v>
      </c>
      <c r="K18" s="5">
        <v>390</v>
      </c>
      <c r="L18" s="5">
        <f>df_mep[[#This Row],[volume_D_BA]]*df_mep[[#This Row],[open_D_BA]]</f>
        <v>5850</v>
      </c>
      <c r="M18" s="3">
        <v>899.33333333333337</v>
      </c>
      <c r="N18" s="2">
        <v>892.1678321678321</v>
      </c>
      <c r="O18" s="2">
        <v>853.31058020477815</v>
      </c>
      <c r="P18" s="32">
        <f>IF(AND(
df_mep[[#This Row],[volume_money_BA]]&gt;80000,
df_mep[[#This Row],[volume_money_D_BA]]&gt;2000),1,0)</f>
        <v>1</v>
      </c>
      <c r="Q18"/>
    </row>
    <row r="19" spans="1:17" x14ac:dyDescent="0.25">
      <c r="A19" t="s">
        <v>8</v>
      </c>
      <c r="B19" t="s">
        <v>88</v>
      </c>
      <c r="C19" s="4">
        <v>9000</v>
      </c>
      <c r="D19" s="4">
        <v>8800</v>
      </c>
      <c r="E19" s="4">
        <v>8740</v>
      </c>
      <c r="F19" s="29">
        <v>9.75</v>
      </c>
      <c r="G19" s="29">
        <v>9.75</v>
      </c>
      <c r="H19" s="29">
        <v>9.9</v>
      </c>
      <c r="I19" s="5">
        <v>19780</v>
      </c>
      <c r="J19" s="5">
        <f>df_mep[[#This Row],[volume_BA]]*df_mep[[#This Row],[open_BA]]</f>
        <v>178020000</v>
      </c>
      <c r="K19" s="5">
        <v>267</v>
      </c>
      <c r="L19" s="5">
        <f>df_mep[[#This Row],[volume_D_BA]]*df_mep[[#This Row],[open_D_BA]]</f>
        <v>2603.25</v>
      </c>
      <c r="M19" s="3">
        <v>923.07692307692309</v>
      </c>
      <c r="N19" s="2">
        <v>902.56410256410254</v>
      </c>
      <c r="O19" s="2">
        <v>882.82828282828279</v>
      </c>
      <c r="P19" s="32">
        <f>IF(AND(
df_mep[[#This Row],[volume_money_BA]]&gt;80000,
df_mep[[#This Row],[volume_money_D_BA]]&gt;2000),1,0)</f>
        <v>1</v>
      </c>
      <c r="Q19"/>
    </row>
    <row r="20" spans="1:17" x14ac:dyDescent="0.25">
      <c r="A20" t="s">
        <v>15</v>
      </c>
      <c r="B20" t="s">
        <v>108</v>
      </c>
      <c r="C20" s="4">
        <v>21499</v>
      </c>
      <c r="D20" s="4">
        <v>20559</v>
      </c>
      <c r="E20" s="4">
        <v>20350.5</v>
      </c>
      <c r="F20" s="29">
        <v>23.2</v>
      </c>
      <c r="G20" s="29">
        <v>22.65</v>
      </c>
      <c r="H20" s="29">
        <v>23</v>
      </c>
      <c r="I20" s="5">
        <v>357095</v>
      </c>
      <c r="J20" s="5">
        <f>df_mep[[#This Row],[volume_BA]]*df_mep[[#This Row],[open_BA]]</f>
        <v>7677185405</v>
      </c>
      <c r="K20" s="5">
        <v>17037</v>
      </c>
      <c r="L20" s="5">
        <f>df_mep[[#This Row],[volume_D_BA]]*df_mep[[#This Row],[open_D_BA]]</f>
        <v>395258.39999999997</v>
      </c>
      <c r="M20" s="3">
        <v>926.68103448275861</v>
      </c>
      <c r="N20" s="2">
        <v>907.68211920529802</v>
      </c>
      <c r="O20" s="2">
        <v>884.804347826087</v>
      </c>
      <c r="P20" s="32">
        <f>IF(AND(
df_mep[[#This Row],[volume_money_BA]]&gt;80000,
df_mep[[#This Row],[volume_money_D_BA]]&gt;2000),1,0)</f>
        <v>1</v>
      </c>
      <c r="Q20"/>
    </row>
    <row r="21" spans="1:17" x14ac:dyDescent="0.25">
      <c r="A21" t="s">
        <v>5</v>
      </c>
      <c r="B21" t="s">
        <v>85</v>
      </c>
      <c r="C21" s="4">
        <v>17084</v>
      </c>
      <c r="D21" s="4">
        <v>16746</v>
      </c>
      <c r="E21" s="4">
        <v>16660</v>
      </c>
      <c r="F21" s="29">
        <v>18.8</v>
      </c>
      <c r="G21" s="29">
        <v>18.3</v>
      </c>
      <c r="H21" s="29">
        <v>18.5</v>
      </c>
      <c r="I21" s="5">
        <v>97972</v>
      </c>
      <c r="J21" s="5">
        <f>df_mep[[#This Row],[volume_BA]]*df_mep[[#This Row],[open_BA]]</f>
        <v>1673753648</v>
      </c>
      <c r="K21" s="5">
        <v>4007</v>
      </c>
      <c r="L21" s="5">
        <f>df_mep[[#This Row],[volume_D_BA]]*df_mep[[#This Row],[open_D_BA]]</f>
        <v>75331.600000000006</v>
      </c>
      <c r="M21" s="3">
        <v>908.72340425531911</v>
      </c>
      <c r="N21" s="2">
        <v>915.08196721311469</v>
      </c>
      <c r="O21" s="2">
        <v>900.54054054054052</v>
      </c>
      <c r="P21" s="32">
        <f>IF(AND(
df_mep[[#This Row],[volume_money_BA]]&gt;80000,
df_mep[[#This Row],[volume_money_D_BA]]&gt;2000),1,0)</f>
        <v>1</v>
      </c>
      <c r="Q21"/>
    </row>
    <row r="22" spans="1:17" x14ac:dyDescent="0.25">
      <c r="A22" t="s">
        <v>9</v>
      </c>
      <c r="B22" t="s">
        <v>93</v>
      </c>
      <c r="C22" s="4">
        <v>10600</v>
      </c>
      <c r="D22" s="4">
        <v>10247</v>
      </c>
      <c r="E22" s="4">
        <v>10247</v>
      </c>
      <c r="F22" s="29">
        <v>11.55</v>
      </c>
      <c r="G22" s="29">
        <v>11.1</v>
      </c>
      <c r="H22" s="29">
        <v>11.4</v>
      </c>
      <c r="I22" s="5">
        <v>422201</v>
      </c>
      <c r="J22" s="5">
        <f>df_mep[[#This Row],[volume_BA]]*df_mep[[#This Row],[open_BA]]</f>
        <v>4475330600</v>
      </c>
      <c r="K22" s="5">
        <v>33237</v>
      </c>
      <c r="L22" s="5">
        <f>df_mep[[#This Row],[volume_D_BA]]*df_mep[[#This Row],[open_D_BA]]</f>
        <v>383887.35000000003</v>
      </c>
      <c r="M22" s="3">
        <v>917.74891774891773</v>
      </c>
      <c r="N22" s="2">
        <v>923.1531531531532</v>
      </c>
      <c r="O22" s="2">
        <v>898.85964912280701</v>
      </c>
      <c r="P22" s="32">
        <f>IF(AND(
df_mep[[#This Row],[volume_money_BA]]&gt;80000,
df_mep[[#This Row],[volume_money_D_BA]]&gt;2000),1,0)</f>
        <v>1</v>
      </c>
      <c r="Q22"/>
    </row>
    <row r="23" spans="1:17" x14ac:dyDescent="0.25">
      <c r="A23" t="s">
        <v>14</v>
      </c>
      <c r="B23" t="s">
        <v>103</v>
      </c>
      <c r="C23" s="4">
        <v>32000</v>
      </c>
      <c r="D23" s="4">
        <v>29550</v>
      </c>
      <c r="E23" s="4">
        <v>29511</v>
      </c>
      <c r="F23" s="29">
        <v>34</v>
      </c>
      <c r="G23" s="29">
        <v>32</v>
      </c>
      <c r="H23" s="29">
        <v>33.450000000000003</v>
      </c>
      <c r="I23" s="5">
        <v>78027</v>
      </c>
      <c r="J23" s="5">
        <f>df_mep[[#This Row],[volume_BA]]*df_mep[[#This Row],[open_BA]]</f>
        <v>2496864000</v>
      </c>
      <c r="K23" s="5">
        <v>1851</v>
      </c>
      <c r="L23" s="5">
        <f>df_mep[[#This Row],[volume_D_BA]]*df_mep[[#This Row],[open_D_BA]]</f>
        <v>62934</v>
      </c>
      <c r="M23" s="3">
        <v>941.17647058823525</v>
      </c>
      <c r="N23" s="2">
        <v>923.4375</v>
      </c>
      <c r="O23" s="2">
        <v>882.24215246636766</v>
      </c>
      <c r="P23" s="32">
        <f>IF(AND(
df_mep[[#This Row],[volume_money_BA]]&gt;80000,
df_mep[[#This Row],[volume_money_D_BA]]&gt;2000),1,0)</f>
        <v>1</v>
      </c>
      <c r="Q23"/>
    </row>
    <row r="24" spans="1:17" x14ac:dyDescent="0.25">
      <c r="A24" t="s">
        <v>6</v>
      </c>
      <c r="B24" t="s">
        <v>86</v>
      </c>
      <c r="C24" s="4">
        <v>10080</v>
      </c>
      <c r="D24" s="4">
        <v>9807</v>
      </c>
      <c r="E24" s="4">
        <v>9646</v>
      </c>
      <c r="F24" s="29">
        <v>10.5</v>
      </c>
      <c r="G24" s="29">
        <v>10.6</v>
      </c>
      <c r="H24" s="29">
        <v>10.85</v>
      </c>
      <c r="I24" s="5">
        <v>16954</v>
      </c>
      <c r="J24" s="5">
        <f>df_mep[[#This Row],[volume_BA]]*df_mep[[#This Row],[open_BA]]</f>
        <v>170896320</v>
      </c>
      <c r="K24" s="5">
        <v>240</v>
      </c>
      <c r="L24" s="5">
        <f>df_mep[[#This Row],[volume_D_BA]]*df_mep[[#This Row],[open_D_BA]]</f>
        <v>2520</v>
      </c>
      <c r="M24" s="3">
        <v>960</v>
      </c>
      <c r="N24" s="2">
        <v>925.18867924528308</v>
      </c>
      <c r="O24" s="2">
        <v>889.03225806451621</v>
      </c>
      <c r="P24" s="32">
        <f>IF(AND(
df_mep[[#This Row],[volume_money_BA]]&gt;80000,
df_mep[[#This Row],[volume_money_D_BA]]&gt;2000),1,0)</f>
        <v>1</v>
      </c>
      <c r="Q24"/>
    </row>
    <row r="25" spans="1:17" x14ac:dyDescent="0.25">
      <c r="A25" t="s">
        <v>55</v>
      </c>
      <c r="B25" t="s">
        <v>90</v>
      </c>
      <c r="C25" s="4">
        <v>2400</v>
      </c>
      <c r="D25" s="4">
        <v>2280</v>
      </c>
      <c r="E25" s="4">
        <v>2252</v>
      </c>
      <c r="F25" s="29">
        <v>2.62</v>
      </c>
      <c r="G25" s="29">
        <v>2.46</v>
      </c>
      <c r="H25" s="29">
        <v>2.56</v>
      </c>
      <c r="I25" s="5">
        <v>193179</v>
      </c>
      <c r="J25" s="5">
        <f>df_mep[[#This Row],[volume_BA]]*df_mep[[#This Row],[open_BA]]</f>
        <v>463629600</v>
      </c>
      <c r="K25" s="5">
        <v>6702</v>
      </c>
      <c r="L25" s="5">
        <f>df_mep[[#This Row],[volume_D_BA]]*df_mep[[#This Row],[open_D_BA]]</f>
        <v>17559.240000000002</v>
      </c>
      <c r="M25" s="3">
        <v>916.03053435114498</v>
      </c>
      <c r="N25" s="2">
        <v>926.82926829268297</v>
      </c>
      <c r="O25" s="2">
        <v>879.6875</v>
      </c>
      <c r="P25" s="32">
        <f>IF(AND(
df_mep[[#This Row],[volume_money_BA]]&gt;80000,
df_mep[[#This Row],[volume_money_D_BA]]&gt;2000),1,0)</f>
        <v>1</v>
      </c>
      <c r="Q25"/>
    </row>
    <row r="26" spans="1:17" x14ac:dyDescent="0.25">
      <c r="A26" t="s">
        <v>11</v>
      </c>
      <c r="B26" t="s">
        <v>97</v>
      </c>
      <c r="C26" s="4">
        <v>10811.5</v>
      </c>
      <c r="D26" s="4">
        <v>10574</v>
      </c>
      <c r="E26" s="4">
        <v>10345</v>
      </c>
      <c r="F26" s="29">
        <v>12.05</v>
      </c>
      <c r="G26" s="29">
        <v>11.35</v>
      </c>
      <c r="H26" s="29">
        <v>11.7</v>
      </c>
      <c r="I26" s="5">
        <v>62293</v>
      </c>
      <c r="J26" s="5">
        <f>df_mep[[#This Row],[volume_BA]]*df_mep[[#This Row],[open_BA]]</f>
        <v>673480769.5</v>
      </c>
      <c r="K26" s="5">
        <v>1721</v>
      </c>
      <c r="L26" s="5">
        <f>df_mep[[#This Row],[volume_D_BA]]*df_mep[[#This Row],[open_D_BA]]</f>
        <v>20738.050000000003</v>
      </c>
      <c r="M26" s="3">
        <v>897.21991701244804</v>
      </c>
      <c r="N26" s="2">
        <v>931.62995594713664</v>
      </c>
      <c r="O26" s="2">
        <v>884.18803418803429</v>
      </c>
      <c r="P26" s="32">
        <f>IF(AND(
df_mep[[#This Row],[volume_money_BA]]&gt;80000,
df_mep[[#This Row],[volume_money_D_BA]]&gt;2000),1,0)</f>
        <v>1</v>
      </c>
      <c r="Q26"/>
    </row>
    <row r="27" spans="1:17" hidden="1" x14ac:dyDescent="0.25">
      <c r="A27" t="s">
        <v>22</v>
      </c>
      <c r="B27" t="s">
        <v>91</v>
      </c>
      <c r="C27" s="4">
        <v>6965</v>
      </c>
      <c r="D27" s="4">
        <v>6850</v>
      </c>
      <c r="E27" s="4">
        <v>6700</v>
      </c>
      <c r="F27" s="29">
        <v>7.69</v>
      </c>
      <c r="G27" s="29">
        <v>7.28</v>
      </c>
      <c r="H27" s="29">
        <v>7.61</v>
      </c>
      <c r="I27" s="5">
        <v>10063</v>
      </c>
      <c r="J27" s="5">
        <f>df_mep[[#This Row],[volume_BA]]*df_mep[[#This Row],[open_BA]]</f>
        <v>70088795</v>
      </c>
      <c r="K27" s="5">
        <v>173</v>
      </c>
      <c r="L27" s="5">
        <f>df_mep[[#This Row],[volume_D_BA]]*df_mep[[#This Row],[open_D_BA]]</f>
        <v>1330.3700000000001</v>
      </c>
      <c r="M27" s="3">
        <v>905.72171651495444</v>
      </c>
      <c r="N27" s="2">
        <v>940.93406593406587</v>
      </c>
      <c r="O27" s="2">
        <v>880.42049934296972</v>
      </c>
      <c r="P27" s="32">
        <f>IF(AND(
df_mep[[#This Row],[volume_money_BA]]&gt;80000,
df_mep[[#This Row],[volume_money_D_BA]]&gt;2000),1,0)</f>
        <v>0</v>
      </c>
      <c r="Q27"/>
    </row>
    <row r="28" spans="1:17" hidden="1" x14ac:dyDescent="0.25">
      <c r="A28" t="s">
        <v>60</v>
      </c>
      <c r="B28" t="s">
        <v>64</v>
      </c>
      <c r="C28" s="4">
        <v>15000</v>
      </c>
      <c r="D28" s="4">
        <v>14580</v>
      </c>
      <c r="E28" s="4">
        <v>14251</v>
      </c>
      <c r="F28" s="29">
        <v>16.5</v>
      </c>
      <c r="G28" s="29">
        <v>15.25</v>
      </c>
      <c r="H28" s="29">
        <v>16</v>
      </c>
      <c r="I28" s="5">
        <v>18686</v>
      </c>
      <c r="J28" s="5">
        <f>df_mep[[#This Row],[volume_BA]]*df_mep[[#This Row],[open_BA]]</f>
        <v>280290000</v>
      </c>
      <c r="K28" s="5">
        <v>63</v>
      </c>
      <c r="L28" s="5">
        <f>df_mep[[#This Row],[volume_D_BA]]*df_mep[[#This Row],[open_D_BA]]</f>
        <v>1039.5</v>
      </c>
      <c r="M28" s="3">
        <v>909.09090909090912</v>
      </c>
      <c r="N28" s="2">
        <v>956.06557377049182</v>
      </c>
      <c r="O28" s="2">
        <v>890.6875</v>
      </c>
      <c r="P28" s="32">
        <f>IF(AND(
df_mep[[#This Row],[volume_money_BA]]&gt;80000,
df_mep[[#This Row],[volume_money_D_BA]]&gt;2000),1,0)</f>
        <v>0</v>
      </c>
      <c r="Q28"/>
    </row>
    <row r="29" spans="1:17" hidden="1" x14ac:dyDescent="0.25">
      <c r="A29" t="s">
        <v>42</v>
      </c>
      <c r="B29" t="s">
        <v>104</v>
      </c>
      <c r="C29" s="4">
        <v>7331</v>
      </c>
      <c r="D29" s="4">
        <v>6726</v>
      </c>
      <c r="E29" s="4">
        <v>6725</v>
      </c>
      <c r="F29" s="29">
        <v>7.8</v>
      </c>
      <c r="G29" s="29">
        <v>7</v>
      </c>
      <c r="H29" s="29">
        <v>7.7</v>
      </c>
      <c r="I29" s="5">
        <v>7944</v>
      </c>
      <c r="J29" s="5">
        <f>df_mep[[#This Row],[volume_BA]]*df_mep[[#This Row],[open_BA]]</f>
        <v>58237464</v>
      </c>
      <c r="K29" s="5">
        <v>153</v>
      </c>
      <c r="L29" s="5">
        <f>df_mep[[#This Row],[volume_D_BA]]*df_mep[[#This Row],[open_D_BA]]</f>
        <v>1193.3999999999999</v>
      </c>
      <c r="M29" s="3">
        <v>939.87179487179492</v>
      </c>
      <c r="N29" s="2">
        <v>960.85714285714289</v>
      </c>
      <c r="O29" s="2">
        <v>873.37662337662334</v>
      </c>
      <c r="P29" s="32">
        <f>IF(AND(
df_mep[[#This Row],[volume_money_BA]]&gt;80000,
df_mep[[#This Row],[volume_money_D_BA]]&gt;2000),1,0)</f>
        <v>0</v>
      </c>
      <c r="Q29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6EB3-88EE-48BA-A650-9A2638C5F817}">
  <dimension ref="C2:V56"/>
  <sheetViews>
    <sheetView topLeftCell="A4" zoomScale="70" zoomScaleNormal="70" workbookViewId="0">
      <selection activeCell="N22" sqref="N22"/>
    </sheetView>
  </sheetViews>
  <sheetFormatPr defaultRowHeight="15" x14ac:dyDescent="0.25"/>
  <cols>
    <col min="2" max="2" width="12.85546875" bestFit="1" customWidth="1"/>
    <col min="3" max="3" width="14.7109375" bestFit="1" customWidth="1"/>
    <col min="4" max="4" width="12.85546875" bestFit="1" customWidth="1"/>
    <col min="5" max="5" width="13.7109375" customWidth="1"/>
    <col min="6" max="6" width="13.42578125" bestFit="1" customWidth="1"/>
    <col min="7" max="7" width="14" bestFit="1" customWidth="1"/>
    <col min="8" max="8" width="12.42578125" style="12" bestFit="1" customWidth="1"/>
    <col min="9" max="9" width="10.85546875" bestFit="1" customWidth="1"/>
    <col min="10" max="10" width="10.85546875" customWidth="1"/>
    <col min="11" max="11" width="14.7109375" bestFit="1" customWidth="1"/>
    <col min="12" max="12" width="13" bestFit="1" customWidth="1"/>
    <col min="14" max="14" width="17.5703125" bestFit="1" customWidth="1"/>
    <col min="15" max="15" width="7" bestFit="1" customWidth="1"/>
    <col min="16" max="16" width="23.28515625" bestFit="1" customWidth="1"/>
    <col min="17" max="17" width="15.5703125" customWidth="1"/>
    <col min="18" max="18" width="9.85546875" bestFit="1" customWidth="1"/>
    <col min="19" max="19" width="22.5703125" bestFit="1" customWidth="1"/>
    <col min="20" max="20" width="14.28515625" customWidth="1"/>
    <col min="25" max="25" width="23.28515625" bestFit="1" customWidth="1"/>
    <col min="26" max="26" width="11.5703125" bestFit="1" customWidth="1"/>
    <col min="27" max="27" width="9.85546875" bestFit="1" customWidth="1"/>
    <col min="28" max="28" width="10.7109375" bestFit="1" customWidth="1"/>
    <col min="29" max="29" width="9.85546875" bestFit="1" customWidth="1"/>
    <col min="30" max="30" width="12.42578125" bestFit="1" customWidth="1"/>
    <col min="31" max="31" width="9.85546875" bestFit="1" customWidth="1"/>
    <col min="32" max="32" width="12.42578125" bestFit="1" customWidth="1"/>
    <col min="33" max="34" width="12.42578125" customWidth="1"/>
    <col min="39" max="39" width="23.28515625" bestFit="1" customWidth="1"/>
    <col min="40" max="40" width="23.85546875" bestFit="1" customWidth="1"/>
    <col min="41" max="41" width="9.85546875" bestFit="1" customWidth="1"/>
    <col min="42" max="42" width="10.7109375" bestFit="1" customWidth="1"/>
    <col min="43" max="43" width="9.85546875" bestFit="1" customWidth="1"/>
    <col min="44" max="44" width="12.42578125" bestFit="1" customWidth="1"/>
    <col min="46" max="46" width="12.42578125" bestFit="1" customWidth="1"/>
  </cols>
  <sheetData>
    <row r="2" spans="3:22" x14ac:dyDescent="0.25">
      <c r="C2" s="16" t="s">
        <v>36</v>
      </c>
      <c r="D2" s="2">
        <f>D3*E24</f>
        <v>435169.38171047764</v>
      </c>
      <c r="F2" s="7"/>
      <c r="G2" s="7"/>
      <c r="L2" s="1" t="s">
        <v>112</v>
      </c>
      <c r="M2" s="1" t="s">
        <v>26</v>
      </c>
    </row>
    <row r="3" spans="3:22" x14ac:dyDescent="0.25">
      <c r="C3" s="16" t="s">
        <v>37</v>
      </c>
      <c r="D3" s="6">
        <v>500</v>
      </c>
      <c r="F3" s="7"/>
      <c r="G3" s="7"/>
      <c r="K3" s="1" t="s">
        <v>25</v>
      </c>
      <c r="L3" s="59">
        <v>0.127</v>
      </c>
      <c r="M3" s="14">
        <f>($L$3+1)^(1/30)-1</f>
        <v>3.9932597346052923E-3</v>
      </c>
    </row>
    <row r="4" spans="3:22" x14ac:dyDescent="0.25">
      <c r="C4" s="16" t="s">
        <v>33</v>
      </c>
      <c r="D4" s="26">
        <v>2.5000000000000001E-3</v>
      </c>
      <c r="H4"/>
    </row>
    <row r="5" spans="3:22" x14ac:dyDescent="0.25">
      <c r="C5" s="16" t="str">
        <f>INDEX(df_mep[[#All],[base_symbol]],MATCH(D5,df_mep[[#All],[USD/ARS bid]],0))</f>
        <v>AAPL</v>
      </c>
      <c r="D5" s="8">
        <f>_xlfn.MAXIFS(df_mep!O:O,df_mep!P:P,"&gt;0")</f>
        <v>900.54054054054052</v>
      </c>
      <c r="H5"/>
    </row>
    <row r="6" spans="3:22" x14ac:dyDescent="0.25">
      <c r="C6" s="16" t="str">
        <f>INDEX(df_mep[[#All],[base_symbol]],MATCH(D6,df_mep[[#All],[USD/ARS ask]],0))</f>
        <v>TSLA</v>
      </c>
      <c r="D6" s="8">
        <f>_xlfn.MINIFS(df_mep!N:N,df_mep!P:P,"&gt;0")</f>
        <v>840.13698630136992</v>
      </c>
      <c r="H6" s="2"/>
    </row>
    <row r="7" spans="3:22" x14ac:dyDescent="0.25">
      <c r="D7" s="13"/>
      <c r="H7"/>
    </row>
    <row r="8" spans="3:22" x14ac:dyDescent="0.25">
      <c r="H8"/>
    </row>
    <row r="11" spans="3:22" x14ac:dyDescent="0.25">
      <c r="H11"/>
    </row>
    <row r="12" spans="3:22" x14ac:dyDescent="0.25">
      <c r="D12" s="24" t="s">
        <v>35</v>
      </c>
      <c r="E12" s="24"/>
      <c r="F12" s="24"/>
      <c r="G12" s="24"/>
      <c r="H12" s="24"/>
      <c r="I12" s="24"/>
      <c r="P12" t="s">
        <v>117</v>
      </c>
      <c r="Q12" t="s">
        <v>116</v>
      </c>
      <c r="R12" t="s">
        <v>115</v>
      </c>
      <c r="S12" t="s">
        <v>113</v>
      </c>
    </row>
    <row r="13" spans="3:22" x14ac:dyDescent="0.25">
      <c r="H13"/>
      <c r="P13" t="s">
        <v>84</v>
      </c>
      <c r="Q13" t="str">
        <f>$C$5</f>
        <v>AAPL</v>
      </c>
      <c r="R13" s="3">
        <f>VLOOKUP(Q13,df_mep!A:O,MATCH(P13,df_mep[#Headers],0),0)</f>
        <v>915.08196721311469</v>
      </c>
      <c r="S13" t="s">
        <v>114</v>
      </c>
    </row>
    <row r="14" spans="3:22" x14ac:dyDescent="0.25">
      <c r="D14" s="17" t="s">
        <v>23</v>
      </c>
      <c r="E14" s="17">
        <v>0</v>
      </c>
      <c r="F14" s="17">
        <f>E14+1</f>
        <v>1</v>
      </c>
      <c r="G14" s="17">
        <f>F14+1</f>
        <v>2</v>
      </c>
      <c r="H14" s="17">
        <f>G14+1</f>
        <v>3</v>
      </c>
      <c r="I14" s="17">
        <f>H14+1</f>
        <v>4</v>
      </c>
      <c r="P14" t="s">
        <v>83</v>
      </c>
      <c r="Q14" t="str">
        <f t="shared" ref="Q14" si="0">$C$5</f>
        <v>AAPL</v>
      </c>
      <c r="R14" s="3">
        <f>VLOOKUP(Q14,df_mep!A:O,MATCH(P14,df_mep[#Headers],0),0)</f>
        <v>900.54054054054052</v>
      </c>
      <c r="S14" t="s">
        <v>110</v>
      </c>
    </row>
    <row r="15" spans="3:22" x14ac:dyDescent="0.25">
      <c r="D15" s="9" t="str">
        <f>_xlfn.CONCAT($C$5,"D")</f>
        <v>AAPLD</v>
      </c>
      <c r="E15" s="18" t="s">
        <v>24</v>
      </c>
      <c r="F15" s="7"/>
      <c r="G15" s="18" t="s">
        <v>30</v>
      </c>
      <c r="H15" s="7"/>
      <c r="I15" s="7"/>
      <c r="P15" t="s">
        <v>84</v>
      </c>
      <c r="Q15" t="str">
        <f>$C$6</f>
        <v>TSLA</v>
      </c>
      <c r="R15" s="3">
        <f>VLOOKUP(Q15,df_mep!A:O,MATCH(P15,df_mep[#Headers],0),0)</f>
        <v>840.13698630136992</v>
      </c>
      <c r="S15" t="s">
        <v>111</v>
      </c>
    </row>
    <row r="16" spans="3:22" ht="15.75" customHeight="1" x14ac:dyDescent="0.25">
      <c r="D16" s="9" t="str">
        <f>$C$5</f>
        <v>AAPL</v>
      </c>
      <c r="G16" s="18" t="s">
        <v>29</v>
      </c>
      <c r="H16" s="7"/>
      <c r="I16" s="18" t="s">
        <v>31</v>
      </c>
      <c r="P16" t="s">
        <v>83</v>
      </c>
      <c r="Q16" t="str">
        <f>$C$6</f>
        <v>TSLA</v>
      </c>
      <c r="R16" s="3">
        <f>VLOOKUP(Q16,df_mep!A:O,MATCH(P16,df_mep[#Headers],0),0)</f>
        <v>829.8644986449865</v>
      </c>
      <c r="S16" t="s">
        <v>114</v>
      </c>
      <c r="U16" s="7"/>
      <c r="V16" s="7"/>
    </row>
    <row r="17" spans="3:22" ht="15.75" customHeight="1" x14ac:dyDescent="0.25">
      <c r="D17" s="9" t="str">
        <f>$C$6</f>
        <v>TSLA</v>
      </c>
      <c r="E17" s="18" t="s">
        <v>24</v>
      </c>
      <c r="F17" s="7"/>
      <c r="G17" s="18" t="s">
        <v>30</v>
      </c>
      <c r="H17"/>
      <c r="V17" s="18"/>
    </row>
    <row r="18" spans="3:22" x14ac:dyDescent="0.25">
      <c r="D18" s="9" t="str">
        <f>_xlfn.CONCAT($C$6,"D")</f>
        <v>TSLAD</v>
      </c>
      <c r="G18" s="18" t="s">
        <v>29</v>
      </c>
      <c r="H18" s="7"/>
      <c r="I18" s="18" t="s">
        <v>31</v>
      </c>
    </row>
    <row r="19" spans="3:22" ht="15.75" customHeight="1" x14ac:dyDescent="0.25">
      <c r="H19"/>
      <c r="P19" t="s">
        <v>118</v>
      </c>
      <c r="Q19" s="14">
        <f>R14/R15-1</f>
        <v>7.1897268212285148E-2</v>
      </c>
      <c r="S19" s="14">
        <f>Q19/2</f>
        <v>3.5948634106142574E-2</v>
      </c>
    </row>
    <row r="20" spans="3:22" x14ac:dyDescent="0.25">
      <c r="H20"/>
      <c r="S20" s="27"/>
    </row>
    <row r="21" spans="3:22" x14ac:dyDescent="0.25">
      <c r="D21" s="24" t="s">
        <v>32</v>
      </c>
      <c r="E21" s="24"/>
      <c r="F21" s="24"/>
      <c r="G21" s="24"/>
      <c r="H21" s="24"/>
      <c r="I21" s="24"/>
    </row>
    <row r="22" spans="3:22" x14ac:dyDescent="0.25">
      <c r="H22"/>
    </row>
    <row r="23" spans="3:22" x14ac:dyDescent="0.25">
      <c r="D23" s="17" t="s">
        <v>23</v>
      </c>
      <c r="E23" s="17">
        <v>0</v>
      </c>
      <c r="F23" s="17">
        <f>E23+1</f>
        <v>1</v>
      </c>
      <c r="G23" s="17">
        <f>F23+1</f>
        <v>2</v>
      </c>
      <c r="H23" s="17">
        <f>G23+1</f>
        <v>3</v>
      </c>
      <c r="I23" s="17">
        <f>H23+1</f>
        <v>4</v>
      </c>
    </row>
    <row r="24" spans="3:22" x14ac:dyDescent="0.25">
      <c r="D24" s="9" t="s">
        <v>27</v>
      </c>
      <c r="E24" s="11">
        <f>AVERAGE(E26/E25,E27/E28)</f>
        <v>870.33876342095527</v>
      </c>
      <c r="F24" s="11">
        <f>AVERAGE(F26/F25,F27/F28)</f>
        <v>873.8142521603902</v>
      </c>
      <c r="G24" s="11">
        <f>AVERAGE(G26/G25,G27/G28)</f>
        <v>877.30361942906666</v>
      </c>
      <c r="H24" s="11">
        <f>AVERAGE(H26/H25,H27/H28)</f>
        <v>880.80692064755613</v>
      </c>
      <c r="I24" s="11">
        <f>AVERAGE(I26/I25,I27/I28)</f>
        <v>884.32421145773969</v>
      </c>
    </row>
    <row r="25" spans="3:22" x14ac:dyDescent="0.25">
      <c r="C25" s="28" t="str">
        <f>$C$5</f>
        <v>AAPL</v>
      </c>
      <c r="D25" s="9" t="s">
        <v>50</v>
      </c>
      <c r="E25" s="25">
        <f>VLOOKUP(C25,df_mep!A:O,MATCH(D25,df_mep[#Headers],0),0)</f>
        <v>18.5</v>
      </c>
      <c r="F25" s="10">
        <f>E25</f>
        <v>18.5</v>
      </c>
      <c r="G25" s="10">
        <f>F25</f>
        <v>18.5</v>
      </c>
      <c r="H25" s="10">
        <f>G25</f>
        <v>18.5</v>
      </c>
      <c r="I25" s="10">
        <f>H25</f>
        <v>18.5</v>
      </c>
      <c r="J25" s="58"/>
      <c r="K25" s="11"/>
    </row>
    <row r="26" spans="3:22" x14ac:dyDescent="0.25">
      <c r="C26" s="28" t="str">
        <f>$C$5</f>
        <v>AAPL</v>
      </c>
      <c r="D26" s="19" t="s">
        <v>46</v>
      </c>
      <c r="E26" s="25">
        <f>VLOOKUP(C26,df_mep!A:O,MATCH(D26,df_mep[#Headers],0),0)</f>
        <v>16660</v>
      </c>
      <c r="F26" s="15">
        <f t="shared" ref="F26:I27" si="1">E26*(1+$M$3)</f>
        <v>16726.527707178524</v>
      </c>
      <c r="G26" s="15">
        <f t="shared" si="1"/>
        <v>16793.321076771361</v>
      </c>
      <c r="H26" s="15">
        <f t="shared" si="1"/>
        <v>16860.381169637531</v>
      </c>
      <c r="I26" s="15">
        <f t="shared" si="1"/>
        <v>16927.709050872341</v>
      </c>
      <c r="J26" s="58"/>
      <c r="K26" s="11"/>
    </row>
    <row r="27" spans="3:22" x14ac:dyDescent="0.25">
      <c r="C27" s="28" t="str">
        <f>$C$6</f>
        <v>TSLA</v>
      </c>
      <c r="D27" s="19" t="s">
        <v>47</v>
      </c>
      <c r="E27" s="25">
        <f>VLOOKUP(C27,df_mep!A:O,MATCH(D27,df_mep[#Headers],0),0)</f>
        <v>15332.5</v>
      </c>
      <c r="F27" s="15">
        <f t="shared" si="1"/>
        <v>15393.726654880835</v>
      </c>
      <c r="G27" s="15">
        <f t="shared" si="1"/>
        <v>15455.197803697291</v>
      </c>
      <c r="H27" s="15">
        <f t="shared" si="1"/>
        <v>15516.914422777156</v>
      </c>
      <c r="I27" s="15">
        <f t="shared" si="1"/>
        <v>15578.877492346948</v>
      </c>
      <c r="J27" s="10"/>
      <c r="K27" s="11"/>
    </row>
    <row r="28" spans="3:22" x14ac:dyDescent="0.25">
      <c r="C28" s="28" t="str">
        <f>$C$6</f>
        <v>TSLA</v>
      </c>
      <c r="D28" s="9" t="s">
        <v>49</v>
      </c>
      <c r="E28" s="25">
        <f>VLOOKUP(C28,df_mep!A:O,MATCH(D28,df_mep[#Headers],0),0)</f>
        <v>18.25</v>
      </c>
      <c r="F28" s="10">
        <f>E28</f>
        <v>18.25</v>
      </c>
      <c r="G28" s="10">
        <f>F28</f>
        <v>18.25</v>
      </c>
      <c r="H28" s="10">
        <f>G28</f>
        <v>18.25</v>
      </c>
      <c r="I28" s="10">
        <f>H28</f>
        <v>18.25</v>
      </c>
      <c r="K28" s="11"/>
    </row>
    <row r="29" spans="3:22" x14ac:dyDescent="0.25">
      <c r="H29"/>
    </row>
    <row r="30" spans="3:22" x14ac:dyDescent="0.25">
      <c r="H30"/>
    </row>
    <row r="31" spans="3:22" x14ac:dyDescent="0.25">
      <c r="D31" s="24" t="s">
        <v>34</v>
      </c>
      <c r="E31" s="24"/>
      <c r="F31" s="24"/>
      <c r="G31" s="24"/>
      <c r="H31" s="24"/>
      <c r="I31" s="24"/>
    </row>
    <row r="32" spans="3:22" x14ac:dyDescent="0.25">
      <c r="D32" s="7"/>
      <c r="E32" s="7"/>
      <c r="F32" s="7"/>
      <c r="G32" s="7"/>
      <c r="H32" s="7"/>
      <c r="I32" s="7"/>
    </row>
    <row r="33" spans="4:9" x14ac:dyDescent="0.25">
      <c r="D33" s="9" t="str">
        <f>_xlfn.CONCAT($C$5,"D")</f>
        <v>AAPLD</v>
      </c>
      <c r="E33" s="20">
        <f>ROUNDDOWN(D3/E25,0)</f>
        <v>27</v>
      </c>
      <c r="F33" s="20"/>
      <c r="G33" s="7"/>
      <c r="H33" s="20"/>
      <c r="I33" s="20"/>
    </row>
    <row r="34" spans="4:9" x14ac:dyDescent="0.25">
      <c r="D34" s="9" t="str">
        <f>$C$5</f>
        <v>AAPL</v>
      </c>
      <c r="F34" s="20"/>
      <c r="G34" s="20">
        <f>-E33</f>
        <v>-27</v>
      </c>
      <c r="H34" s="20"/>
      <c r="I34" s="20"/>
    </row>
    <row r="35" spans="4:9" x14ac:dyDescent="0.25">
      <c r="D35" s="9" t="str">
        <f>$C$6</f>
        <v>TSLA</v>
      </c>
      <c r="E35" s="20">
        <f>ROUNDDOWN(D2/G27,0)</f>
        <v>28</v>
      </c>
      <c r="F35" s="20"/>
      <c r="H35" s="20"/>
      <c r="I35" s="20"/>
    </row>
    <row r="36" spans="4:9" x14ac:dyDescent="0.25">
      <c r="D36" s="9" t="str">
        <f>_xlfn.CONCAT($C$6,"D")</f>
        <v>TSLAD</v>
      </c>
      <c r="E36" s="20"/>
      <c r="F36" s="20"/>
      <c r="G36" s="20">
        <f>-E35</f>
        <v>-28</v>
      </c>
      <c r="H36" s="20"/>
      <c r="I36" s="7"/>
    </row>
    <row r="37" spans="4:9" x14ac:dyDescent="0.25">
      <c r="H37"/>
    </row>
    <row r="38" spans="4:9" x14ac:dyDescent="0.25">
      <c r="H38"/>
    </row>
    <row r="39" spans="4:9" x14ac:dyDescent="0.25">
      <c r="D39" s="24" t="s">
        <v>16</v>
      </c>
      <c r="E39" s="24"/>
      <c r="F39" s="24"/>
      <c r="G39" s="24"/>
      <c r="H39" s="24"/>
      <c r="I39" s="24"/>
    </row>
    <row r="40" spans="4:9" x14ac:dyDescent="0.25">
      <c r="D40" s="7"/>
      <c r="E40" s="7"/>
      <c r="F40" s="7"/>
      <c r="G40" s="7"/>
      <c r="H40" s="7"/>
      <c r="I40" s="7"/>
    </row>
    <row r="41" spans="4:9" x14ac:dyDescent="0.25">
      <c r="D41" s="1" t="str">
        <f>_xlfn.CONCAT("Compro: ",$C$5,"D")</f>
        <v>Compro: AAPLD</v>
      </c>
      <c r="E41" s="10">
        <f>-E33*E25</f>
        <v>-499.5</v>
      </c>
      <c r="F41" s="10"/>
      <c r="G41" s="10"/>
      <c r="H41" s="10"/>
      <c r="I41" s="10"/>
    </row>
    <row r="42" spans="4:9" x14ac:dyDescent="0.25">
      <c r="D42" s="1" t="str">
        <f>_xlfn.CONCAT("Vendo: ",$C$5)</f>
        <v>Vendo: AAPL</v>
      </c>
      <c r="E42" s="7"/>
      <c r="F42" s="7"/>
      <c r="G42" s="15"/>
      <c r="H42" s="15"/>
      <c r="I42" s="15">
        <f>-G34*G26</f>
        <v>453419.66907282674</v>
      </c>
    </row>
    <row r="43" spans="4:9" x14ac:dyDescent="0.25">
      <c r="D43" s="1" t="str">
        <f>_xlfn.CONCAT("Compro: ",$C$6)</f>
        <v>Compro: TSLA</v>
      </c>
      <c r="E43" s="15">
        <f>-E35*E27</f>
        <v>-429310</v>
      </c>
      <c r="F43" s="10"/>
      <c r="G43" s="10"/>
      <c r="H43" s="10"/>
      <c r="I43" s="10"/>
    </row>
    <row r="44" spans="4:9" x14ac:dyDescent="0.25">
      <c r="D44" s="56" t="str">
        <f>_xlfn.CONCAT("Vendo: ",$C$6,"D")</f>
        <v>Vendo: TSLAD</v>
      </c>
      <c r="E44" s="57"/>
      <c r="F44" s="57"/>
      <c r="G44" s="57"/>
      <c r="H44" s="57"/>
      <c r="I44" s="57">
        <f>-G36*G28</f>
        <v>511</v>
      </c>
    </row>
    <row r="45" spans="4:9" x14ac:dyDescent="0.25">
      <c r="D45" s="21" t="s">
        <v>20</v>
      </c>
      <c r="E45" s="22">
        <f t="shared" ref="E45:H45" si="2">E41+E44+SUM(E42:E43)/E24</f>
        <v>-992.76769993853111</v>
      </c>
      <c r="F45" s="22">
        <f t="shared" si="2"/>
        <v>0</v>
      </c>
      <c r="G45" s="22">
        <f t="shared" si="2"/>
        <v>0</v>
      </c>
      <c r="H45" s="22">
        <f t="shared" si="2"/>
        <v>0</v>
      </c>
      <c r="I45" s="22">
        <f>I41+I44+SUM(I42:I43)/I24</f>
        <v>1023.7301313229904</v>
      </c>
    </row>
    <row r="46" spans="4:9" x14ac:dyDescent="0.25">
      <c r="D46" s="21" t="s">
        <v>28</v>
      </c>
      <c r="E46" s="22">
        <f>SUM(E45:I45)</f>
        <v>30.962431384459251</v>
      </c>
      <c r="F46" s="7"/>
      <c r="G46" s="7"/>
      <c r="H46" s="7"/>
      <c r="I46" s="7"/>
    </row>
    <row r="47" spans="4:9" x14ac:dyDescent="0.25">
      <c r="D47" s="21" t="s">
        <v>21</v>
      </c>
      <c r="E47" s="23">
        <f>-E46/E45</f>
        <v>3.1187992303110125E-2</v>
      </c>
      <c r="F47" s="7"/>
      <c r="G47" s="7"/>
      <c r="H47" s="7"/>
      <c r="I47" s="7"/>
    </row>
    <row r="48" spans="4:9" x14ac:dyDescent="0.25">
      <c r="H48"/>
    </row>
    <row r="49" spans="4:16" x14ac:dyDescent="0.25">
      <c r="D49" s="21" t="s">
        <v>39</v>
      </c>
      <c r="E49" s="14">
        <f>(1+E47)^(1/I23)-1</f>
        <v>7.7074325621957485E-3</v>
      </c>
      <c r="H49"/>
    </row>
    <row r="50" spans="4:16" x14ac:dyDescent="0.25">
      <c r="D50" s="21" t="s">
        <v>38</v>
      </c>
      <c r="E50" s="14">
        <f>(1+E49)^30-1</f>
        <v>0.25902355146663703</v>
      </c>
      <c r="F50" s="14"/>
      <c r="H50"/>
    </row>
    <row r="51" spans="4:16" x14ac:dyDescent="0.25">
      <c r="D51" s="21" t="s">
        <v>40</v>
      </c>
      <c r="E51" s="14">
        <f>(1+E49)^365-1</f>
        <v>15.484605521826921</v>
      </c>
      <c r="H51"/>
    </row>
    <row r="52" spans="4:16" x14ac:dyDescent="0.25">
      <c r="H52"/>
    </row>
    <row r="53" spans="4:16" x14ac:dyDescent="0.25">
      <c r="H53"/>
    </row>
    <row r="54" spans="4:16" x14ac:dyDescent="0.25">
      <c r="H54"/>
    </row>
    <row r="56" spans="4:16" x14ac:dyDescent="0.25">
      <c r="P56" s="2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8221-65C8-4DE3-800E-E0D1B260F341}">
  <dimension ref="E8:K17"/>
  <sheetViews>
    <sheetView showGridLines="0" zoomScaleNormal="100" workbookViewId="0">
      <selection activeCell="L12" sqref="L12"/>
    </sheetView>
  </sheetViews>
  <sheetFormatPr defaultRowHeight="15" x14ac:dyDescent="0.25"/>
  <cols>
    <col min="3" max="3" width="12" bestFit="1" customWidth="1"/>
    <col min="6" max="6" width="12" bestFit="1" customWidth="1"/>
    <col min="8" max="8" width="12" bestFit="1" customWidth="1"/>
    <col min="9" max="9" width="12.28515625" bestFit="1" customWidth="1"/>
    <col min="11" max="11" width="12.28515625" bestFit="1" customWidth="1"/>
  </cols>
  <sheetData>
    <row r="8" spans="5:11" x14ac:dyDescent="0.25">
      <c r="I8">
        <f>SUMPRODUCT(df_mep!O1:O27,df_mep!J1:J27,df_mep!P1:P27)</f>
        <v>28401808677639.867</v>
      </c>
      <c r="K8">
        <f>SUMPRODUCT(df_mep!N1:N27,df_mep!J1:J27,df_mep!P1:P27)</f>
        <v>29709009071726.539</v>
      </c>
    </row>
    <row r="9" spans="5:11" x14ac:dyDescent="0.25">
      <c r="I9">
        <f>SUMPRODUCT(df_mep!J1:J27,df_mep!P1:P27)</f>
        <v>33200875443.5</v>
      </c>
      <c r="K9">
        <f>SUMPRODUCT(df_mep!J1:J27,df_mep!P1:P27)</f>
        <v>33200875443.5</v>
      </c>
    </row>
    <row r="14" spans="5:11" ht="15.75" thickBot="1" x14ac:dyDescent="0.3">
      <c r="E14" s="34"/>
      <c r="F14" s="34"/>
      <c r="G14" s="34"/>
      <c r="H14" s="34"/>
      <c r="I14" s="34"/>
      <c r="J14" s="34"/>
      <c r="K14" s="34"/>
    </row>
    <row r="16" spans="5:11" ht="18.75" x14ac:dyDescent="0.3">
      <c r="E16" s="33" t="s">
        <v>65</v>
      </c>
      <c r="H16" s="35" t="s">
        <v>66</v>
      </c>
      <c r="I16" s="36">
        <f>I8/I9</f>
        <v>855.45360772106733</v>
      </c>
      <c r="J16" s="35" t="s">
        <v>67</v>
      </c>
      <c r="K16" s="36">
        <f>K8/K9</f>
        <v>894.82607536310934</v>
      </c>
    </row>
    <row r="17" spans="5:11" ht="15.75" thickBot="1" x14ac:dyDescent="0.3">
      <c r="E17" s="34"/>
      <c r="F17" s="34"/>
      <c r="G17" s="34"/>
      <c r="H17" s="34"/>
      <c r="I17" s="34"/>
      <c r="J17" s="34"/>
      <c r="K17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7E96-1C6D-4478-97CE-793008552D43}">
  <dimension ref="D3:AD35"/>
  <sheetViews>
    <sheetView tabSelected="1" topLeftCell="B1" zoomScale="115" zoomScaleNormal="115" workbookViewId="0">
      <selection activeCell="O8" sqref="O8"/>
    </sheetView>
  </sheetViews>
  <sheetFormatPr defaultRowHeight="15" outlineLevelCol="1" x14ac:dyDescent="0.25"/>
  <cols>
    <col min="3" max="4" width="9.5703125" bestFit="1" customWidth="1"/>
    <col min="5" max="6" width="12" customWidth="1" outlineLevel="1"/>
    <col min="7" max="7" width="10.85546875" bestFit="1" customWidth="1"/>
    <col min="8" max="8" width="12.5703125" bestFit="1" customWidth="1"/>
    <col min="9" max="9" width="8.42578125" bestFit="1" customWidth="1"/>
    <col min="10" max="14" width="8.42578125" customWidth="1"/>
    <col min="15" max="15" width="5.7109375" bestFit="1" customWidth="1"/>
    <col min="16" max="16" width="7.28515625" bestFit="1" customWidth="1"/>
    <col min="17" max="17" width="6.5703125" bestFit="1" customWidth="1"/>
    <col min="18" max="18" width="12.5703125" bestFit="1" customWidth="1"/>
    <col min="19" max="19" width="8.42578125" bestFit="1" customWidth="1"/>
    <col min="20" max="20" width="5.42578125" bestFit="1" customWidth="1"/>
    <col min="21" max="21" width="13.42578125" bestFit="1" customWidth="1"/>
    <col min="22" max="22" width="2.28515625" bestFit="1" customWidth="1"/>
    <col min="23" max="23" width="5.42578125" bestFit="1" customWidth="1"/>
    <col min="24" max="24" width="6.42578125" bestFit="1" customWidth="1"/>
    <col min="26" max="27" width="10.28515625" bestFit="1" customWidth="1"/>
  </cols>
  <sheetData>
    <row r="3" spans="4:30" x14ac:dyDescent="0.25">
      <c r="E3" s="38" t="s">
        <v>3</v>
      </c>
      <c r="F3" s="38" t="s">
        <v>2</v>
      </c>
      <c r="G3" s="38" t="s">
        <v>73</v>
      </c>
      <c r="K3" t="str">
        <f>D4</f>
        <v>AAPL</v>
      </c>
      <c r="L3" s="4" cm="1">
        <f t="array" ref="L3:L4">TRANSPOSE(E6:F6)</f>
        <v>829.95327102803742</v>
      </c>
      <c r="Z3" s="38" t="s">
        <v>3</v>
      </c>
      <c r="AA3" s="38" t="s">
        <v>2</v>
      </c>
    </row>
    <row r="4" spans="4:30" x14ac:dyDescent="0.25">
      <c r="D4" s="37" t="str">
        <f>FF!C5</f>
        <v>AAPL</v>
      </c>
      <c r="E4" s="4">
        <v>17761</v>
      </c>
      <c r="F4" s="4">
        <v>17801</v>
      </c>
      <c r="G4" s="4">
        <f>AVERAGE(E4:F4)</f>
        <v>17781</v>
      </c>
      <c r="K4" t="str">
        <f>D4</f>
        <v>AAPL</v>
      </c>
      <c r="L4" s="4">
        <v>864.12621359223294</v>
      </c>
      <c r="Q4" s="37" t="s">
        <v>70</v>
      </c>
      <c r="R4" s="4">
        <v>100000</v>
      </c>
      <c r="T4" s="37" t="s">
        <v>71</v>
      </c>
      <c r="U4" s="46">
        <f>$R$4</f>
        <v>100000</v>
      </c>
      <c r="Z4" s="4">
        <v>25160</v>
      </c>
      <c r="AA4" s="4">
        <v>25164.5</v>
      </c>
      <c r="AC4" s="47">
        <v>1</v>
      </c>
      <c r="AD4" s="47">
        <v>1.0369270202070375</v>
      </c>
    </row>
    <row r="5" spans="4:30" x14ac:dyDescent="0.25">
      <c r="D5" s="37" t="str">
        <f>_xlfn.CONCAT(D4,"D")</f>
        <v>AAPLD</v>
      </c>
      <c r="E5" s="29">
        <v>20.6</v>
      </c>
      <c r="F5" s="29">
        <v>21.4</v>
      </c>
      <c r="G5" s="29">
        <f t="shared" ref="G5:G7" si="0">AVERAGE(E5:F5)</f>
        <v>21</v>
      </c>
      <c r="K5" t="str">
        <f>D12</f>
        <v>TSLA</v>
      </c>
      <c r="L5" s="4" cm="1">
        <f t="array" ref="L5:L6">TRANSPOSE(E14:F14)</f>
        <v>931.56250000000011</v>
      </c>
      <c r="Q5" s="37" t="str">
        <f>$D$4</f>
        <v>AAPL</v>
      </c>
      <c r="R5" s="43">
        <f>R4/F4</f>
        <v>5.6176619291051066</v>
      </c>
      <c r="T5" s="37" t="str">
        <f>$D$13</f>
        <v>TSLAD</v>
      </c>
      <c r="U5" s="43">
        <f>U4/F13</f>
        <v>8928.5714285714294</v>
      </c>
      <c r="Z5" s="29">
        <v>30</v>
      </c>
      <c r="AA5" s="29">
        <v>33</v>
      </c>
      <c r="AC5" s="47">
        <v>1</v>
      </c>
      <c r="AD5" s="41">
        <v>0.964388023952096</v>
      </c>
    </row>
    <row r="6" spans="4:30" x14ac:dyDescent="0.25">
      <c r="D6" s="37" t="s">
        <v>74</v>
      </c>
      <c r="E6" s="2">
        <f>E4/F5</f>
        <v>829.95327102803742</v>
      </c>
      <c r="F6" s="2">
        <f>F4/E5</f>
        <v>864.12621359223294</v>
      </c>
      <c r="G6" s="2">
        <f t="shared" si="0"/>
        <v>847.03974231013513</v>
      </c>
      <c r="K6" t="str">
        <f>D12</f>
        <v>TSLA</v>
      </c>
      <c r="L6" s="4">
        <v>935.96412556053804</v>
      </c>
      <c r="Q6" s="37" t="str">
        <f>$D$5</f>
        <v>AAPLD</v>
      </c>
      <c r="R6" s="43">
        <f>R5</f>
        <v>5.6176619291051066</v>
      </c>
      <c r="T6" s="37" t="str">
        <f>$D$12</f>
        <v>TSLA</v>
      </c>
      <c r="U6" s="43">
        <f>U5</f>
        <v>8928.5714285714294</v>
      </c>
    </row>
    <row r="7" spans="4:30" x14ac:dyDescent="0.25">
      <c r="D7" s="37" t="s">
        <v>72</v>
      </c>
      <c r="E7" s="40">
        <f>E5/F4</f>
        <v>1.157238357395652E-3</v>
      </c>
      <c r="F7" s="40">
        <f>F5/E4</f>
        <v>1.2048871122121501E-3</v>
      </c>
      <c r="G7" s="40">
        <f t="shared" si="0"/>
        <v>1.181062734803901E-3</v>
      </c>
      <c r="Q7" s="37" t="s">
        <v>71</v>
      </c>
      <c r="R7" s="42">
        <f>R6*E5</f>
        <v>115.7238357395652</v>
      </c>
      <c r="T7" s="37" t="s">
        <v>70</v>
      </c>
      <c r="U7" s="4">
        <f>U6*E12</f>
        <v>93156250.000000015</v>
      </c>
    </row>
    <row r="8" spans="4:30" x14ac:dyDescent="0.25">
      <c r="Q8" s="37" t="str">
        <f>$D$13</f>
        <v>TSLAD</v>
      </c>
      <c r="R8" s="43">
        <f>R7/F13</f>
        <v>10.332485333889752</v>
      </c>
      <c r="T8" s="37" t="str">
        <f>$D$4</f>
        <v>AAPL</v>
      </c>
      <c r="U8" s="43">
        <f>U7/F4</f>
        <v>5233.2031908319768</v>
      </c>
    </row>
    <row r="9" spans="4:30" x14ac:dyDescent="0.25">
      <c r="Q9" s="37" t="str">
        <f>$D$12</f>
        <v>TSLA</v>
      </c>
      <c r="R9" s="43">
        <f>R8</f>
        <v>10.332485333889752</v>
      </c>
      <c r="T9" s="37" t="str">
        <f>$D$5</f>
        <v>AAPLD</v>
      </c>
      <c r="U9" s="43">
        <f>U8</f>
        <v>5233.2031908319768</v>
      </c>
    </row>
    <row r="10" spans="4:30" x14ac:dyDescent="0.25">
      <c r="Q10" s="37" t="s">
        <v>70</v>
      </c>
      <c r="R10" s="39">
        <f>R9*E12</f>
        <v>107803.98573113872</v>
      </c>
      <c r="T10" s="37" t="s">
        <v>71</v>
      </c>
      <c r="U10" s="46">
        <f>U9*E5</f>
        <v>107803.98573113873</v>
      </c>
    </row>
    <row r="11" spans="4:30" x14ac:dyDescent="0.25">
      <c r="E11" s="38" t="s">
        <v>3</v>
      </c>
      <c r="F11" s="38" t="s">
        <v>2</v>
      </c>
      <c r="G11" s="38" t="s">
        <v>73</v>
      </c>
      <c r="Q11" s="44" t="s">
        <v>75</v>
      </c>
      <c r="R11" s="45">
        <f>(R10-R4)/R4</f>
        <v>7.803985731138717E-2</v>
      </c>
      <c r="T11" s="44" t="s">
        <v>75</v>
      </c>
      <c r="U11" s="45">
        <f>(U10-U4)/U4</f>
        <v>7.8039857311387309E-2</v>
      </c>
    </row>
    <row r="12" spans="4:30" x14ac:dyDescent="0.25">
      <c r="D12" s="37" t="str">
        <f>FF!C6</f>
        <v>TSLA</v>
      </c>
      <c r="E12" s="4">
        <v>10433.5</v>
      </c>
      <c r="F12" s="4">
        <v>10436</v>
      </c>
      <c r="G12" s="4">
        <f>AVERAGE(E12:F12)</f>
        <v>10434.75</v>
      </c>
      <c r="I12" s="47"/>
      <c r="J12" s="47"/>
      <c r="K12" s="47"/>
      <c r="L12" s="47"/>
      <c r="M12" s="47"/>
      <c r="N12" s="47"/>
    </row>
    <row r="13" spans="4:30" x14ac:dyDescent="0.25">
      <c r="D13" s="37" t="str">
        <f>_xlfn.CONCAT(D12,"D")</f>
        <v>TSLAD</v>
      </c>
      <c r="E13" s="29">
        <v>11.15</v>
      </c>
      <c r="F13" s="29">
        <v>11.2</v>
      </c>
      <c r="G13" s="29">
        <f t="shared" ref="G13:G15" si="1">AVERAGE(E13:F13)</f>
        <v>11.175000000000001</v>
      </c>
      <c r="Q13" s="37" t="s">
        <v>70</v>
      </c>
      <c r="R13" s="4">
        <f>$R$4</f>
        <v>100000</v>
      </c>
      <c r="T13" s="37" t="s">
        <v>71</v>
      </c>
      <c r="U13" s="46">
        <f>$R$4</f>
        <v>100000</v>
      </c>
    </row>
    <row r="14" spans="4:30" x14ac:dyDescent="0.25">
      <c r="D14" s="37" t="s">
        <v>74</v>
      </c>
      <c r="E14" s="2">
        <f>E12/F13</f>
        <v>931.56250000000011</v>
      </c>
      <c r="F14" s="2">
        <f>F12/E13</f>
        <v>935.96412556053804</v>
      </c>
      <c r="G14" s="2">
        <f t="shared" si="1"/>
        <v>933.76331278026908</v>
      </c>
      <c r="Q14" s="37" t="str">
        <f>$D$12</f>
        <v>TSLA</v>
      </c>
      <c r="R14" s="43">
        <f>R13/F12</f>
        <v>9.5822154082023765</v>
      </c>
      <c r="T14" s="37" t="str">
        <f>$D$5</f>
        <v>AAPLD</v>
      </c>
      <c r="U14" s="43">
        <f>U13/F5</f>
        <v>4672.8971962616824</v>
      </c>
    </row>
    <row r="15" spans="4:30" x14ac:dyDescent="0.25">
      <c r="D15" s="37" t="s">
        <v>72</v>
      </c>
      <c r="E15" s="40">
        <f>E13/F12</f>
        <v>1.068417018014565E-3</v>
      </c>
      <c r="F15" s="40">
        <f>F13/E12</f>
        <v>1.0734652801073464E-3</v>
      </c>
      <c r="G15" s="40">
        <f t="shared" si="1"/>
        <v>1.0709411490609556E-3</v>
      </c>
      <c r="Q15" s="37" t="str">
        <f>$D$13</f>
        <v>TSLAD</v>
      </c>
      <c r="R15" s="43">
        <f>R14</f>
        <v>9.5822154082023765</v>
      </c>
      <c r="T15" s="37" t="str">
        <f>$D$4</f>
        <v>AAPL</v>
      </c>
      <c r="U15" s="43">
        <f>U14</f>
        <v>4672.8971962616824</v>
      </c>
    </row>
    <row r="16" spans="4:30" x14ac:dyDescent="0.25">
      <c r="Q16" s="37" t="s">
        <v>71</v>
      </c>
      <c r="R16" s="42">
        <f>R15*E13</f>
        <v>106.84170180145649</v>
      </c>
      <c r="T16" s="37" t="s">
        <v>70</v>
      </c>
      <c r="U16" s="4">
        <f>U15*E4</f>
        <v>82995327.102803737</v>
      </c>
    </row>
    <row r="17" spans="5:21" x14ac:dyDescent="0.25">
      <c r="Q17" s="37" t="str">
        <f>$D$5</f>
        <v>AAPLD</v>
      </c>
      <c r="R17" s="43">
        <f>R16/F5</f>
        <v>4.9926028879185278</v>
      </c>
      <c r="T17" s="37" t="str">
        <f>$D$12</f>
        <v>TSLA</v>
      </c>
      <c r="U17" s="43">
        <f>U16/F12</f>
        <v>7952.7910217328226</v>
      </c>
    </row>
    <row r="18" spans="5:21" x14ac:dyDescent="0.25">
      <c r="Q18" s="37" t="str">
        <f>$D$4</f>
        <v>AAPL</v>
      </c>
      <c r="R18" s="43">
        <f>R17</f>
        <v>4.9926028879185278</v>
      </c>
      <c r="T18" s="37" t="str">
        <f>$D$13</f>
        <v>TSLAD</v>
      </c>
      <c r="U18" s="43">
        <f>U17</f>
        <v>7952.7910217328226</v>
      </c>
    </row>
    <row r="19" spans="5:21" x14ac:dyDescent="0.25">
      <c r="Q19" s="37" t="s">
        <v>70</v>
      </c>
      <c r="R19" s="39">
        <f>R18*E4</f>
        <v>88673.619892320974</v>
      </c>
      <c r="T19" s="37" t="s">
        <v>71</v>
      </c>
      <c r="U19" s="46">
        <f>U18*E13</f>
        <v>88673.619892320974</v>
      </c>
    </row>
    <row r="20" spans="5:21" x14ac:dyDescent="0.25">
      <c r="Q20" s="44" t="s">
        <v>75</v>
      </c>
      <c r="R20" s="45">
        <f>(R19-R13)/R13</f>
        <v>-0.11326380107679027</v>
      </c>
      <c r="T20" s="44" t="s">
        <v>75</v>
      </c>
      <c r="U20" s="45">
        <f>(U19-U13)/U13</f>
        <v>-0.11326380107679027</v>
      </c>
    </row>
    <row r="24" spans="5:21" x14ac:dyDescent="0.25">
      <c r="E24" s="55"/>
      <c r="F24" s="55"/>
      <c r="K24" s="53">
        <f>E14/F6-1</f>
        <v>7.8039857311387184E-2</v>
      </c>
    </row>
    <row r="25" spans="5:21" x14ac:dyDescent="0.25">
      <c r="E25" s="54"/>
      <c r="F25" s="54"/>
    </row>
    <row r="26" spans="5:21" x14ac:dyDescent="0.25">
      <c r="E26" s="54"/>
      <c r="F26" s="54"/>
    </row>
    <row r="27" spans="5:21" x14ac:dyDescent="0.25">
      <c r="E27" s="4"/>
    </row>
    <row r="28" spans="5:21" x14ac:dyDescent="0.25">
      <c r="E28" s="14"/>
    </row>
    <row r="32" spans="5:21" x14ac:dyDescent="0.25">
      <c r="E32" s="4"/>
    </row>
    <row r="33" spans="5:5" x14ac:dyDescent="0.25">
      <c r="E33" s="29"/>
    </row>
    <row r="34" spans="5:5" x14ac:dyDescent="0.25">
      <c r="E34" s="4"/>
    </row>
    <row r="35" spans="5:5" x14ac:dyDescent="0.25">
      <c r="E35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2A7F-0CDA-4E38-B2A8-4B75B9A2227D}">
  <dimension ref="D2:K21"/>
  <sheetViews>
    <sheetView zoomScale="115" zoomScaleNormal="115" workbookViewId="0">
      <selection activeCell="D11" sqref="D11:E11"/>
    </sheetView>
  </sheetViews>
  <sheetFormatPr defaultRowHeight="15" x14ac:dyDescent="0.25"/>
  <cols>
    <col min="8" max="8" width="12.42578125" bestFit="1" customWidth="1"/>
    <col min="9" max="9" width="10" bestFit="1" customWidth="1"/>
    <col min="17" max="17" width="10.140625" bestFit="1" customWidth="1"/>
  </cols>
  <sheetData>
    <row r="2" spans="4:11" x14ac:dyDescent="0.25">
      <c r="H2" s="21" t="s">
        <v>76</v>
      </c>
      <c r="I2" s="21" t="s">
        <v>77</v>
      </c>
    </row>
    <row r="3" spans="4:11" x14ac:dyDescent="0.25">
      <c r="H3" s="49">
        <v>57</v>
      </c>
      <c r="I3" s="50">
        <v>10.18</v>
      </c>
    </row>
    <row r="4" spans="4:11" x14ac:dyDescent="0.25">
      <c r="H4" s="49">
        <v>90</v>
      </c>
      <c r="I4" s="50">
        <v>11.896000000000001</v>
      </c>
    </row>
    <row r="5" spans="4:11" x14ac:dyDescent="0.25">
      <c r="H5" s="49">
        <v>89</v>
      </c>
      <c r="I5" s="50">
        <v>11.212</v>
      </c>
    </row>
    <row r="6" spans="4:11" x14ac:dyDescent="0.25">
      <c r="H6" s="49">
        <v>43</v>
      </c>
      <c r="I6" s="50">
        <v>10.291</v>
      </c>
    </row>
    <row r="7" spans="4:11" x14ac:dyDescent="0.25">
      <c r="H7" s="49">
        <v>80</v>
      </c>
      <c r="I7" s="50">
        <v>11.196999999999999</v>
      </c>
    </row>
    <row r="8" spans="4:11" x14ac:dyDescent="0.25">
      <c r="H8" s="49">
        <v>31</v>
      </c>
      <c r="I8" s="50">
        <v>10.186</v>
      </c>
    </row>
    <row r="9" spans="4:11" x14ac:dyDescent="0.25">
      <c r="E9" s="48" t="s">
        <v>77</v>
      </c>
      <c r="H9" s="49">
        <v>93</v>
      </c>
      <c r="I9" s="50">
        <v>11.734</v>
      </c>
    </row>
    <row r="10" spans="4:11" x14ac:dyDescent="0.25">
      <c r="D10" s="48" t="s">
        <v>79</v>
      </c>
      <c r="E10" s="39">
        <f>I10</f>
        <v>10.119999999999999</v>
      </c>
      <c r="H10" s="49">
        <v>76</v>
      </c>
      <c r="I10" s="50">
        <v>10.119999999999999</v>
      </c>
      <c r="K10" t="s">
        <v>82</v>
      </c>
    </row>
    <row r="11" spans="4:11" x14ac:dyDescent="0.25">
      <c r="D11" s="48" t="s">
        <v>78</v>
      </c>
      <c r="E11" s="39">
        <f>I13</f>
        <v>9.8049999999999997</v>
      </c>
    </row>
    <row r="12" spans="4:11" x14ac:dyDescent="0.25">
      <c r="D12" s="48" t="s">
        <v>80</v>
      </c>
      <c r="E12" s="39">
        <f>AVERAGE(E10:E11)</f>
        <v>9.9624999999999986</v>
      </c>
      <c r="H12" s="21" t="s">
        <v>76</v>
      </c>
      <c r="I12" s="21" t="s">
        <v>77</v>
      </c>
    </row>
    <row r="13" spans="4:11" x14ac:dyDescent="0.25">
      <c r="H13" s="51">
        <v>52</v>
      </c>
      <c r="I13" s="52">
        <v>9.8049999999999997</v>
      </c>
      <c r="K13" t="s">
        <v>81</v>
      </c>
    </row>
    <row r="14" spans="4:11" x14ac:dyDescent="0.25">
      <c r="H14" s="51">
        <v>39</v>
      </c>
      <c r="I14" s="52">
        <v>9.7279999999999998</v>
      </c>
    </row>
    <row r="15" spans="4:11" x14ac:dyDescent="0.25">
      <c r="H15" s="51">
        <v>42</v>
      </c>
      <c r="I15" s="52">
        <v>9.6709999999999994</v>
      </c>
    </row>
    <row r="16" spans="4:11" x14ac:dyDescent="0.25">
      <c r="H16" s="51">
        <v>43</v>
      </c>
      <c r="I16" s="52">
        <v>9.5310000000000006</v>
      </c>
    </row>
    <row r="17" spans="8:9" x14ac:dyDescent="0.25">
      <c r="H17" s="51">
        <v>29</v>
      </c>
      <c r="I17" s="52">
        <v>8.8079999999999998</v>
      </c>
    </row>
    <row r="18" spans="8:9" x14ac:dyDescent="0.25">
      <c r="H18" s="51">
        <v>58</v>
      </c>
      <c r="I18" s="52">
        <v>8.7029999999999994</v>
      </c>
    </row>
    <row r="19" spans="8:9" x14ac:dyDescent="0.25">
      <c r="H19" s="51">
        <v>17</v>
      </c>
      <c r="I19" s="52">
        <v>8.641</v>
      </c>
    </row>
    <row r="20" spans="8:9" x14ac:dyDescent="0.25">
      <c r="H20" s="51">
        <v>79</v>
      </c>
      <c r="I20" s="52">
        <v>8.5359999999999996</v>
      </c>
    </row>
    <row r="21" spans="8:9" x14ac:dyDescent="0.25">
      <c r="H21" s="51">
        <v>89</v>
      </c>
      <c r="I21" s="52">
        <v>8.1660000000000004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8F994A-750D-476F-B60F-27461DB45D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df_mep</vt:lpstr>
      <vt:lpstr>FF</vt:lpstr>
      <vt:lpstr>ccl</vt:lpstr>
      <vt:lpstr>ejemplito</vt:lpstr>
      <vt:lpstr>bid_ask_price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Federico Ian</dc:creator>
  <cp:lastModifiedBy>Murphy, Federico Ian</cp:lastModifiedBy>
  <dcterms:created xsi:type="dcterms:W3CDTF">2015-06-05T18:17:20Z</dcterms:created>
  <dcterms:modified xsi:type="dcterms:W3CDTF">2023-10-18T23:01:49Z</dcterms:modified>
</cp:coreProperties>
</file>