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federico.murphy\Documents\Stock Exchange\pull_arg_stock\data\outputs\"/>
    </mc:Choice>
  </mc:AlternateContent>
  <xr:revisionPtr revIDLastSave="0" documentId="13_ncr:1_{2C8369BA-E7B6-4910-AA04-46653BE056A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f_mep" sheetId="3" r:id="rId1"/>
    <sheet name="FF" sheetId="2" r:id="rId2"/>
    <sheet name="ccl" sheetId="6" r:id="rId3"/>
    <sheet name="FF real" sheetId="8" r:id="rId4"/>
  </sheets>
  <definedNames>
    <definedName name="_xlnm._FilterDatabase" localSheetId="3" hidden="1">'FF real'!$C$3:$M$17</definedName>
    <definedName name="ExternalData_1" localSheetId="0" hidden="1">df_mep!$A$1:$O$240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8" l="1"/>
  <c r="F19" i="8"/>
  <c r="L19" i="8" s="1"/>
  <c r="D19" i="8"/>
  <c r="C19" i="8"/>
  <c r="L18" i="8"/>
  <c r="M18" i="8" s="1"/>
  <c r="I18" i="8"/>
  <c r="G19" i="8" s="1"/>
  <c r="I19" i="8" s="1"/>
  <c r="D18" i="8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91" i="3"/>
  <c r="O163" i="3"/>
  <c r="O164" i="3"/>
  <c r="O165" i="3"/>
  <c r="O166" i="3"/>
  <c r="O167" i="3"/>
  <c r="O168" i="3"/>
  <c r="O169" i="3"/>
  <c r="O170" i="3"/>
  <c r="O178" i="3"/>
  <c r="O172" i="3"/>
  <c r="O173" i="3"/>
  <c r="O240" i="3"/>
  <c r="O175" i="3"/>
  <c r="O176" i="3"/>
  <c r="O177" i="3"/>
  <c r="O182" i="3"/>
  <c r="O179" i="3"/>
  <c r="O180" i="3"/>
  <c r="O223" i="3"/>
  <c r="O233" i="3"/>
  <c r="O183" i="3"/>
  <c r="O184" i="3"/>
  <c r="O185" i="3"/>
  <c r="O205" i="3"/>
  <c r="O187" i="3"/>
  <c r="O188" i="3"/>
  <c r="O189" i="3"/>
  <c r="O190" i="3"/>
  <c r="O216" i="3"/>
  <c r="O192" i="3"/>
  <c r="O193" i="3"/>
  <c r="O194" i="3"/>
  <c r="O225" i="3"/>
  <c r="O196" i="3"/>
  <c r="O197" i="3"/>
  <c r="O232" i="3"/>
  <c r="O199" i="3"/>
  <c r="O200" i="3"/>
  <c r="O211" i="3"/>
  <c r="O229" i="3"/>
  <c r="O203" i="3"/>
  <c r="O204" i="3"/>
  <c r="O230" i="3"/>
  <c r="O206" i="3"/>
  <c r="O208" i="3"/>
  <c r="O198" i="3"/>
  <c r="O235" i="3"/>
  <c r="O210" i="3"/>
  <c r="O162" i="3"/>
  <c r="O237" i="3"/>
  <c r="O213" i="3"/>
  <c r="O214" i="3"/>
  <c r="O215" i="3"/>
  <c r="O212" i="3"/>
  <c r="O217" i="3"/>
  <c r="O221" i="3"/>
  <c r="O219" i="3"/>
  <c r="O220" i="3"/>
  <c r="O226" i="3"/>
  <c r="O222" i="3"/>
  <c r="O236" i="3"/>
  <c r="O224" i="3"/>
  <c r="O231" i="3"/>
  <c r="O181" i="3"/>
  <c r="O227" i="3"/>
  <c r="O228" i="3"/>
  <c r="O207" i="3"/>
  <c r="O239" i="3"/>
  <c r="O218" i="3"/>
  <c r="O174" i="3"/>
  <c r="O238" i="3"/>
  <c r="O234" i="3"/>
  <c r="O195" i="3"/>
  <c r="O209" i="3"/>
  <c r="O171" i="3"/>
  <c r="O202" i="3"/>
  <c r="O201" i="3"/>
  <c r="O186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91" i="3"/>
  <c r="N163" i="3"/>
  <c r="N164" i="3"/>
  <c r="N165" i="3"/>
  <c r="N166" i="3"/>
  <c r="N167" i="3"/>
  <c r="N168" i="3"/>
  <c r="N169" i="3"/>
  <c r="N170" i="3"/>
  <c r="N178" i="3"/>
  <c r="N172" i="3"/>
  <c r="N173" i="3"/>
  <c r="N240" i="3"/>
  <c r="N175" i="3"/>
  <c r="N176" i="3"/>
  <c r="N177" i="3"/>
  <c r="N182" i="3"/>
  <c r="N179" i="3"/>
  <c r="N180" i="3"/>
  <c r="N223" i="3"/>
  <c r="N233" i="3"/>
  <c r="N183" i="3"/>
  <c r="N184" i="3"/>
  <c r="N185" i="3"/>
  <c r="N205" i="3"/>
  <c r="N187" i="3"/>
  <c r="N188" i="3"/>
  <c r="N189" i="3"/>
  <c r="N190" i="3"/>
  <c r="N216" i="3"/>
  <c r="N192" i="3"/>
  <c r="N193" i="3"/>
  <c r="N194" i="3"/>
  <c r="N225" i="3"/>
  <c r="N196" i="3"/>
  <c r="N197" i="3"/>
  <c r="N232" i="3"/>
  <c r="N199" i="3"/>
  <c r="N200" i="3"/>
  <c r="N211" i="3"/>
  <c r="N229" i="3"/>
  <c r="N203" i="3"/>
  <c r="N204" i="3"/>
  <c r="N230" i="3"/>
  <c r="N206" i="3"/>
  <c r="N208" i="3"/>
  <c r="N198" i="3"/>
  <c r="N235" i="3"/>
  <c r="N210" i="3"/>
  <c r="N162" i="3"/>
  <c r="N237" i="3"/>
  <c r="N213" i="3"/>
  <c r="N214" i="3"/>
  <c r="N215" i="3"/>
  <c r="N212" i="3"/>
  <c r="N217" i="3"/>
  <c r="N221" i="3"/>
  <c r="N219" i="3"/>
  <c r="N220" i="3"/>
  <c r="N226" i="3"/>
  <c r="N222" i="3"/>
  <c r="N236" i="3"/>
  <c r="N224" i="3"/>
  <c r="N231" i="3"/>
  <c r="N181" i="3"/>
  <c r="N227" i="3"/>
  <c r="N228" i="3"/>
  <c r="N207" i="3"/>
  <c r="N239" i="3"/>
  <c r="N218" i="3"/>
  <c r="N174" i="3"/>
  <c r="N238" i="3"/>
  <c r="N234" i="3"/>
  <c r="N195" i="3"/>
  <c r="N209" i="3"/>
  <c r="N171" i="3"/>
  <c r="N202" i="3"/>
  <c r="N201" i="3"/>
  <c r="N186" i="3"/>
  <c r="N2" i="3"/>
  <c r="J169" i="3"/>
  <c r="J239" i="3"/>
  <c r="J160" i="3"/>
  <c r="J173" i="3"/>
  <c r="J140" i="3"/>
  <c r="J231" i="3"/>
  <c r="J141" i="3"/>
  <c r="J233" i="3"/>
  <c r="J212" i="3"/>
  <c r="J2" i="3"/>
  <c r="J175" i="3"/>
  <c r="J158" i="3"/>
  <c r="J205" i="3"/>
  <c r="J147" i="3"/>
  <c r="J130" i="3"/>
  <c r="J194" i="3"/>
  <c r="J204" i="3"/>
  <c r="J206" i="3"/>
  <c r="J156" i="3"/>
  <c r="J137" i="3"/>
  <c r="J3" i="3"/>
  <c r="J219" i="3"/>
  <c r="J208" i="3"/>
  <c r="J172" i="3"/>
  <c r="J167" i="3"/>
  <c r="J228" i="3"/>
  <c r="J192" i="3"/>
  <c r="J153" i="3"/>
  <c r="J213" i="3"/>
  <c r="J223" i="3"/>
  <c r="J230" i="3"/>
  <c r="J134" i="3"/>
  <c r="J190" i="3"/>
  <c r="J150" i="3"/>
  <c r="J220" i="3"/>
  <c r="J197" i="3"/>
  <c r="J183" i="3"/>
  <c r="J148" i="3"/>
  <c r="J225" i="3"/>
  <c r="J166" i="3"/>
  <c r="J145" i="3"/>
  <c r="J4" i="3"/>
  <c r="J180" i="3"/>
  <c r="J161" i="3"/>
  <c r="J203" i="3"/>
  <c r="J142" i="3"/>
  <c r="J226" i="3"/>
  <c r="J198" i="3"/>
  <c r="J146" i="3"/>
  <c r="J144" i="3"/>
  <c r="J5" i="3"/>
  <c r="J6" i="3"/>
  <c r="J214" i="3"/>
  <c r="J131" i="3"/>
  <c r="J196" i="3"/>
  <c r="J210" i="3"/>
  <c r="J215" i="3"/>
  <c r="J179" i="3"/>
  <c r="J184" i="3"/>
  <c r="J235" i="3"/>
  <c r="J229" i="3"/>
  <c r="J237" i="3"/>
  <c r="J149" i="3"/>
  <c r="J7" i="3"/>
  <c r="J159" i="3"/>
  <c r="J200" i="3"/>
  <c r="J207" i="3"/>
  <c r="J181" i="3"/>
  <c r="J193" i="3"/>
  <c r="J162" i="3"/>
  <c r="J8" i="3"/>
  <c r="J151" i="3"/>
  <c r="J201" i="3"/>
  <c r="J139" i="3"/>
  <c r="J234" i="3"/>
  <c r="J132" i="3"/>
  <c r="J209" i="3"/>
  <c r="J163" i="3"/>
  <c r="J232" i="3"/>
  <c r="J186" i="3"/>
  <c r="J157" i="3"/>
  <c r="J199" i="3"/>
  <c r="J136" i="3"/>
  <c r="J9" i="3"/>
  <c r="J221" i="3"/>
  <c r="J171" i="3"/>
  <c r="J195" i="3"/>
  <c r="J240" i="3"/>
  <c r="J10" i="3"/>
  <c r="J238" i="3"/>
  <c r="J155" i="3"/>
  <c r="J236" i="3"/>
  <c r="J11" i="3"/>
  <c r="J164" i="3"/>
  <c r="J135" i="3"/>
  <c r="J165" i="3"/>
  <c r="J170" i="3"/>
  <c r="J129" i="3"/>
  <c r="J12" i="3"/>
  <c r="J217" i="3"/>
  <c r="J13" i="3"/>
  <c r="J188" i="3"/>
  <c r="J218" i="3"/>
  <c r="J187" i="3"/>
  <c r="J176" i="3"/>
  <c r="J154" i="3"/>
  <c r="J189" i="3"/>
  <c r="J211" i="3"/>
  <c r="J138" i="3"/>
  <c r="J14" i="3"/>
  <c r="J177" i="3"/>
  <c r="J15" i="3"/>
  <c r="J16" i="3"/>
  <c r="J222" i="3"/>
  <c r="J17" i="3"/>
  <c r="J133" i="3"/>
  <c r="J178" i="3"/>
  <c r="J191" i="3"/>
  <c r="J202" i="3"/>
  <c r="J174" i="3"/>
  <c r="J185" i="3"/>
  <c r="J224" i="3"/>
  <c r="J182" i="3"/>
  <c r="J227" i="3"/>
  <c r="J143" i="3"/>
  <c r="J216" i="3"/>
  <c r="J152" i="3"/>
  <c r="J168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L169" i="3"/>
  <c r="L239" i="3"/>
  <c r="L160" i="3"/>
  <c r="L173" i="3"/>
  <c r="L140" i="3"/>
  <c r="L231" i="3"/>
  <c r="L141" i="3"/>
  <c r="L233" i="3"/>
  <c r="L212" i="3"/>
  <c r="L2" i="3"/>
  <c r="L175" i="3"/>
  <c r="L158" i="3"/>
  <c r="L205" i="3"/>
  <c r="L147" i="3"/>
  <c r="L130" i="3"/>
  <c r="L194" i="3"/>
  <c r="L204" i="3"/>
  <c r="L206" i="3"/>
  <c r="L156" i="3"/>
  <c r="L137" i="3"/>
  <c r="L3" i="3"/>
  <c r="L219" i="3"/>
  <c r="L208" i="3"/>
  <c r="L172" i="3"/>
  <c r="L167" i="3"/>
  <c r="L228" i="3"/>
  <c r="L192" i="3"/>
  <c r="L153" i="3"/>
  <c r="L213" i="3"/>
  <c r="L223" i="3"/>
  <c r="L230" i="3"/>
  <c r="L134" i="3"/>
  <c r="L190" i="3"/>
  <c r="L150" i="3"/>
  <c r="L220" i="3"/>
  <c r="L197" i="3"/>
  <c r="L183" i="3"/>
  <c r="L148" i="3"/>
  <c r="L225" i="3"/>
  <c r="L166" i="3"/>
  <c r="L145" i="3"/>
  <c r="L4" i="3"/>
  <c r="L180" i="3"/>
  <c r="L161" i="3"/>
  <c r="L203" i="3"/>
  <c r="L142" i="3"/>
  <c r="L226" i="3"/>
  <c r="L198" i="3"/>
  <c r="L146" i="3"/>
  <c r="L144" i="3"/>
  <c r="L5" i="3"/>
  <c r="L6" i="3"/>
  <c r="L214" i="3"/>
  <c r="L131" i="3"/>
  <c r="L196" i="3"/>
  <c r="L210" i="3"/>
  <c r="L215" i="3"/>
  <c r="L179" i="3"/>
  <c r="L184" i="3"/>
  <c r="L235" i="3"/>
  <c r="L229" i="3"/>
  <c r="L237" i="3"/>
  <c r="L149" i="3"/>
  <c r="L7" i="3"/>
  <c r="L159" i="3"/>
  <c r="L200" i="3"/>
  <c r="L207" i="3"/>
  <c r="L181" i="3"/>
  <c r="L193" i="3"/>
  <c r="L162" i="3"/>
  <c r="L8" i="3"/>
  <c r="L151" i="3"/>
  <c r="L201" i="3"/>
  <c r="L139" i="3"/>
  <c r="L234" i="3"/>
  <c r="L132" i="3"/>
  <c r="L209" i="3"/>
  <c r="L163" i="3"/>
  <c r="L232" i="3"/>
  <c r="L186" i="3"/>
  <c r="L157" i="3"/>
  <c r="L199" i="3"/>
  <c r="L136" i="3"/>
  <c r="L9" i="3"/>
  <c r="L221" i="3"/>
  <c r="L171" i="3"/>
  <c r="L195" i="3"/>
  <c r="L240" i="3"/>
  <c r="L10" i="3"/>
  <c r="L238" i="3"/>
  <c r="L155" i="3"/>
  <c r="L236" i="3"/>
  <c r="L11" i="3"/>
  <c r="L164" i="3"/>
  <c r="L135" i="3"/>
  <c r="L165" i="3"/>
  <c r="L170" i="3"/>
  <c r="L129" i="3"/>
  <c r="L12" i="3"/>
  <c r="L217" i="3"/>
  <c r="L13" i="3"/>
  <c r="L188" i="3"/>
  <c r="L218" i="3"/>
  <c r="L187" i="3"/>
  <c r="L176" i="3"/>
  <c r="L154" i="3"/>
  <c r="L189" i="3"/>
  <c r="L211" i="3"/>
  <c r="L138" i="3"/>
  <c r="L14" i="3"/>
  <c r="L177" i="3"/>
  <c r="L15" i="3"/>
  <c r="L16" i="3"/>
  <c r="L222" i="3"/>
  <c r="L17" i="3"/>
  <c r="L133" i="3"/>
  <c r="L178" i="3"/>
  <c r="L191" i="3"/>
  <c r="L202" i="3"/>
  <c r="L174" i="3"/>
  <c r="L185" i="3"/>
  <c r="L224" i="3"/>
  <c r="L182" i="3"/>
  <c r="L227" i="3"/>
  <c r="L143" i="3"/>
  <c r="L216" i="3"/>
  <c r="L152" i="3"/>
  <c r="L168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S169" i="3"/>
  <c r="S239" i="3"/>
  <c r="S160" i="3"/>
  <c r="S173" i="3"/>
  <c r="S140" i="3"/>
  <c r="S231" i="3"/>
  <c r="S141" i="3"/>
  <c r="S233" i="3"/>
  <c r="S212" i="3"/>
  <c r="S2" i="3"/>
  <c r="S175" i="3"/>
  <c r="S158" i="3"/>
  <c r="S205" i="3"/>
  <c r="S147" i="3"/>
  <c r="S130" i="3"/>
  <c r="S194" i="3"/>
  <c r="S204" i="3"/>
  <c r="S206" i="3"/>
  <c r="S156" i="3"/>
  <c r="S137" i="3"/>
  <c r="S3" i="3"/>
  <c r="S219" i="3"/>
  <c r="S208" i="3"/>
  <c r="S172" i="3"/>
  <c r="S167" i="3"/>
  <c r="S228" i="3"/>
  <c r="S192" i="3"/>
  <c r="S153" i="3"/>
  <c r="S213" i="3"/>
  <c r="S223" i="3"/>
  <c r="S230" i="3"/>
  <c r="S134" i="3"/>
  <c r="S190" i="3"/>
  <c r="S150" i="3"/>
  <c r="S220" i="3"/>
  <c r="S197" i="3"/>
  <c r="S183" i="3"/>
  <c r="S148" i="3"/>
  <c r="S225" i="3"/>
  <c r="S166" i="3"/>
  <c r="S145" i="3"/>
  <c r="S4" i="3"/>
  <c r="S180" i="3"/>
  <c r="S161" i="3"/>
  <c r="S203" i="3"/>
  <c r="S142" i="3"/>
  <c r="S226" i="3"/>
  <c r="S198" i="3"/>
  <c r="S146" i="3"/>
  <c r="S144" i="3"/>
  <c r="S5" i="3"/>
  <c r="S6" i="3"/>
  <c r="S214" i="3"/>
  <c r="S131" i="3"/>
  <c r="S196" i="3"/>
  <c r="S210" i="3"/>
  <c r="S215" i="3"/>
  <c r="S179" i="3"/>
  <c r="S184" i="3"/>
  <c r="S235" i="3"/>
  <c r="S229" i="3"/>
  <c r="S237" i="3"/>
  <c r="S149" i="3"/>
  <c r="S7" i="3"/>
  <c r="S159" i="3"/>
  <c r="S200" i="3"/>
  <c r="S207" i="3"/>
  <c r="S181" i="3"/>
  <c r="S193" i="3"/>
  <c r="S162" i="3"/>
  <c r="S8" i="3"/>
  <c r="S151" i="3"/>
  <c r="S201" i="3"/>
  <c r="S139" i="3"/>
  <c r="S234" i="3"/>
  <c r="S132" i="3"/>
  <c r="S209" i="3"/>
  <c r="S163" i="3"/>
  <c r="S232" i="3"/>
  <c r="S186" i="3"/>
  <c r="S157" i="3"/>
  <c r="S199" i="3"/>
  <c r="S136" i="3"/>
  <c r="S9" i="3"/>
  <c r="S221" i="3"/>
  <c r="S171" i="3"/>
  <c r="S195" i="3"/>
  <c r="S240" i="3"/>
  <c r="S10" i="3"/>
  <c r="S238" i="3"/>
  <c r="S155" i="3"/>
  <c r="S236" i="3"/>
  <c r="S11" i="3"/>
  <c r="S164" i="3"/>
  <c r="S135" i="3"/>
  <c r="S165" i="3"/>
  <c r="S170" i="3"/>
  <c r="S129" i="3"/>
  <c r="S12" i="3"/>
  <c r="S217" i="3"/>
  <c r="S13" i="3"/>
  <c r="S188" i="3"/>
  <c r="S218" i="3"/>
  <c r="S187" i="3"/>
  <c r="S176" i="3"/>
  <c r="S154" i="3"/>
  <c r="S189" i="3"/>
  <c r="S211" i="3"/>
  <c r="S138" i="3"/>
  <c r="S14" i="3"/>
  <c r="S177" i="3"/>
  <c r="S15" i="3"/>
  <c r="S16" i="3"/>
  <c r="S222" i="3"/>
  <c r="S17" i="3"/>
  <c r="S133" i="3"/>
  <c r="S178" i="3"/>
  <c r="S191" i="3"/>
  <c r="S202" i="3"/>
  <c r="S174" i="3"/>
  <c r="S185" i="3"/>
  <c r="S224" i="3"/>
  <c r="S182" i="3"/>
  <c r="S227" i="3"/>
  <c r="S143" i="3"/>
  <c r="S216" i="3"/>
  <c r="S152" i="3"/>
  <c r="S168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T169" i="3"/>
  <c r="T239" i="3"/>
  <c r="T160" i="3"/>
  <c r="T173" i="3"/>
  <c r="T140" i="3"/>
  <c r="T231" i="3"/>
  <c r="T141" i="3"/>
  <c r="T233" i="3"/>
  <c r="T212" i="3"/>
  <c r="T2" i="3"/>
  <c r="T175" i="3"/>
  <c r="T158" i="3"/>
  <c r="T205" i="3"/>
  <c r="T147" i="3"/>
  <c r="T130" i="3"/>
  <c r="T194" i="3"/>
  <c r="T204" i="3"/>
  <c r="T206" i="3"/>
  <c r="T156" i="3"/>
  <c r="T137" i="3"/>
  <c r="T3" i="3"/>
  <c r="T219" i="3"/>
  <c r="T208" i="3"/>
  <c r="T172" i="3"/>
  <c r="T167" i="3"/>
  <c r="T228" i="3"/>
  <c r="T192" i="3"/>
  <c r="T153" i="3"/>
  <c r="T213" i="3"/>
  <c r="T223" i="3"/>
  <c r="T230" i="3"/>
  <c r="T134" i="3"/>
  <c r="T190" i="3"/>
  <c r="T150" i="3"/>
  <c r="T220" i="3"/>
  <c r="T197" i="3"/>
  <c r="T183" i="3"/>
  <c r="T148" i="3"/>
  <c r="T225" i="3"/>
  <c r="T166" i="3"/>
  <c r="T145" i="3"/>
  <c r="T4" i="3"/>
  <c r="T180" i="3"/>
  <c r="T161" i="3"/>
  <c r="T203" i="3"/>
  <c r="T142" i="3"/>
  <c r="T226" i="3"/>
  <c r="T198" i="3"/>
  <c r="T146" i="3"/>
  <c r="T144" i="3"/>
  <c r="T5" i="3"/>
  <c r="T6" i="3"/>
  <c r="T214" i="3"/>
  <c r="T131" i="3"/>
  <c r="T196" i="3"/>
  <c r="T210" i="3"/>
  <c r="T215" i="3"/>
  <c r="T179" i="3"/>
  <c r="T184" i="3"/>
  <c r="T235" i="3"/>
  <c r="T229" i="3"/>
  <c r="T237" i="3"/>
  <c r="T149" i="3"/>
  <c r="T7" i="3"/>
  <c r="T159" i="3"/>
  <c r="T200" i="3"/>
  <c r="T207" i="3"/>
  <c r="T181" i="3"/>
  <c r="T193" i="3"/>
  <c r="T162" i="3"/>
  <c r="T8" i="3"/>
  <c r="T151" i="3"/>
  <c r="T201" i="3"/>
  <c r="T139" i="3"/>
  <c r="T234" i="3"/>
  <c r="T132" i="3"/>
  <c r="T209" i="3"/>
  <c r="T163" i="3"/>
  <c r="T232" i="3"/>
  <c r="T186" i="3"/>
  <c r="T157" i="3"/>
  <c r="T199" i="3"/>
  <c r="T136" i="3"/>
  <c r="T9" i="3"/>
  <c r="T221" i="3"/>
  <c r="T171" i="3"/>
  <c r="T195" i="3"/>
  <c r="T240" i="3"/>
  <c r="T10" i="3"/>
  <c r="T238" i="3"/>
  <c r="T155" i="3"/>
  <c r="T236" i="3"/>
  <c r="T11" i="3"/>
  <c r="T164" i="3"/>
  <c r="T135" i="3"/>
  <c r="T165" i="3"/>
  <c r="T170" i="3"/>
  <c r="T129" i="3"/>
  <c r="T12" i="3"/>
  <c r="T217" i="3"/>
  <c r="T13" i="3"/>
  <c r="T188" i="3"/>
  <c r="T218" i="3"/>
  <c r="T187" i="3"/>
  <c r="T176" i="3"/>
  <c r="T154" i="3"/>
  <c r="T189" i="3"/>
  <c r="T211" i="3"/>
  <c r="T138" i="3"/>
  <c r="T14" i="3"/>
  <c r="T177" i="3"/>
  <c r="T15" i="3"/>
  <c r="T16" i="3"/>
  <c r="T222" i="3"/>
  <c r="T17" i="3"/>
  <c r="T133" i="3"/>
  <c r="T178" i="3"/>
  <c r="T191" i="3"/>
  <c r="T202" i="3"/>
  <c r="T174" i="3"/>
  <c r="T185" i="3"/>
  <c r="T224" i="3"/>
  <c r="T182" i="3"/>
  <c r="T227" i="3"/>
  <c r="T143" i="3"/>
  <c r="T216" i="3"/>
  <c r="T152" i="3"/>
  <c r="T168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L6" i="8"/>
  <c r="L8" i="8"/>
  <c r="L10" i="8"/>
  <c r="L11" i="8"/>
  <c r="L13" i="8"/>
  <c r="L14" i="8"/>
  <c r="L16" i="8"/>
  <c r="L4" i="8"/>
  <c r="F12" i="8"/>
  <c r="L12" i="8" s="1"/>
  <c r="F17" i="8"/>
  <c r="L17" i="8" s="1"/>
  <c r="D17" i="8"/>
  <c r="C17" i="8"/>
  <c r="I16" i="8"/>
  <c r="I17" i="8" s="1"/>
  <c r="D16" i="8"/>
  <c r="F15" i="8"/>
  <c r="L15" i="8" s="1"/>
  <c r="I15" i="8"/>
  <c r="I13" i="8"/>
  <c r="G14" i="8" s="1"/>
  <c r="I14" i="8" s="1"/>
  <c r="I10" i="8"/>
  <c r="I11" i="8" s="1"/>
  <c r="I12" i="8" s="1"/>
  <c r="I8" i="8"/>
  <c r="G9" i="8" s="1"/>
  <c r="I9" i="8" s="1"/>
  <c r="I6" i="8"/>
  <c r="I4" i="8"/>
  <c r="G5" i="8" s="1"/>
  <c r="I5" i="8" s="1"/>
  <c r="D14" i="8"/>
  <c r="C14" i="8"/>
  <c r="D15" i="8" s="1"/>
  <c r="D13" i="8"/>
  <c r="D11" i="8"/>
  <c r="C11" i="8"/>
  <c r="D12" i="8" s="1"/>
  <c r="D10" i="8"/>
  <c r="F5" i="8"/>
  <c r="L5" i="8" s="1"/>
  <c r="D5" i="8"/>
  <c r="C5" i="8"/>
  <c r="D4" i="8"/>
  <c r="F9" i="8"/>
  <c r="L9" i="8" s="1"/>
  <c r="D9" i="8"/>
  <c r="C9" i="8"/>
  <c r="D8" i="8"/>
  <c r="F7" i="8"/>
  <c r="L7" i="8" s="1"/>
  <c r="D7" i="8"/>
  <c r="G7" i="8"/>
  <c r="I7" i="8" s="1"/>
  <c r="C7" i="8"/>
  <c r="D6" i="8"/>
  <c r="Q237" i="3" l="1"/>
  <c r="Q127" i="3"/>
  <c r="Q71" i="3"/>
  <c r="Q95" i="3"/>
  <c r="Q121" i="3"/>
  <c r="Q113" i="3"/>
  <c r="Q105" i="3"/>
  <c r="Q97" i="3"/>
  <c r="Q90" i="3"/>
  <c r="P217" i="3"/>
  <c r="P235" i="3"/>
  <c r="P140" i="3"/>
  <c r="Q39" i="3"/>
  <c r="Q116" i="3"/>
  <c r="Q87" i="3"/>
  <c r="Q138" i="3"/>
  <c r="Q98" i="3"/>
  <c r="Q23" i="3"/>
  <c r="Q62" i="3"/>
  <c r="Q122" i="3"/>
  <c r="Q108" i="3"/>
  <c r="Q31" i="3"/>
  <c r="Q119" i="3"/>
  <c r="Q79" i="3"/>
  <c r="Q22" i="3"/>
  <c r="Q114" i="3"/>
  <c r="Q63" i="3"/>
  <c r="Q100" i="3"/>
  <c r="Q164" i="3"/>
  <c r="Q188" i="3"/>
  <c r="Q111" i="3"/>
  <c r="Q55" i="3"/>
  <c r="Q131" i="3"/>
  <c r="Q205" i="3"/>
  <c r="Q106" i="3"/>
  <c r="Q47" i="3"/>
  <c r="Q124" i="3"/>
  <c r="Q92" i="3"/>
  <c r="Q191" i="3"/>
  <c r="Q103" i="3"/>
  <c r="P179" i="3"/>
  <c r="P53" i="3"/>
  <c r="P178" i="3"/>
  <c r="P197" i="3"/>
  <c r="P181" i="3"/>
  <c r="Q123" i="3"/>
  <c r="Q115" i="3"/>
  <c r="Q107" i="3"/>
  <c r="Q99" i="3"/>
  <c r="Q91" i="3"/>
  <c r="Q70" i="3"/>
  <c r="Q30" i="3"/>
  <c r="Q11" i="3"/>
  <c r="Q148" i="3"/>
  <c r="Q171" i="3"/>
  <c r="Q128" i="3"/>
  <c r="Q120" i="3"/>
  <c r="Q112" i="3"/>
  <c r="Q104" i="3"/>
  <c r="Q96" i="3"/>
  <c r="Q86" i="3"/>
  <c r="Q214" i="3"/>
  <c r="Q85" i="3"/>
  <c r="Q14" i="3"/>
  <c r="Q140" i="3"/>
  <c r="Q126" i="3"/>
  <c r="Q118" i="3"/>
  <c r="Q110" i="3"/>
  <c r="Q102" i="3"/>
  <c r="Q94" i="3"/>
  <c r="Q125" i="3"/>
  <c r="R125" i="3" s="1"/>
  <c r="Q117" i="3"/>
  <c r="Q109" i="3"/>
  <c r="Q101" i="3"/>
  <c r="Q93" i="3"/>
  <c r="Q78" i="3"/>
  <c r="Q38" i="3"/>
  <c r="Q13" i="3"/>
  <c r="Q82" i="3"/>
  <c r="Q54" i="3"/>
  <c r="Q216" i="3"/>
  <c r="Q163" i="3"/>
  <c r="Q147" i="3"/>
  <c r="Q142" i="3"/>
  <c r="Q141" i="3"/>
  <c r="Q178" i="3"/>
  <c r="Q46" i="3"/>
  <c r="Q143" i="3"/>
  <c r="Q221" i="3"/>
  <c r="Q203" i="3"/>
  <c r="Q193" i="3"/>
  <c r="Q209" i="3"/>
  <c r="Q183" i="3"/>
  <c r="Q162" i="3"/>
  <c r="Q3" i="3"/>
  <c r="Q229" i="3"/>
  <c r="P45" i="3"/>
  <c r="P153" i="3"/>
  <c r="P195" i="3"/>
  <c r="P161" i="3"/>
  <c r="P21" i="3"/>
  <c r="P173" i="3"/>
  <c r="P219" i="3"/>
  <c r="P227" i="3"/>
  <c r="P162" i="3"/>
  <c r="P117" i="3"/>
  <c r="P203" i="3"/>
  <c r="P109" i="3"/>
  <c r="P236" i="3"/>
  <c r="P225" i="3"/>
  <c r="P85" i="3"/>
  <c r="R85" i="3" s="1"/>
  <c r="P187" i="3"/>
  <c r="P77" i="3"/>
  <c r="P101" i="3"/>
  <c r="P37" i="3"/>
  <c r="P9" i="3"/>
  <c r="P137" i="3"/>
  <c r="P221" i="3"/>
  <c r="P210" i="3"/>
  <c r="P229" i="3"/>
  <c r="P194" i="3"/>
  <c r="P205" i="3"/>
  <c r="P170" i="3"/>
  <c r="P93" i="3"/>
  <c r="P29" i="3"/>
  <c r="P132" i="3"/>
  <c r="P158" i="3"/>
  <c r="P231" i="3"/>
  <c r="P193" i="3"/>
  <c r="P185" i="3"/>
  <c r="P177" i="3"/>
  <c r="P169" i="3"/>
  <c r="P69" i="3"/>
  <c r="P133" i="3"/>
  <c r="P6" i="3"/>
  <c r="P214" i="3"/>
  <c r="P190" i="3"/>
  <c r="P233" i="3"/>
  <c r="P166" i="3"/>
  <c r="P125" i="3"/>
  <c r="P61" i="3"/>
  <c r="P211" i="3"/>
  <c r="Q231" i="3"/>
  <c r="Q223" i="3"/>
  <c r="Q213" i="3"/>
  <c r="Q219" i="3"/>
  <c r="Q77" i="3"/>
  <c r="Q69" i="3"/>
  <c r="Q61" i="3"/>
  <c r="Q53" i="3"/>
  <c r="Q45" i="3"/>
  <c r="Q37" i="3"/>
  <c r="Q29" i="3"/>
  <c r="Q21" i="3"/>
  <c r="Q227" i="3"/>
  <c r="Q133" i="3"/>
  <c r="Q211" i="3"/>
  <c r="Q217" i="3"/>
  <c r="Q236" i="3"/>
  <c r="Q9" i="3"/>
  <c r="Q132" i="3"/>
  <c r="R132" i="3" s="1"/>
  <c r="Q181" i="3"/>
  <c r="Q235" i="3"/>
  <c r="Q6" i="3"/>
  <c r="Q161" i="3"/>
  <c r="Q197" i="3"/>
  <c r="R197" i="3" s="1"/>
  <c r="Q153" i="3"/>
  <c r="Q137" i="3"/>
  <c r="Q158" i="3"/>
  <c r="Q173" i="3"/>
  <c r="R173" i="3" s="1"/>
  <c r="Q84" i="3"/>
  <c r="Q76" i="3"/>
  <c r="Q68" i="3"/>
  <c r="Q60" i="3"/>
  <c r="Q52" i="3"/>
  <c r="Q44" i="3"/>
  <c r="Q36" i="3"/>
  <c r="Q28" i="3"/>
  <c r="Q20" i="3"/>
  <c r="Q182" i="3"/>
  <c r="Q17" i="3"/>
  <c r="Q189" i="3"/>
  <c r="Q12" i="3"/>
  <c r="Q155" i="3"/>
  <c r="Q136" i="3"/>
  <c r="Q234" i="3"/>
  <c r="Q207" i="3"/>
  <c r="Q184" i="3"/>
  <c r="Q5" i="3"/>
  <c r="Q180" i="3"/>
  <c r="Q220" i="3"/>
  <c r="R220" i="3" s="1"/>
  <c r="Q192" i="3"/>
  <c r="Q156" i="3"/>
  <c r="Q175" i="3"/>
  <c r="Q160" i="3"/>
  <c r="Q83" i="3"/>
  <c r="Q75" i="3"/>
  <c r="Q67" i="3"/>
  <c r="Q59" i="3"/>
  <c r="Q51" i="3"/>
  <c r="Q43" i="3"/>
  <c r="Q35" i="3"/>
  <c r="Q27" i="3"/>
  <c r="Q19" i="3"/>
  <c r="Q224" i="3"/>
  <c r="Q222" i="3"/>
  <c r="Q154" i="3"/>
  <c r="Q129" i="3"/>
  <c r="Q238" i="3"/>
  <c r="Q199" i="3"/>
  <c r="Q139" i="3"/>
  <c r="Q200" i="3"/>
  <c r="Q179" i="3"/>
  <c r="Q144" i="3"/>
  <c r="Q4" i="3"/>
  <c r="Q150" i="3"/>
  <c r="Q228" i="3"/>
  <c r="Q206" i="3"/>
  <c r="Q2" i="3"/>
  <c r="Q239" i="3"/>
  <c r="Q74" i="3"/>
  <c r="Q66" i="3"/>
  <c r="Q58" i="3"/>
  <c r="Q50" i="3"/>
  <c r="Q42" i="3"/>
  <c r="Q34" i="3"/>
  <c r="Q26" i="3"/>
  <c r="Q18" i="3"/>
  <c r="Q185" i="3"/>
  <c r="Q16" i="3"/>
  <c r="Q176" i="3"/>
  <c r="Q170" i="3"/>
  <c r="Q10" i="3"/>
  <c r="Q157" i="3"/>
  <c r="Q201" i="3"/>
  <c r="Q159" i="3"/>
  <c r="Q215" i="3"/>
  <c r="Q146" i="3"/>
  <c r="Q145" i="3"/>
  <c r="Q190" i="3"/>
  <c r="Q167" i="3"/>
  <c r="Q204" i="3"/>
  <c r="Q212" i="3"/>
  <c r="Q169" i="3"/>
  <c r="Q89" i="3"/>
  <c r="Q81" i="3"/>
  <c r="Q73" i="3"/>
  <c r="Q65" i="3"/>
  <c r="Q57" i="3"/>
  <c r="Q49" i="3"/>
  <c r="Q41" i="3"/>
  <c r="Q33" i="3"/>
  <c r="Q25" i="3"/>
  <c r="Q168" i="3"/>
  <c r="Q174" i="3"/>
  <c r="Q15" i="3"/>
  <c r="Q187" i="3"/>
  <c r="Q165" i="3"/>
  <c r="Q240" i="3"/>
  <c r="Q186" i="3"/>
  <c r="Q151" i="3"/>
  <c r="Q7" i="3"/>
  <c r="Q210" i="3"/>
  <c r="Q198" i="3"/>
  <c r="Q166" i="3"/>
  <c r="Q134" i="3"/>
  <c r="Q172" i="3"/>
  <c r="Q194" i="3"/>
  <c r="Q233" i="3"/>
  <c r="Q88" i="3"/>
  <c r="Q80" i="3"/>
  <c r="Q72" i="3"/>
  <c r="Q64" i="3"/>
  <c r="Q56" i="3"/>
  <c r="Q48" i="3"/>
  <c r="Q40" i="3"/>
  <c r="Q32" i="3"/>
  <c r="Q24" i="3"/>
  <c r="Q152" i="3"/>
  <c r="Q202" i="3"/>
  <c r="Q177" i="3"/>
  <c r="Q218" i="3"/>
  <c r="Q135" i="3"/>
  <c r="Q195" i="3"/>
  <c r="R195" i="3" s="1"/>
  <c r="Q232" i="3"/>
  <c r="Q8" i="3"/>
  <c r="Q149" i="3"/>
  <c r="Q196" i="3"/>
  <c r="Q226" i="3"/>
  <c r="Q225" i="3"/>
  <c r="R225" i="3" s="1"/>
  <c r="Q230" i="3"/>
  <c r="Q208" i="3"/>
  <c r="Q130" i="3"/>
  <c r="P116" i="3"/>
  <c r="P68" i="3"/>
  <c r="P20" i="3"/>
  <c r="R20" i="3" s="1"/>
  <c r="P155" i="3"/>
  <c r="P5" i="3"/>
  <c r="P175" i="3"/>
  <c r="P115" i="3"/>
  <c r="P83" i="3"/>
  <c r="R83" i="3" s="1"/>
  <c r="P19" i="3"/>
  <c r="P238" i="3"/>
  <c r="P144" i="3"/>
  <c r="P2" i="3"/>
  <c r="R2" i="3" s="1"/>
  <c r="P122" i="3"/>
  <c r="R122" i="3" s="1"/>
  <c r="P114" i="3"/>
  <c r="P106" i="3"/>
  <c r="R106" i="3" s="1"/>
  <c r="P98" i="3"/>
  <c r="P90" i="3"/>
  <c r="P82" i="3"/>
  <c r="R82" i="3" s="1"/>
  <c r="P74" i="3"/>
  <c r="P66" i="3"/>
  <c r="P58" i="3"/>
  <c r="P50" i="3"/>
  <c r="P42" i="3"/>
  <c r="P34" i="3"/>
  <c r="P26" i="3"/>
  <c r="P18" i="3"/>
  <c r="R18" i="3" s="1"/>
  <c r="P16" i="3"/>
  <c r="P176" i="3"/>
  <c r="P10" i="3"/>
  <c r="P157" i="3"/>
  <c r="P201" i="3"/>
  <c r="R201" i="3" s="1"/>
  <c r="P159" i="3"/>
  <c r="R159" i="3" s="1"/>
  <c r="P215" i="3"/>
  <c r="P146" i="3"/>
  <c r="P145" i="3"/>
  <c r="P167" i="3"/>
  <c r="P204" i="3"/>
  <c r="P212" i="3"/>
  <c r="P124" i="3"/>
  <c r="P76" i="3"/>
  <c r="R76" i="3" s="1"/>
  <c r="P36" i="3"/>
  <c r="P189" i="3"/>
  <c r="P207" i="3"/>
  <c r="R207" i="3" s="1"/>
  <c r="P192" i="3"/>
  <c r="P123" i="3"/>
  <c r="P91" i="3"/>
  <c r="P51" i="3"/>
  <c r="P222" i="3"/>
  <c r="P200" i="3"/>
  <c r="P228" i="3"/>
  <c r="P121" i="3"/>
  <c r="R121" i="3" s="1"/>
  <c r="P113" i="3"/>
  <c r="R113" i="3" s="1"/>
  <c r="P105" i="3"/>
  <c r="P97" i="3"/>
  <c r="P89" i="3"/>
  <c r="P81" i="3"/>
  <c r="P73" i="3"/>
  <c r="P65" i="3"/>
  <c r="P57" i="3"/>
  <c r="P49" i="3"/>
  <c r="P41" i="3"/>
  <c r="R41" i="3" s="1"/>
  <c r="P33" i="3"/>
  <c r="P25" i="3"/>
  <c r="P168" i="3"/>
  <c r="P174" i="3"/>
  <c r="P15" i="3"/>
  <c r="P165" i="3"/>
  <c r="P240" i="3"/>
  <c r="P186" i="3"/>
  <c r="R186" i="3" s="1"/>
  <c r="P151" i="3"/>
  <c r="P7" i="3"/>
  <c r="P198" i="3"/>
  <c r="P134" i="3"/>
  <c r="P172" i="3"/>
  <c r="R172" i="3" s="1"/>
  <c r="P108" i="3"/>
  <c r="R108" i="3" s="1"/>
  <c r="P84" i="3"/>
  <c r="R84" i="3" s="1"/>
  <c r="P44" i="3"/>
  <c r="P17" i="3"/>
  <c r="P12" i="3"/>
  <c r="P234" i="3"/>
  <c r="P220" i="3"/>
  <c r="P160" i="3"/>
  <c r="R160" i="3" s="1"/>
  <c r="P99" i="3"/>
  <c r="P67" i="3"/>
  <c r="P35" i="3"/>
  <c r="P224" i="3"/>
  <c r="P129" i="3"/>
  <c r="P139" i="3"/>
  <c r="R139" i="3" s="1"/>
  <c r="P150" i="3"/>
  <c r="P239" i="3"/>
  <c r="R239" i="3" s="1"/>
  <c r="P128" i="3"/>
  <c r="R128" i="3" s="1"/>
  <c r="P120" i="3"/>
  <c r="R120" i="3" s="1"/>
  <c r="P112" i="3"/>
  <c r="P104" i="3"/>
  <c r="R104" i="3" s="1"/>
  <c r="P96" i="3"/>
  <c r="R96" i="3" s="1"/>
  <c r="P88" i="3"/>
  <c r="P80" i="3"/>
  <c r="P72" i="3"/>
  <c r="P64" i="3"/>
  <c r="P56" i="3"/>
  <c r="P48" i="3"/>
  <c r="P40" i="3"/>
  <c r="P32" i="3"/>
  <c r="P24" i="3"/>
  <c r="P152" i="3"/>
  <c r="P202" i="3"/>
  <c r="P218" i="3"/>
  <c r="P135" i="3"/>
  <c r="P232" i="3"/>
  <c r="P8" i="3"/>
  <c r="P149" i="3"/>
  <c r="P196" i="3"/>
  <c r="P226" i="3"/>
  <c r="P230" i="3"/>
  <c r="P208" i="3"/>
  <c r="R208" i="3" s="1"/>
  <c r="P130" i="3"/>
  <c r="P141" i="3"/>
  <c r="P92" i="3"/>
  <c r="P52" i="3"/>
  <c r="P28" i="3"/>
  <c r="P184" i="3"/>
  <c r="R184" i="3" s="1"/>
  <c r="P75" i="3"/>
  <c r="P43" i="3"/>
  <c r="P154" i="3"/>
  <c r="P127" i="3"/>
  <c r="R127" i="3" s="1"/>
  <c r="P119" i="3"/>
  <c r="P111" i="3"/>
  <c r="P103" i="3"/>
  <c r="P95" i="3"/>
  <c r="R95" i="3" s="1"/>
  <c r="P87" i="3"/>
  <c r="P79" i="3"/>
  <c r="R79" i="3" s="1"/>
  <c r="P71" i="3"/>
  <c r="R71" i="3" s="1"/>
  <c r="P63" i="3"/>
  <c r="R63" i="3" s="1"/>
  <c r="P55" i="3"/>
  <c r="P47" i="3"/>
  <c r="R47" i="3" s="1"/>
  <c r="P39" i="3"/>
  <c r="R39" i="3" s="1"/>
  <c r="P31" i="3"/>
  <c r="R31" i="3" s="1"/>
  <c r="P23" i="3"/>
  <c r="P216" i="3"/>
  <c r="P191" i="3"/>
  <c r="P14" i="3"/>
  <c r="P188" i="3"/>
  <c r="P164" i="3"/>
  <c r="P171" i="3"/>
  <c r="P163" i="3"/>
  <c r="P237" i="3"/>
  <c r="R237" i="3" s="1"/>
  <c r="P131" i="3"/>
  <c r="P142" i="3"/>
  <c r="R142" i="3" s="1"/>
  <c r="P148" i="3"/>
  <c r="P223" i="3"/>
  <c r="P147" i="3"/>
  <c r="R147" i="3" s="1"/>
  <c r="P100" i="3"/>
  <c r="R100" i="3" s="1"/>
  <c r="P60" i="3"/>
  <c r="P182" i="3"/>
  <c r="R182" i="3" s="1"/>
  <c r="P136" i="3"/>
  <c r="P180" i="3"/>
  <c r="P156" i="3"/>
  <c r="P107" i="3"/>
  <c r="P59" i="3"/>
  <c r="P27" i="3"/>
  <c r="R27" i="3" s="1"/>
  <c r="P199" i="3"/>
  <c r="P4" i="3"/>
  <c r="R4" i="3" s="1"/>
  <c r="P206" i="3"/>
  <c r="P126" i="3"/>
  <c r="P118" i="3"/>
  <c r="R118" i="3" s="1"/>
  <c r="P110" i="3"/>
  <c r="R110" i="3" s="1"/>
  <c r="P102" i="3"/>
  <c r="P94" i="3"/>
  <c r="P86" i="3"/>
  <c r="P78" i="3"/>
  <c r="R78" i="3" s="1"/>
  <c r="P70" i="3"/>
  <c r="R70" i="3" s="1"/>
  <c r="P62" i="3"/>
  <c r="R62" i="3" s="1"/>
  <c r="P54" i="3"/>
  <c r="P46" i="3"/>
  <c r="P38" i="3"/>
  <c r="P30" i="3"/>
  <c r="R30" i="3" s="1"/>
  <c r="P22" i="3"/>
  <c r="P143" i="3"/>
  <c r="P138" i="3"/>
  <c r="R138" i="3" s="1"/>
  <c r="P13" i="3"/>
  <c r="P11" i="3"/>
  <c r="P209" i="3"/>
  <c r="R209" i="3" s="1"/>
  <c r="P183" i="3"/>
  <c r="P213" i="3"/>
  <c r="P3" i="3"/>
  <c r="R178" i="3"/>
  <c r="R221" i="3"/>
  <c r="R133" i="3"/>
  <c r="R235" i="3"/>
  <c r="R116" i="3"/>
  <c r="R19" i="3"/>
  <c r="R26" i="3"/>
  <c r="R212" i="3"/>
  <c r="R200" i="3"/>
  <c r="M10" i="8"/>
  <c r="C12" i="8"/>
  <c r="M13" i="8"/>
  <c r="M7" i="8"/>
  <c r="C15" i="8"/>
  <c r="M16" i="8"/>
  <c r="M5" i="8"/>
  <c r="M8" i="8"/>
  <c r="AO6" i="2"/>
  <c r="AP28" i="2"/>
  <c r="AQ28" i="2" s="1"/>
  <c r="AR28" i="2" s="1"/>
  <c r="AS28" i="2" s="1"/>
  <c r="AT28" i="2" s="1"/>
  <c r="AU28" i="2" s="1"/>
  <c r="AN35" i="2"/>
  <c r="AN36" i="2"/>
  <c r="AM27" i="2"/>
  <c r="AP23" i="2"/>
  <c r="AQ23" i="2" s="1"/>
  <c r="AR23" i="2" s="1"/>
  <c r="AS23" i="2" s="1"/>
  <c r="AT23" i="2" s="1"/>
  <c r="AU23" i="2" s="1"/>
  <c r="AP14" i="2"/>
  <c r="AQ14" i="2" s="1"/>
  <c r="AR14" i="2" s="1"/>
  <c r="AS14" i="2" s="1"/>
  <c r="AT14" i="2" s="1"/>
  <c r="AU14" i="2" s="1"/>
  <c r="AB23" i="2"/>
  <c r="AC23" i="2" s="1"/>
  <c r="AD23" i="2" s="1"/>
  <c r="AE23" i="2" s="1"/>
  <c r="AF23" i="2" s="1"/>
  <c r="AG23" i="2" s="1"/>
  <c r="AH23" i="2" s="1"/>
  <c r="AI23" i="2" s="1"/>
  <c r="AB14" i="2"/>
  <c r="AC14" i="2" s="1"/>
  <c r="AD14" i="2" s="1"/>
  <c r="F24" i="2"/>
  <c r="G24" i="2" s="1"/>
  <c r="H24" i="2" s="1"/>
  <c r="I24" i="2" s="1"/>
  <c r="F15" i="2"/>
  <c r="G15" i="2" s="1"/>
  <c r="H15" i="2" s="1"/>
  <c r="I15" i="2" s="1"/>
  <c r="M4" i="2"/>
  <c r="R87" i="3" l="1"/>
  <c r="R3" i="3"/>
  <c r="R171" i="3"/>
  <c r="R59" i="3"/>
  <c r="R111" i="3"/>
  <c r="R52" i="3"/>
  <c r="R12" i="3"/>
  <c r="R115" i="3"/>
  <c r="R46" i="3"/>
  <c r="R119" i="3"/>
  <c r="R105" i="3"/>
  <c r="R58" i="3"/>
  <c r="R191" i="3"/>
  <c r="R154" i="3"/>
  <c r="R176" i="3"/>
  <c r="R205" i="3"/>
  <c r="R210" i="3"/>
  <c r="R211" i="3"/>
  <c r="R6" i="3"/>
  <c r="R219" i="3"/>
  <c r="R140" i="3"/>
  <c r="R103" i="3"/>
  <c r="R164" i="3"/>
  <c r="R124" i="3"/>
  <c r="R55" i="3"/>
  <c r="R97" i="3"/>
  <c r="R166" i="3"/>
  <c r="R228" i="3"/>
  <c r="R158" i="3"/>
  <c r="R90" i="3"/>
  <c r="R50" i="3"/>
  <c r="R129" i="3"/>
  <c r="R37" i="3"/>
  <c r="R174" i="3"/>
  <c r="R73" i="3"/>
  <c r="R230" i="3"/>
  <c r="R194" i="3"/>
  <c r="R101" i="3"/>
  <c r="R93" i="3"/>
  <c r="R77" i="3"/>
  <c r="R162" i="3"/>
  <c r="R45" i="3"/>
  <c r="R170" i="3"/>
  <c r="R156" i="3"/>
  <c r="R153" i="3"/>
  <c r="R114" i="3"/>
  <c r="R217" i="3"/>
  <c r="R136" i="3"/>
  <c r="R131" i="3"/>
  <c r="R216" i="3"/>
  <c r="R43" i="3"/>
  <c r="R99" i="3"/>
  <c r="R238" i="3"/>
  <c r="R22" i="3"/>
  <c r="R213" i="3"/>
  <c r="R98" i="3"/>
  <c r="R179" i="3"/>
  <c r="R109" i="3"/>
  <c r="R145" i="3"/>
  <c r="R202" i="3"/>
  <c r="R15" i="3"/>
  <c r="R65" i="3"/>
  <c r="R51" i="3"/>
  <c r="R44" i="3"/>
  <c r="R227" i="3"/>
  <c r="R117" i="3"/>
  <c r="R14" i="3"/>
  <c r="R23" i="3"/>
  <c r="R53" i="3"/>
  <c r="R123" i="3"/>
  <c r="R40" i="3"/>
  <c r="R33" i="3"/>
  <c r="R69" i="3"/>
  <c r="R94" i="3"/>
  <c r="R188" i="3"/>
  <c r="R92" i="3"/>
  <c r="R148" i="3"/>
  <c r="R48" i="3"/>
  <c r="R13" i="3"/>
  <c r="R56" i="3"/>
  <c r="R214" i="3"/>
  <c r="R143" i="3"/>
  <c r="R72" i="3"/>
  <c r="R229" i="3"/>
  <c r="R150" i="3"/>
  <c r="R198" i="3"/>
  <c r="R183" i="3"/>
  <c r="R38" i="3"/>
  <c r="R102" i="3"/>
  <c r="R169" i="3"/>
  <c r="R9" i="3"/>
  <c r="R137" i="3"/>
  <c r="R107" i="3"/>
  <c r="R223" i="3"/>
  <c r="R54" i="3"/>
  <c r="R192" i="3"/>
  <c r="R155" i="3"/>
  <c r="R157" i="3"/>
  <c r="R175" i="3"/>
  <c r="R181" i="3"/>
  <c r="R25" i="3"/>
  <c r="R161" i="3"/>
  <c r="R141" i="3"/>
  <c r="R134" i="3"/>
  <c r="R49" i="3"/>
  <c r="R204" i="3"/>
  <c r="R34" i="3"/>
  <c r="R206" i="3"/>
  <c r="R35" i="3"/>
  <c r="R234" i="3"/>
  <c r="R21" i="3"/>
  <c r="R203" i="3"/>
  <c r="R126" i="3"/>
  <c r="R91" i="3"/>
  <c r="R177" i="3"/>
  <c r="R11" i="3"/>
  <c r="R112" i="3"/>
  <c r="R86" i="3"/>
  <c r="R163" i="3"/>
  <c r="R218" i="3"/>
  <c r="R190" i="3"/>
  <c r="R193" i="3"/>
  <c r="R199" i="3"/>
  <c r="R165" i="3"/>
  <c r="R231" i="3"/>
  <c r="R28" i="3"/>
  <c r="R61" i="3"/>
  <c r="R29" i="3"/>
  <c r="R236" i="3"/>
  <c r="R226" i="3"/>
  <c r="R187" i="3"/>
  <c r="R167" i="3"/>
  <c r="R10" i="3"/>
  <c r="R36" i="3"/>
  <c r="R57" i="3"/>
  <c r="R149" i="3"/>
  <c r="R7" i="3"/>
  <c r="R168" i="3"/>
  <c r="R81" i="3"/>
  <c r="R146" i="3"/>
  <c r="R16" i="3"/>
  <c r="R144" i="3"/>
  <c r="R222" i="3"/>
  <c r="R67" i="3"/>
  <c r="R180" i="3"/>
  <c r="R189" i="3"/>
  <c r="R60" i="3"/>
  <c r="R130" i="3"/>
  <c r="R232" i="3"/>
  <c r="R233" i="3"/>
  <c r="R89" i="3"/>
  <c r="R215" i="3"/>
  <c r="R185" i="3"/>
  <c r="R74" i="3"/>
  <c r="R224" i="3"/>
  <c r="R5" i="3"/>
  <c r="R68" i="3"/>
  <c r="R135" i="3"/>
  <c r="R240" i="3"/>
  <c r="R17" i="3"/>
  <c r="R151" i="3"/>
  <c r="R75" i="3"/>
  <c r="R66" i="3"/>
  <c r="R196" i="3"/>
  <c r="R24" i="3"/>
  <c r="R88" i="3"/>
  <c r="R8" i="3"/>
  <c r="R152" i="3"/>
  <c r="R80" i="3"/>
  <c r="R32" i="3"/>
  <c r="R42" i="3"/>
  <c r="R64" i="3"/>
  <c r="AP27" i="2"/>
  <c r="AQ27" i="2" s="1"/>
  <c r="AR27" i="2" s="1"/>
  <c r="AS27" i="2" s="1"/>
  <c r="AT27" i="2" s="1"/>
  <c r="AU27" i="2" s="1"/>
  <c r="AE14" i="2"/>
  <c r="AF14" i="2" s="1"/>
  <c r="AG14" i="2" s="1"/>
  <c r="K16" i="6" l="1"/>
  <c r="I16" i="6"/>
  <c r="D7" i="2" l="1"/>
  <c r="C7" i="2" s="1"/>
  <c r="D6" i="2"/>
  <c r="C6" i="2" l="1"/>
  <c r="Y27" i="2" l="1"/>
  <c r="Z33" i="2"/>
  <c r="D18" i="2"/>
  <c r="AN44" i="2"/>
  <c r="Y25" i="2"/>
  <c r="Z35" i="2"/>
  <c r="C28" i="2"/>
  <c r="E28" i="2" s="1"/>
  <c r="F28" i="2" s="1"/>
  <c r="G28" i="2" s="1"/>
  <c r="H28" i="2" s="1"/>
  <c r="I28" i="2" s="1"/>
  <c r="C29" i="2"/>
  <c r="E29" i="2" s="1"/>
  <c r="AA28" i="2" s="1"/>
  <c r="AB28" i="2" s="1"/>
  <c r="AC28" i="2" s="1"/>
  <c r="AD28" i="2" s="1"/>
  <c r="AE28" i="2" s="1"/>
  <c r="AF28" i="2" s="1"/>
  <c r="AG28" i="2" s="1"/>
  <c r="AH28" i="2" s="1"/>
  <c r="AI28" i="2" s="1"/>
  <c r="D34" i="2"/>
  <c r="D43" i="2"/>
  <c r="C26" i="2"/>
  <c r="E26" i="2" s="1"/>
  <c r="AA25" i="2" s="1"/>
  <c r="D45" i="2"/>
  <c r="E7" i="2"/>
  <c r="Z34" i="2"/>
  <c r="D42" i="2"/>
  <c r="C27" i="2"/>
  <c r="E27" i="2" s="1"/>
  <c r="F27" i="2" s="1"/>
  <c r="D19" i="2"/>
  <c r="Z42" i="2"/>
  <c r="D36" i="2"/>
  <c r="Z41" i="2"/>
  <c r="Z18" i="2"/>
  <c r="E6" i="2"/>
  <c r="Z44" i="2"/>
  <c r="D35" i="2"/>
  <c r="Z16" i="2"/>
  <c r="Z17" i="2"/>
  <c r="AN43" i="2"/>
  <c r="AN15" i="2"/>
  <c r="AN33" i="2" s="1"/>
  <c r="AN16" i="2"/>
  <c r="AN34" i="2" s="1"/>
  <c r="D16" i="2"/>
  <c r="Z43" i="2"/>
  <c r="AN41" i="2"/>
  <c r="D17" i="2"/>
  <c r="Z36" i="2"/>
  <c r="Z15" i="2"/>
  <c r="D37" i="2"/>
  <c r="D44" i="2"/>
  <c r="AN42" i="2"/>
  <c r="F29" i="2" l="1"/>
  <c r="G29" i="2" s="1"/>
  <c r="H29" i="2" s="1"/>
  <c r="I29" i="2" s="1"/>
  <c r="F26" i="2"/>
  <c r="G26" i="2" s="1"/>
  <c r="H26" i="2" s="1"/>
  <c r="I26" i="2" s="1"/>
  <c r="E34" i="2"/>
  <c r="E42" i="2" s="1"/>
  <c r="AA27" i="2"/>
  <c r="AB27" i="2" s="1"/>
  <c r="AC27" i="2" s="1"/>
  <c r="AD27" i="2" s="1"/>
  <c r="AE27" i="2" s="1"/>
  <c r="AF27" i="2" s="1"/>
  <c r="AG27" i="2" s="1"/>
  <c r="AH27" i="2" s="1"/>
  <c r="AI27" i="2" s="1"/>
  <c r="AA26" i="2"/>
  <c r="AB26" i="2" s="1"/>
  <c r="AM25" i="2"/>
  <c r="E25" i="2"/>
  <c r="D3" i="2" s="1"/>
  <c r="E36" i="2" s="1"/>
  <c r="E44" i="2" s="1"/>
  <c r="AB25" i="2"/>
  <c r="AC25" i="2" s="1"/>
  <c r="AD25" i="2" s="1"/>
  <c r="AE25" i="2" s="1"/>
  <c r="AF25" i="2" s="1"/>
  <c r="AG25" i="2" s="1"/>
  <c r="AH25" i="2" s="1"/>
  <c r="AI25" i="2" s="1"/>
  <c r="AA33" i="2"/>
  <c r="AO25" i="2"/>
  <c r="G27" i="2"/>
  <c r="G35" i="2" l="1"/>
  <c r="I43" i="2" s="1"/>
  <c r="AA24" i="2"/>
  <c r="F25" i="2"/>
  <c r="F47" i="2" s="1"/>
  <c r="AO26" i="2"/>
  <c r="AP26" i="2" s="1"/>
  <c r="G37" i="2"/>
  <c r="I45" i="2" s="1"/>
  <c r="I46" i="2" s="1"/>
  <c r="E47" i="2"/>
  <c r="AC26" i="2"/>
  <c r="AB24" i="2"/>
  <c r="AB46" i="2" s="1"/>
  <c r="AO33" i="2"/>
  <c r="AP25" i="2"/>
  <c r="AQ25" i="2" s="1"/>
  <c r="AR25" i="2" s="1"/>
  <c r="AS25" i="2" s="1"/>
  <c r="AT25" i="2" s="1"/>
  <c r="AU25" i="2" s="1"/>
  <c r="AA41" i="2"/>
  <c r="AC34" i="2"/>
  <c r="H27" i="2"/>
  <c r="G25" i="2"/>
  <c r="G47" i="2" s="1"/>
  <c r="AA46" i="2" l="1"/>
  <c r="AO24" i="2"/>
  <c r="AO5" i="2"/>
  <c r="AO7" i="2" s="1"/>
  <c r="AO41" i="2"/>
  <c r="AQ34" i="2"/>
  <c r="H25" i="2"/>
  <c r="H47" i="2" s="1"/>
  <c r="I27" i="2"/>
  <c r="I25" i="2" s="1"/>
  <c r="I47" i="2" s="1"/>
  <c r="AE42" i="2"/>
  <c r="AP24" i="2"/>
  <c r="AP46" i="2" s="1"/>
  <c r="AQ26" i="2"/>
  <c r="AD26" i="2"/>
  <c r="AC24" i="2"/>
  <c r="AC46" i="2" s="1"/>
  <c r="AO46" i="2" l="1"/>
  <c r="AS42" i="2"/>
  <c r="AS35" i="2" s="1"/>
  <c r="E48" i="2"/>
  <c r="E49" i="2" s="1"/>
  <c r="E51" i="2" s="1"/>
  <c r="AE35" i="2"/>
  <c r="AD24" i="2"/>
  <c r="AD46" i="2" s="1"/>
  <c r="AE26" i="2"/>
  <c r="AR26" i="2"/>
  <c r="AQ24" i="2"/>
  <c r="AQ46" i="2" s="1"/>
  <c r="E53" i="2" l="1"/>
  <c r="E52" i="2"/>
  <c r="AU36" i="2"/>
  <c r="AU44" i="2" s="1"/>
  <c r="AS43" i="2"/>
  <c r="AE24" i="2"/>
  <c r="AF26" i="2"/>
  <c r="AG36" i="2"/>
  <c r="AI44" i="2" s="1"/>
  <c r="AE43" i="2"/>
  <c r="AR24" i="2"/>
  <c r="AR46" i="2" s="1"/>
  <c r="AS26" i="2"/>
  <c r="AI45" i="2" l="1"/>
  <c r="AU45" i="2"/>
  <c r="AS24" i="2"/>
  <c r="AS46" i="2" s="1"/>
  <c r="AT26" i="2"/>
  <c r="AG26" i="2"/>
  <c r="AF24" i="2"/>
  <c r="AF46" i="2" s="1"/>
  <c r="AE46" i="2"/>
  <c r="AT24" i="2" l="1"/>
  <c r="AT46" i="2" s="1"/>
  <c r="AU26" i="2"/>
  <c r="AU24" i="2" s="1"/>
  <c r="AU46" i="2" s="1"/>
  <c r="AG24" i="2"/>
  <c r="AG46" i="2" s="1"/>
  <c r="AH26" i="2"/>
  <c r="AO47" i="2" l="1"/>
  <c r="AO48" i="2" s="1"/>
  <c r="AO50" i="2" s="1"/>
  <c r="AO52" i="2" s="1"/>
  <c r="AH24" i="2"/>
  <c r="AH46" i="2" s="1"/>
  <c r="AI26" i="2"/>
  <c r="AI24" i="2" s="1"/>
  <c r="AI46" i="2" s="1"/>
  <c r="AO51" i="2" l="1"/>
  <c r="AA47" i="2"/>
  <c r="AA48" i="2" s="1"/>
  <c r="AA50" i="2" s="1"/>
  <c r="AA51" i="2" s="1"/>
  <c r="AA5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4054AD-9948-4C23-B93A-679D824983B2}" keepAlive="1" name="Query - df_mep" description="Connection to the 'df_mep' query in the workbook." type="5" refreshedVersion="8" background="1" saveData="1">
    <dbPr connection="Provider=Microsoft.Mashup.OleDb.1;Data Source=$Workbook$;Location=df_mep;Extended Properties=&quot;&quot;" command="SELECT * FROM [df_mep]"/>
  </connection>
</connections>
</file>

<file path=xl/sharedStrings.xml><?xml version="1.0" encoding="utf-8"?>
<sst xmlns="http://schemas.openxmlformats.org/spreadsheetml/2006/main" count="625" uniqueCount="431">
  <si>
    <t>base_symbol</t>
  </si>
  <si>
    <t>shortName</t>
  </si>
  <si>
    <t>bid</t>
  </si>
  <si>
    <t>ask</t>
  </si>
  <si>
    <t>bid_D</t>
  </si>
  <si>
    <t>ask_D</t>
  </si>
  <si>
    <t>MEP</t>
  </si>
  <si>
    <t>MEP_compra_ARS</t>
  </si>
  <si>
    <t>MEP_compra_USD</t>
  </si>
  <si>
    <t>AAPL</t>
  </si>
  <si>
    <t>AMD</t>
  </si>
  <si>
    <t>AMZN</t>
  </si>
  <si>
    <t>BABA</t>
  </si>
  <si>
    <t>KO</t>
  </si>
  <si>
    <t>MELI</t>
  </si>
  <si>
    <t>MSFT</t>
  </si>
  <si>
    <t>NVDA</t>
  </si>
  <si>
    <t>PYPL</t>
  </si>
  <si>
    <t>TSLA</t>
  </si>
  <si>
    <t>VIST</t>
  </si>
  <si>
    <t>ARKK</t>
  </si>
  <si>
    <t>SPY</t>
  </si>
  <si>
    <t>precio</t>
  </si>
  <si>
    <t>FF</t>
  </si>
  <si>
    <t>GOLD</t>
  </si>
  <si>
    <t>MCD</t>
  </si>
  <si>
    <t>NKE</t>
  </si>
  <si>
    <t>PBR</t>
  </si>
  <si>
    <t>SHOP</t>
  </si>
  <si>
    <t>V</t>
  </si>
  <si>
    <t>DIA</t>
  </si>
  <si>
    <t>FF USD</t>
  </si>
  <si>
    <t>Rend</t>
  </si>
  <si>
    <t>VALE</t>
  </si>
  <si>
    <t>INTC</t>
  </si>
  <si>
    <t>Comisión</t>
  </si>
  <si>
    <t>WFC</t>
  </si>
  <si>
    <t>dia</t>
  </si>
  <si>
    <t>compro T2</t>
  </si>
  <si>
    <t>inflacion</t>
  </si>
  <si>
    <t>anual</t>
  </si>
  <si>
    <t>diaria</t>
  </si>
  <si>
    <t>$/USD</t>
  </si>
  <si>
    <t>NPV</t>
  </si>
  <si>
    <t>liq compra
liq venta</t>
  </si>
  <si>
    <t>vendo T2</t>
  </si>
  <si>
    <t>liq compra</t>
  </si>
  <si>
    <t>liq venta</t>
  </si>
  <si>
    <t>Proyeccion precios</t>
  </si>
  <si>
    <t>Comision</t>
  </si>
  <si>
    <t>Compras + ventas</t>
  </si>
  <si>
    <t>Calendario liquidaciones</t>
  </si>
  <si>
    <t>MO</t>
  </si>
  <si>
    <t>T</t>
  </si>
  <si>
    <t>Inversion $</t>
  </si>
  <si>
    <t>Inversion USD</t>
  </si>
  <si>
    <t>TEM</t>
  </si>
  <si>
    <t>TED</t>
  </si>
  <si>
    <t>TEA</t>
  </si>
  <si>
    <t>AL30</t>
  </si>
  <si>
    <t>AL30D</t>
  </si>
  <si>
    <t>spread</t>
  </si>
  <si>
    <t>GLOB</t>
  </si>
  <si>
    <t>LLY</t>
  </si>
  <si>
    <t>Comprando y vendiendo en ARS y USD</t>
  </si>
  <si>
    <t>AAL</t>
  </si>
  <si>
    <t>BBD</t>
  </si>
  <si>
    <t>F</t>
  </si>
  <si>
    <t>HMY</t>
  </si>
  <si>
    <t>JNJ</t>
  </si>
  <si>
    <t>NIO</t>
  </si>
  <si>
    <t>PG</t>
  </si>
  <si>
    <t>SPOT</t>
  </si>
  <si>
    <t>VZ</t>
  </si>
  <si>
    <t>WBA</t>
  </si>
  <si>
    <t>XOM</t>
  </si>
  <si>
    <t>COIN</t>
  </si>
  <si>
    <t>QQQ</t>
  </si>
  <si>
    <t>XLE</t>
  </si>
  <si>
    <t>open_BA</t>
  </si>
  <si>
    <t>bid_BA</t>
  </si>
  <si>
    <t>ask_BA</t>
  </si>
  <si>
    <t>open_D_BA</t>
  </si>
  <si>
    <t>bid_D_BA</t>
  </si>
  <si>
    <t>ask_D_BA</t>
  </si>
  <si>
    <t>volume_BA</t>
  </si>
  <si>
    <t>volume_D_BA</t>
  </si>
  <si>
    <t>Ford Motor Company</t>
  </si>
  <si>
    <t>Johnson &amp; Johnson</t>
  </si>
  <si>
    <t>Shopify Inc.</t>
  </si>
  <si>
    <t>Spotify Technology S.A.</t>
  </si>
  <si>
    <t>ABBV</t>
  </si>
  <si>
    <t>ABNB</t>
  </si>
  <si>
    <t>ABT</t>
  </si>
  <si>
    <t>Abbott Laboratories</t>
  </si>
  <si>
    <t>ADBE</t>
  </si>
  <si>
    <t>ARCO</t>
  </si>
  <si>
    <t>AVGO</t>
  </si>
  <si>
    <t>Broadcom Inc.</t>
  </si>
  <si>
    <t>AXP</t>
  </si>
  <si>
    <t>AZN</t>
  </si>
  <si>
    <t>BA</t>
  </si>
  <si>
    <t>BBVA</t>
  </si>
  <si>
    <t>BIDU</t>
  </si>
  <si>
    <t>BIOX</t>
  </si>
  <si>
    <t>BITF</t>
  </si>
  <si>
    <t>Bitfarms Ltd.</t>
  </si>
  <si>
    <t>BP</t>
  </si>
  <si>
    <t>CRM</t>
  </si>
  <si>
    <t>CSCO</t>
  </si>
  <si>
    <t>CVX</t>
  </si>
  <si>
    <t>DESP</t>
  </si>
  <si>
    <t>DIS</t>
  </si>
  <si>
    <t>DOW</t>
  </si>
  <si>
    <t>Dow Inc.</t>
  </si>
  <si>
    <t>EA</t>
  </si>
  <si>
    <t>Electronic Arts Inc.</t>
  </si>
  <si>
    <t>EBAY</t>
  </si>
  <si>
    <t>ETSY</t>
  </si>
  <si>
    <t>FCX</t>
  </si>
  <si>
    <t>FDX</t>
  </si>
  <si>
    <t>GM</t>
  </si>
  <si>
    <t>GOOGL</t>
  </si>
  <si>
    <t>HUT</t>
  </si>
  <si>
    <t>Hut 8 Mining Corp.</t>
  </si>
  <si>
    <t>IBM</t>
  </si>
  <si>
    <t>JD</t>
  </si>
  <si>
    <t>JMIA</t>
  </si>
  <si>
    <t>JPM</t>
  </si>
  <si>
    <t>LMT</t>
  </si>
  <si>
    <t>MA</t>
  </si>
  <si>
    <t>MMM</t>
  </si>
  <si>
    <t>NEM</t>
  </si>
  <si>
    <t>NFLX</t>
  </si>
  <si>
    <t>OXY</t>
  </si>
  <si>
    <t>PAAS</t>
  </si>
  <si>
    <t>Pan American Silver Corp.</t>
  </si>
  <si>
    <t>PEP</t>
  </si>
  <si>
    <t>PFE</t>
  </si>
  <si>
    <t>QCOM</t>
  </si>
  <si>
    <t>RIO</t>
  </si>
  <si>
    <t>RTX</t>
  </si>
  <si>
    <t>SATL</t>
  </si>
  <si>
    <t>Satellogic Inc.</t>
  </si>
  <si>
    <t>SHEL</t>
  </si>
  <si>
    <t>SNOW</t>
  </si>
  <si>
    <t>SPGI</t>
  </si>
  <si>
    <t>S&amp;P Global Inc.</t>
  </si>
  <si>
    <t>SQ</t>
  </si>
  <si>
    <t>TGT</t>
  </si>
  <si>
    <t>TM</t>
  </si>
  <si>
    <t>TSM</t>
  </si>
  <si>
    <t>TXN</t>
  </si>
  <si>
    <t>UBER</t>
  </si>
  <si>
    <t>Uber Technologies, Inc.</t>
  </si>
  <si>
    <t>UL</t>
  </si>
  <si>
    <t>UNH</t>
  </si>
  <si>
    <t>UPST</t>
  </si>
  <si>
    <t>Upstart Holdings, Inc.</t>
  </si>
  <si>
    <t>WMT</t>
  </si>
  <si>
    <t>X</t>
  </si>
  <si>
    <t>XP</t>
  </si>
  <si>
    <t>ZM</t>
  </si>
  <si>
    <t>IWM</t>
  </si>
  <si>
    <t>EWZ</t>
  </si>
  <si>
    <t>XLF</t>
  </si>
  <si>
    <t>CAT</t>
  </si>
  <si>
    <t>conviene entrar ARS</t>
  </si>
  <si>
    <t>conviene entrar USD</t>
  </si>
  <si>
    <t>can_use</t>
  </si>
  <si>
    <t>American Airlines Group Inc.</t>
  </si>
  <si>
    <t>Apple</t>
  </si>
  <si>
    <t>Abbvie Inc.</t>
  </si>
  <si>
    <t>ABEV</t>
  </si>
  <si>
    <t>Ambev</t>
  </si>
  <si>
    <t>Advanced Micro Devices</t>
  </si>
  <si>
    <t>Amazon</t>
  </si>
  <si>
    <t>Etf Ark Innovation</t>
  </si>
  <si>
    <t>American Express</t>
  </si>
  <si>
    <t>Astrazeneca</t>
  </si>
  <si>
    <t>Alibaba Group</t>
  </si>
  <si>
    <t>Boeing</t>
  </si>
  <si>
    <t>Banco Bradesco S.A.</t>
  </si>
  <si>
    <t>CEDEAR BBV SA</t>
  </si>
  <si>
    <t>Baidu</t>
  </si>
  <si>
    <t>Bioceres Crop Solutions Corp</t>
  </si>
  <si>
    <t>BRKB</t>
  </si>
  <si>
    <t>Berkshire Hathaway</t>
  </si>
  <si>
    <t>Caterpillar</t>
  </si>
  <si>
    <t>Coinbase Global Inc.</t>
  </si>
  <si>
    <t>Cisco Systems</t>
  </si>
  <si>
    <t>Chevron</t>
  </si>
  <si>
    <t>DE</t>
  </si>
  <si>
    <t>Deere</t>
  </si>
  <si>
    <t>Despegar</t>
  </si>
  <si>
    <t>Etf Spdr Dow Jones Industrial</t>
  </si>
  <si>
    <t>The Walt Disney Company</t>
  </si>
  <si>
    <t>DOCU</t>
  </si>
  <si>
    <t>Docusign Inc</t>
  </si>
  <si>
    <t>eBay</t>
  </si>
  <si>
    <t>EEM</t>
  </si>
  <si>
    <t>Etf Ishares Msci Emerging Market</t>
  </si>
  <si>
    <t>ERJ</t>
  </si>
  <si>
    <t>Embraer S.A.</t>
  </si>
  <si>
    <t>Etsy Inc</t>
  </si>
  <si>
    <t>Etf Ishares Msci Brazil</t>
  </si>
  <si>
    <t>FedEx</t>
  </si>
  <si>
    <t>GE</t>
  </si>
  <si>
    <t>General Electric</t>
  </si>
  <si>
    <t>GILD</t>
  </si>
  <si>
    <t>Gilead Sciences</t>
  </si>
  <si>
    <t>Globant</t>
  </si>
  <si>
    <t>General Motors Co.</t>
  </si>
  <si>
    <t>Google</t>
  </si>
  <si>
    <t>Barrick Gold</t>
  </si>
  <si>
    <t>GPRK</t>
  </si>
  <si>
    <t>Geopark Ltd</t>
  </si>
  <si>
    <t>GS</t>
  </si>
  <si>
    <t>Goldman Sachs</t>
  </si>
  <si>
    <t>GSK</t>
  </si>
  <si>
    <t>GlaxoSmithKline</t>
  </si>
  <si>
    <t>HAL</t>
  </si>
  <si>
    <t>Halliburton</t>
  </si>
  <si>
    <t>Harmony Gold</t>
  </si>
  <si>
    <t>Intel</t>
  </si>
  <si>
    <t>ITUB</t>
  </si>
  <si>
    <t>Banco ItaÃº Unibanco S.A.</t>
  </si>
  <si>
    <t>Etf Ishares Trust Russell 2000</t>
  </si>
  <si>
    <t>Jumia Technologies Ag</t>
  </si>
  <si>
    <t>JPMorgan Chase &amp; Co.</t>
  </si>
  <si>
    <t>The Coca-Cola Company</t>
  </si>
  <si>
    <t>Lockheed Martin</t>
  </si>
  <si>
    <t>Mastercard</t>
  </si>
  <si>
    <t>Mcdonald's</t>
  </si>
  <si>
    <t>MercadoLibre</t>
  </si>
  <si>
    <t>META</t>
  </si>
  <si>
    <t>Meta Platforms Inc</t>
  </si>
  <si>
    <t>3M</t>
  </si>
  <si>
    <t>Altria Group</t>
  </si>
  <si>
    <t>MRK</t>
  </si>
  <si>
    <t>Merck</t>
  </si>
  <si>
    <t>Microsoft</t>
  </si>
  <si>
    <t>MSTR</t>
  </si>
  <si>
    <t>Microstrategy Incorporated</t>
  </si>
  <si>
    <t>MU</t>
  </si>
  <si>
    <t>Micron Technology, Inc.</t>
  </si>
  <si>
    <t>Netflix</t>
  </si>
  <si>
    <t>Nio Inc.</t>
  </si>
  <si>
    <t>Nike</t>
  </si>
  <si>
    <t>Nvidia</t>
  </si>
  <si>
    <t>NVS</t>
  </si>
  <si>
    <t>Novartis AG</t>
  </si>
  <si>
    <t>Occidental Petroleum Corporation</t>
  </si>
  <si>
    <t>PANW</t>
  </si>
  <si>
    <t>Palo Alto Networks, Inc.</t>
  </si>
  <si>
    <t>Petroleo Brasileiro S.A.</t>
  </si>
  <si>
    <t>Pepsico</t>
  </si>
  <si>
    <t>Pfizer</t>
  </si>
  <si>
    <t>Procter &amp; Gamble</t>
  </si>
  <si>
    <t>Paypal Holdings Inc.</t>
  </si>
  <si>
    <t>Qualcomm</t>
  </si>
  <si>
    <t>Etf Invesco Qqq Trust</t>
  </si>
  <si>
    <t>Rio Tinto</t>
  </si>
  <si>
    <t>SE</t>
  </si>
  <si>
    <t>Sea Ltd.</t>
  </si>
  <si>
    <t>SID</t>
  </si>
  <si>
    <t>Companhia SiderÃºrgica Nacional</t>
  </si>
  <si>
    <t>Snowflake Inc</t>
  </si>
  <si>
    <t>Etf Spdr S&amp;P 500</t>
  </si>
  <si>
    <t>Square Inc</t>
  </si>
  <si>
    <t>AT&amp;T</t>
  </si>
  <si>
    <t>TEN</t>
  </si>
  <si>
    <t>Tenaris</t>
  </si>
  <si>
    <t>Toyota Motors</t>
  </si>
  <si>
    <t>Tesla</t>
  </si>
  <si>
    <t>TWLO</t>
  </si>
  <si>
    <t>Twilio Inc.</t>
  </si>
  <si>
    <t>TXR</t>
  </si>
  <si>
    <t>Ternium</t>
  </si>
  <si>
    <t>UAL</t>
  </si>
  <si>
    <t>United Airlines Holdings, Inc.</t>
  </si>
  <si>
    <t>UnitedHealth Group Inc.</t>
  </si>
  <si>
    <t>UNP</t>
  </si>
  <si>
    <t>Union Pacific Corp.</t>
  </si>
  <si>
    <t>Vale</t>
  </si>
  <si>
    <t xml:space="preserve">Visa </t>
  </si>
  <si>
    <t>Vista Energy S.A.B. De C.V.</t>
  </si>
  <si>
    <t>Verizon Communications</t>
  </si>
  <si>
    <t>Walgreens Boots Alliance Inc</t>
  </si>
  <si>
    <t>Wells Fargo</t>
  </si>
  <si>
    <t>Walmart</t>
  </si>
  <si>
    <t>United States Steel</t>
  </si>
  <si>
    <t>Etf Spdr Energy Sector</t>
  </si>
  <si>
    <t>Etf Spdr Financial Sector</t>
  </si>
  <si>
    <t>Exxon Mobil</t>
  </si>
  <si>
    <t>Zoom Video Communications Inc</t>
  </si>
  <si>
    <t/>
  </si>
  <si>
    <t>ADGO</t>
  </si>
  <si>
    <t>ADI</t>
  </si>
  <si>
    <t>ADP</t>
  </si>
  <si>
    <t>ADS</t>
  </si>
  <si>
    <t>AEM</t>
  </si>
  <si>
    <t>AIG</t>
  </si>
  <si>
    <t>AMAT</t>
  </si>
  <si>
    <t>AMGN</t>
  </si>
  <si>
    <t>AMX</t>
  </si>
  <si>
    <t>ANF</t>
  </si>
  <si>
    <t>AOCA</t>
  </si>
  <si>
    <t>ASR</t>
  </si>
  <si>
    <t>AVY</t>
  </si>
  <si>
    <t>BB</t>
  </si>
  <si>
    <t>BCS</t>
  </si>
  <si>
    <t>BHP</t>
  </si>
  <si>
    <t>BIIB</t>
  </si>
  <si>
    <t>BK</t>
  </si>
  <si>
    <t>BMY</t>
  </si>
  <si>
    <t>BNG</t>
  </si>
  <si>
    <t>BRFS</t>
  </si>
  <si>
    <t>BSBR</t>
  </si>
  <si>
    <t>C</t>
  </si>
  <si>
    <t>CAAP</t>
  </si>
  <si>
    <t>CAH</t>
  </si>
  <si>
    <t>CAR</t>
  </si>
  <si>
    <t>CDE</t>
  </si>
  <si>
    <t>CL</t>
  </si>
  <si>
    <t>COST</t>
  </si>
  <si>
    <t>CX</t>
  </si>
  <si>
    <t>DD</t>
  </si>
  <si>
    <t>DEO</t>
  </si>
  <si>
    <t>E</t>
  </si>
  <si>
    <t>EBR</t>
  </si>
  <si>
    <t>EFX</t>
  </si>
  <si>
    <t>ERIC</t>
  </si>
  <si>
    <t>FMX</t>
  </si>
  <si>
    <t>FSLR</t>
  </si>
  <si>
    <t>GFI</t>
  </si>
  <si>
    <t>GGB</t>
  </si>
  <si>
    <t>GLW</t>
  </si>
  <si>
    <t>GRMN</t>
  </si>
  <si>
    <t>HD</t>
  </si>
  <si>
    <t>HDB</t>
  </si>
  <si>
    <t>HL</t>
  </si>
  <si>
    <t>HMC</t>
  </si>
  <si>
    <t>HOG</t>
  </si>
  <si>
    <t>HON</t>
  </si>
  <si>
    <t>HPQ</t>
  </si>
  <si>
    <t>HSBC</t>
  </si>
  <si>
    <t>HSY</t>
  </si>
  <si>
    <t>HWM</t>
  </si>
  <si>
    <t>IFF</t>
  </si>
  <si>
    <t>INFY</t>
  </si>
  <si>
    <t>ING</t>
  </si>
  <si>
    <t>IP</t>
  </si>
  <si>
    <t>KMB</t>
  </si>
  <si>
    <t>KOF</t>
  </si>
  <si>
    <t>LRCX</t>
  </si>
  <si>
    <t>LVS</t>
  </si>
  <si>
    <t>LYG</t>
  </si>
  <si>
    <t>MDT</t>
  </si>
  <si>
    <t>MMC</t>
  </si>
  <si>
    <t>MOS</t>
  </si>
  <si>
    <t>MSI</t>
  </si>
  <si>
    <t>NGG</t>
  </si>
  <si>
    <t>NOKA</t>
  </si>
  <si>
    <t>NTCO</t>
  </si>
  <si>
    <t>NTES</t>
  </si>
  <si>
    <t>NUE</t>
  </si>
  <si>
    <t>ORAN</t>
  </si>
  <si>
    <t>ORCL</t>
  </si>
  <si>
    <t>PBI</t>
  </si>
  <si>
    <t>PHG</t>
  </si>
  <si>
    <t>PKS</t>
  </si>
  <si>
    <t>PSX</t>
  </si>
  <si>
    <t>RBLX</t>
  </si>
  <si>
    <t>SAN</t>
  </si>
  <si>
    <t>SAP</t>
  </si>
  <si>
    <t>SBS</t>
  </si>
  <si>
    <t>SBUX</t>
  </si>
  <si>
    <t>SCCO</t>
  </si>
  <si>
    <t>SLB</t>
  </si>
  <si>
    <t>SNA</t>
  </si>
  <si>
    <t>SNAP</t>
  </si>
  <si>
    <t>SONY</t>
  </si>
  <si>
    <t>SUZ</t>
  </si>
  <si>
    <t>SYY</t>
  </si>
  <si>
    <t>TCOM</t>
  </si>
  <si>
    <t>TEFOF</t>
  </si>
  <si>
    <t>TIMB</t>
  </si>
  <si>
    <t>TMO</t>
  </si>
  <si>
    <t>TRIP</t>
  </si>
  <si>
    <t>TTE</t>
  </si>
  <si>
    <t>TV</t>
  </si>
  <si>
    <t>UGP</t>
  </si>
  <si>
    <t>USB</t>
  </si>
  <si>
    <t>VIV</t>
  </si>
  <si>
    <t>VOD</t>
  </si>
  <si>
    <t>VRSN</t>
  </si>
  <si>
    <t>WBO</t>
  </si>
  <si>
    <t>XRX</t>
  </si>
  <si>
    <t>YELP</t>
  </si>
  <si>
    <t>YY</t>
  </si>
  <si>
    <t>Phillips 66</t>
  </si>
  <si>
    <t>Roblox Corporation</t>
  </si>
  <si>
    <t>BAYN</t>
  </si>
  <si>
    <t>SMSN</t>
  </si>
  <si>
    <t>spread ars</t>
  </si>
  <si>
    <t>spread USD</t>
  </si>
  <si>
    <t>CONTADO CON LIQUI</t>
  </si>
  <si>
    <t>Compra</t>
  </si>
  <si>
    <t>Venta</t>
  </si>
  <si>
    <t>America Movil</t>
  </si>
  <si>
    <t>Bristol-Myers Squibb Co</t>
  </si>
  <si>
    <t>Lam Research Corp.</t>
  </si>
  <si>
    <t>The Mosaic Co</t>
  </si>
  <si>
    <t>Newmont Mining Corporation</t>
  </si>
  <si>
    <t>Schlumberger</t>
  </si>
  <si>
    <t>Texas Instruments</t>
  </si>
  <si>
    <t>volume_money_BA</t>
  </si>
  <si>
    <t>volume_money_D_BA</t>
  </si>
  <si>
    <t>opero</t>
  </si>
  <si>
    <t>liquido</t>
  </si>
  <si>
    <t>VN</t>
  </si>
  <si>
    <t>simbolo</t>
  </si>
  <si>
    <t>valor</t>
  </si>
  <si>
    <t>simbolo_b</t>
  </si>
  <si>
    <t>moneda</t>
  </si>
  <si>
    <t>ARS</t>
  </si>
  <si>
    <t>USD</t>
  </si>
  <si>
    <t>plazo (T+)</t>
  </si>
  <si>
    <t>Femsa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</si>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</sst>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66" formatCode="_(* #,##0_);_(* \(#,##0\);_(* &quot;-&quot;??_);_(@_)"/>
    <numFmt numFmtId="167" formatCode="0.0%"/>
    <numFmt numFmtId="168" formatCode="[$USD]\ #,##0.00"/>
    <numFmt numFmtId="169" formatCode="[$USD]\ #,##0"/>
    <numFmt numFmtId="170" formatCode="0\ &quot;V.N.&quot;"/>
    <numFmt numFmtId="171" formatCode="0.00000000000000%"/>
    <numFmt numFmtId="172" formatCode="[$USD]\ #,##0.00_);\([$USD]\ #,##0.00\)"/>
    <numFmt numFmtId="177" formatCode="[$-409]d\-mmm;@"/>
    <numFmt numFmtId="179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4"/>
      <color rgb="FF079A7D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79A7D"/>
      </bottom>
      <diagonal/>
    </border>
    <border>
      <left/>
      <right/>
      <top/>
      <bottom style="thin">
        <color rgb="FF079A7D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44" fontId="0" fillId="0" borderId="0" xfId="2" applyFont="1"/>
    <xf numFmtId="164" fontId="0" fillId="0" borderId="0" xfId="2" applyNumberFormat="1" applyFont="1"/>
    <xf numFmtId="165" fontId="0" fillId="0" borderId="0" xfId="2" applyNumberFormat="1" applyFont="1"/>
    <xf numFmtId="166" fontId="0" fillId="0" borderId="0" xfId="1" applyNumberFormat="1" applyFon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8" fontId="0" fillId="0" borderId="0" xfId="0" applyNumberFormat="1" applyAlignment="1">
      <alignment horizontal="center"/>
    </xf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left"/>
    </xf>
    <xf numFmtId="10" fontId="0" fillId="0" borderId="0" xfId="3" applyNumberFormat="1" applyFont="1" applyAlignment="1">
      <alignment horizontal="left"/>
    </xf>
    <xf numFmtId="10" fontId="0" fillId="0" borderId="0" xfId="3" applyNumberFormat="1" applyFont="1"/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2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10" fontId="2" fillId="0" borderId="0" xfId="3" applyNumberFormat="1" applyFont="1" applyAlignment="1">
      <alignment horizontal="center"/>
    </xf>
    <xf numFmtId="0" fontId="4" fillId="5" borderId="0" xfId="0" applyFont="1" applyFill="1"/>
    <xf numFmtId="168" fontId="0" fillId="4" borderId="0" xfId="0" applyNumberFormat="1" applyFill="1" applyAlignment="1">
      <alignment horizontal="center"/>
    </xf>
    <xf numFmtId="164" fontId="0" fillId="4" borderId="0" xfId="2" applyNumberFormat="1" applyFont="1" applyFill="1" applyAlignment="1">
      <alignment horizontal="center"/>
    </xf>
    <xf numFmtId="9" fontId="0" fillId="4" borderId="0" xfId="0" applyNumberFormat="1" applyFill="1"/>
    <xf numFmtId="10" fontId="0" fillId="4" borderId="0" xfId="3" applyNumberFormat="1" applyFont="1" applyFill="1"/>
    <xf numFmtId="171" fontId="0" fillId="0" borderId="0" xfId="0" applyNumberFormat="1"/>
    <xf numFmtId="0" fontId="0" fillId="3" borderId="2" xfId="0" applyFill="1" applyBorder="1" applyAlignment="1">
      <alignment vertical="center"/>
    </xf>
    <xf numFmtId="172" fontId="0" fillId="0" borderId="0" xfId="2" applyNumberFormat="1" applyFont="1"/>
    <xf numFmtId="167" fontId="0" fillId="0" borderId="0" xfId="3" applyNumberFormat="1" applyFont="1" applyAlignment="1">
      <alignment horizontal="center"/>
    </xf>
    <xf numFmtId="167" fontId="0" fillId="0" borderId="0" xfId="0" applyNumberFormat="1"/>
    <xf numFmtId="167" fontId="0" fillId="0" borderId="0" xfId="2" applyNumberFormat="1" applyFont="1"/>
    <xf numFmtId="167" fontId="0" fillId="0" borderId="0" xfId="3" applyNumberFormat="1" applyFont="1"/>
    <xf numFmtId="0" fontId="0" fillId="0" borderId="0" xfId="1" applyNumberFormat="1" applyFont="1"/>
    <xf numFmtId="0" fontId="0" fillId="3" borderId="2" xfId="0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 applyBorder="1"/>
    <xf numFmtId="0" fontId="0" fillId="0" borderId="0" xfId="0" applyBorder="1"/>
    <xf numFmtId="0" fontId="0" fillId="0" borderId="3" xfId="0" applyBorder="1"/>
    <xf numFmtId="0" fontId="6" fillId="0" borderId="0" xfId="0" applyFont="1" applyBorder="1" applyAlignment="1">
      <alignment horizontal="right" vertical="center"/>
    </xf>
    <xf numFmtId="164" fontId="7" fillId="0" borderId="0" xfId="2" applyNumberFormat="1" applyFont="1" applyBorder="1"/>
    <xf numFmtId="177" fontId="0" fillId="0" borderId="0" xfId="0" applyNumberFormat="1"/>
    <xf numFmtId="0" fontId="0" fillId="6" borderId="0" xfId="0" applyFill="1"/>
    <xf numFmtId="177" fontId="0" fillId="0" borderId="4" xfId="0" applyNumberFormat="1" applyBorder="1"/>
    <xf numFmtId="0" fontId="0" fillId="0" borderId="4" xfId="0" applyBorder="1"/>
    <xf numFmtId="177" fontId="0" fillId="0" borderId="0" xfId="0" applyNumberFormat="1" applyBorder="1"/>
    <xf numFmtId="44" fontId="0" fillId="0" borderId="4" xfId="2" applyFont="1" applyBorder="1"/>
    <xf numFmtId="165" fontId="0" fillId="0" borderId="4" xfId="2" applyNumberFormat="1" applyFont="1" applyBorder="1"/>
    <xf numFmtId="168" fontId="0" fillId="0" borderId="4" xfId="0" applyNumberFormat="1" applyBorder="1"/>
    <xf numFmtId="168" fontId="0" fillId="0" borderId="0" xfId="0" applyNumberFormat="1" applyBorder="1"/>
    <xf numFmtId="44" fontId="0" fillId="0" borderId="0" xfId="2" applyFont="1" applyBorder="1"/>
    <xf numFmtId="179" fontId="0" fillId="0" borderId="0" xfId="0" applyNumberFormat="1"/>
    <xf numFmtId="179" fontId="0" fillId="0" borderId="4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0">
    <dxf>
      <numFmt numFmtId="0" formatCode="General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numFmt numFmtId="166" formatCode="_(* #,##0_);_(* \(#,##0\);_(* &quot;-&quot;??_);_(@_)"/>
    </dxf>
    <dxf>
      <numFmt numFmtId="172" formatCode="[$USD]\ #,##0.00_);\([$USD]\ #,##0.00\)"/>
    </dxf>
    <dxf>
      <numFmt numFmtId="172" formatCode="[$USD]\ #,##0.00_);\([$USD]\ #,##0.00\)"/>
    </dxf>
    <dxf>
      <numFmt numFmtId="172" formatCode="[$USD]\ #,##0.00_);\([$USD]\ #,##0.00\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79A7D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C096D3-0DE4-4285-8E91-BC336AD69BF9}" autoFormatId="16" applyNumberFormats="0" applyBorderFormats="0" applyFontFormats="0" applyPatternFormats="0" applyAlignmentFormats="0" applyWidthHeightFormats="0">
  <queryTableRefresh nextId="21" unboundColumnsRight="5">
    <queryTableFields count="20">
      <queryTableField id="1" name="base_symbol" tableColumnId="1"/>
      <queryTableField id="2" name="shortName" tableColumnId="2"/>
      <queryTableField id="3" name="open_BA" tableColumnId="3"/>
      <queryTableField id="4" name="bid_BA" tableColumnId="4"/>
      <queryTableField id="5" name="ask_BA" tableColumnId="5"/>
      <queryTableField id="6" name="open_D_BA" tableColumnId="6"/>
      <queryTableField id="7" name="bid_D_BA" tableColumnId="7"/>
      <queryTableField id="8" name="ask_D_BA" tableColumnId="8"/>
      <queryTableField id="9" name="volume_BA" tableColumnId="9"/>
      <queryTableField id="19" dataBound="0" tableColumnId="19"/>
      <queryTableField id="10" name="volume_D_BA" tableColumnId="10"/>
      <queryTableField id="20" dataBound="0" tableColumnId="20"/>
      <queryTableField id="11" name="MEP" tableColumnId="11"/>
      <queryTableField id="12" name="MEP_compra_ARS" tableColumnId="12"/>
      <queryTableField id="13" name="MEP_compra_USD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8DBB61-1901-4454-A880-E909C4DDC6A0}" name="df_mep" displayName="df_mep" ref="A1:T240" tableType="queryTable" totalsRowShown="0">
  <autoFilter ref="A1:T240" xr:uid="{8B8DBB61-1901-4454-A880-E909C4DDC6A0}">
    <filterColumn colId="17">
      <filters>
        <filter val="1"/>
      </filters>
    </filterColumn>
  </autoFilter>
  <sortState xmlns:xlrd2="http://schemas.microsoft.com/office/spreadsheetml/2017/richdata2" ref="A162:T240">
    <sortCondition descending="1" ref="P1:P240"/>
  </sortState>
  <tableColumns count="20">
    <tableColumn id="1" xr3:uid="{A25F7CF4-0962-4BFF-82D4-B91C2C7964B0}" uniqueName="1" name="base_symbol" queryTableFieldId="1" dataDxfId="19"/>
    <tableColumn id="2" xr3:uid="{680E661D-B33C-43EC-A2F8-7DE2B25AB53D}" uniqueName="2" name="shortName" queryTableFieldId="2" dataDxfId="18"/>
    <tableColumn id="3" xr3:uid="{83E401EF-CA38-4C5C-A9FF-962A36DD3FD5}" uniqueName="3" name="open_BA" queryTableFieldId="3" dataDxfId="17" dataCellStyle="Currency"/>
    <tableColumn id="4" xr3:uid="{58FF5E4C-2C08-47E3-A3C6-F1F101C404FA}" uniqueName="4" name="bid_BA" queryTableFieldId="4" dataDxfId="16" dataCellStyle="Currency"/>
    <tableColumn id="5" xr3:uid="{2BC89932-DE3B-475E-A284-3F70D0307103}" uniqueName="5" name="ask_BA" queryTableFieldId="5" dataDxfId="15" dataCellStyle="Currency"/>
    <tableColumn id="6" xr3:uid="{C7E85038-7B79-484C-9C34-12FE33F87403}" uniqueName="6" name="open_D_BA" queryTableFieldId="6" dataDxfId="14" dataCellStyle="Currency"/>
    <tableColumn id="7" xr3:uid="{1BCD4DAD-C727-4ABA-9ED9-1880E097BB57}" uniqueName="7" name="bid_D_BA" queryTableFieldId="7" dataDxfId="13" dataCellStyle="Currency"/>
    <tableColumn id="8" xr3:uid="{1AFA65CA-9519-4DE8-AF77-03A5843F185D}" uniqueName="8" name="ask_D_BA" queryTableFieldId="8" dataDxfId="12" dataCellStyle="Currency"/>
    <tableColumn id="9" xr3:uid="{66E9ABB2-EA57-4EE9-8D86-ECB6893B2BE6}" uniqueName="9" name="volume_BA" queryTableFieldId="9" dataDxfId="11" dataCellStyle="Comma"/>
    <tableColumn id="19" xr3:uid="{54034E5B-3B98-4682-95E7-881F79CC0721}" uniqueName="19" name="volume_money_BA" queryTableFieldId="19" dataDxfId="10" dataCellStyle="Comma">
      <calculatedColumnFormula>df_mep[[#This Row],[volume_BA]]*df_mep[[#This Row],[open_BA]]</calculatedColumnFormula>
    </tableColumn>
    <tableColumn id="10" xr3:uid="{AC67D152-9878-45CA-BDE7-D61094A9B9B6}" uniqueName="10" name="volume_D_BA" queryTableFieldId="10" dataDxfId="9" dataCellStyle="Comma"/>
    <tableColumn id="20" xr3:uid="{96073C08-0EF1-4741-887D-5EB2E64F0745}" uniqueName="20" name="volume_money_D_BA" queryTableFieldId="20" dataDxfId="8" dataCellStyle="Comma">
      <calculatedColumnFormula>df_mep[[#This Row],[volume_D_BA]]*df_mep[[#This Row],[open_D_BA]]</calculatedColumnFormula>
    </tableColumn>
    <tableColumn id="11" xr3:uid="{772FC475-4993-4BE3-A46F-835573978718}" uniqueName="11" name="MEP" queryTableFieldId="11" dataDxfId="7" dataCellStyle="Currency"/>
    <tableColumn id="12" xr3:uid="{FA5F905C-A15F-4321-A8CF-7611E34DC901}" uniqueName="12" name="MEP_compra_ARS" queryTableFieldId="12" dataDxfId="6" dataCellStyle="Currency"/>
    <tableColumn id="13" xr3:uid="{02E967CE-14A3-4DCC-A8FC-C96602FC94EB}" uniqueName="13" name="MEP_compra_USD" queryTableFieldId="13" dataDxfId="5" dataCellStyle="Currency"/>
    <tableColumn id="14" xr3:uid="{8F3D5C7E-785E-4708-BA07-68F6B125963A}" uniqueName="14" name="conviene entrar ARS" queryTableFieldId="14" dataDxfId="4" dataCellStyle="Currency">
      <calculatedColumnFormula>MIN(1-df_mep[[#This Row],[MEP_compra_ARS]]/MEDIAN(N:N),100%)</calculatedColumnFormula>
    </tableColumn>
    <tableColumn id="15" xr3:uid="{CBDF9D36-294C-4D8E-B718-EDB9C5ACCA35}" uniqueName="15" name="conviene entrar USD" queryTableFieldId="15" dataDxfId="3" dataCellStyle="Percent">
      <calculatedColumnFormula>df_mep[[#This Row],[MEP_compra_USD]]/MEDIAN(O:O)-1</calculatedColumnFormula>
    </tableColumn>
    <tableColumn id="16" xr3:uid="{65B5EC3D-FDD4-43A5-ABBE-2380967338C3}" uniqueName="16" name="can_use" queryTableFieldId="16" dataDxfId="0" dataCellStyle="Comma">
      <calculatedColumnFormula>IF(AND(
df_mep[[#This Row],[volume_money_BA]]&gt;80000,
df_mep[[#This Row],[volume_money_D_BA]]&gt;1000,
ABS(df_mep[[#This Row],[conviene entrar ARS]])&lt;0.5,
ABS(df_mep[[#This Row],[conviene entrar USD]])&lt;0.5
),1,0)</calculatedColumnFormula>
    </tableColumn>
    <tableColumn id="17" xr3:uid="{03826CDE-0CE1-42B5-9293-C08A7C53A520}" uniqueName="17" name="spread ars" queryTableFieldId="17" dataDxfId="2" dataCellStyle="Percent">
      <calculatedColumnFormula>ABS(df_mep[[#This Row],[bid_BA]]-df_mep[[#This Row],[ask_BA]])/AVERAGE(df_mep[[#This Row],[bid_BA]:[ask_BA]])</calculatedColumnFormula>
    </tableColumn>
    <tableColumn id="18" xr3:uid="{18B17EEB-3F12-49CE-A610-89F304C2E904}" uniqueName="18" name="spread USD" queryTableFieldId="18" dataDxfId="1">
      <calculatedColumnFormula>ABS(df_mep[[#This Row],[bid_D_BA]]-df_mep[[#This Row],[ask_D_BA]])/AVERAGE(df_mep[[#This Row],[bid_D_BA]:[ask_D_BA]])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0FED-9204-44C6-AC20-83C7AE85F5CC}">
  <dimension ref="A1:T240"/>
  <sheetViews>
    <sheetView workbookViewId="0">
      <pane xSplit="1" ySplit="1" topLeftCell="B162" activePane="bottomRight" state="frozen"/>
      <selection pane="topRight" activeCell="B1" sqref="B1"/>
      <selection pane="bottomLeft" activeCell="A2" sqref="A2"/>
      <selection pane="bottomRight" activeCell="A174" sqref="A174:XFD174"/>
    </sheetView>
  </sheetViews>
  <sheetFormatPr defaultRowHeight="15" x14ac:dyDescent="0.25"/>
  <cols>
    <col min="1" max="2" width="12.28515625" bestFit="1" customWidth="1"/>
    <col min="3" max="3" width="12.28515625" style="4" bestFit="1" customWidth="1"/>
    <col min="4" max="5" width="11" style="4" bestFit="1" customWidth="1"/>
    <col min="6" max="8" width="12.28515625" style="34" bestFit="1" customWidth="1"/>
    <col min="9" max="12" width="12.28515625" style="5" bestFit="1" customWidth="1"/>
    <col min="13" max="13" width="9.7109375" style="3" bestFit="1" customWidth="1"/>
    <col min="14" max="15" width="12.28515625" style="3" bestFit="1" customWidth="1"/>
    <col min="16" max="17" width="12.28515625" style="36" bestFit="1" customWidth="1"/>
    <col min="18" max="18" width="10.5703125" style="39" bestFit="1" customWidth="1"/>
    <col min="19" max="19" width="12.28515625" style="38" bestFit="1" customWidth="1"/>
    <col min="20" max="20" width="12.28515625" bestFit="1" customWidth="1"/>
  </cols>
  <sheetData>
    <row r="1" spans="1:20" x14ac:dyDescent="0.25">
      <c r="A1" t="s">
        <v>0</v>
      </c>
      <c r="B1" t="s">
        <v>1</v>
      </c>
      <c r="C1" s="4" t="s">
        <v>79</v>
      </c>
      <c r="D1" s="4" t="s">
        <v>80</v>
      </c>
      <c r="E1" s="4" t="s">
        <v>81</v>
      </c>
      <c r="F1" s="34" t="s">
        <v>82</v>
      </c>
      <c r="G1" s="34" t="s">
        <v>83</v>
      </c>
      <c r="H1" s="34" t="s">
        <v>84</v>
      </c>
      <c r="I1" s="5" t="s">
        <v>85</v>
      </c>
      <c r="J1" s="5" t="s">
        <v>417</v>
      </c>
      <c r="K1" s="5" t="s">
        <v>86</v>
      </c>
      <c r="L1" s="5" t="s">
        <v>418</v>
      </c>
      <c r="M1" s="3" t="s">
        <v>6</v>
      </c>
      <c r="N1" s="3" t="s">
        <v>7</v>
      </c>
      <c r="O1" s="3" t="s">
        <v>8</v>
      </c>
      <c r="P1" s="35" t="s">
        <v>167</v>
      </c>
      <c r="Q1" s="35" t="s">
        <v>168</v>
      </c>
      <c r="R1" s="39" t="s">
        <v>169</v>
      </c>
      <c r="S1" s="38" t="s">
        <v>405</v>
      </c>
      <c r="T1" s="38" t="s">
        <v>406</v>
      </c>
    </row>
    <row r="2" spans="1:20" hidden="1" x14ac:dyDescent="0.25">
      <c r="A2" s="41" t="s">
        <v>97</v>
      </c>
      <c r="B2" s="41" t="s">
        <v>98</v>
      </c>
      <c r="C2" s="4">
        <v>18534.5</v>
      </c>
      <c r="D2" s="4">
        <v>19259</v>
      </c>
      <c r="E2" s="4">
        <v>18605</v>
      </c>
      <c r="F2" s="34">
        <v>22</v>
      </c>
      <c r="G2" s="34">
        <v>0</v>
      </c>
      <c r="H2" s="34">
        <v>21.25</v>
      </c>
      <c r="I2" s="5">
        <v>351</v>
      </c>
      <c r="J2" s="5">
        <f>df_mep[[#This Row],[volume_BA]]*df_mep[[#This Row],[open_BA]]</f>
        <v>6505609.5</v>
      </c>
      <c r="K2" s="5">
        <v>0</v>
      </c>
      <c r="L2" s="5">
        <f>df_mep[[#This Row],[volume_D_BA]]*df_mep[[#This Row],[open_D_BA]]</f>
        <v>0</v>
      </c>
      <c r="M2" s="3">
        <v>842.47727272727275</v>
      </c>
      <c r="N2" s="3">
        <f>IFERROR(df_mep[[#This Row],[ask_BA]]/df_mep[[#This Row],[bid_D_BA]],750)</f>
        <v>750</v>
      </c>
      <c r="O2" s="3">
        <f>IFERROR(df_mep[[#This Row],[bid_BA]]/df_mep[[#This Row],[ask_D_BA]],800)</f>
        <v>906.30588235294113</v>
      </c>
      <c r="P2" s="37">
        <f>MIN(1-df_mep[[#This Row],[MEP_compra_ARS]]/MEDIAN(N:N),100%)</f>
        <v>0</v>
      </c>
      <c r="Q2" s="38">
        <f>df_mep[[#This Row],[MEP_compra_USD]]/MEDIAN(O:O)-1</f>
        <v>0.13288235294117645</v>
      </c>
      <c r="R2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" s="38">
        <f>ABS(df_mep[[#This Row],[bid_BA]]-df_mep[[#This Row],[ask_BA]])/AVERAGE(df_mep[[#This Row],[bid_BA]:[ask_BA]])</f>
        <v>3.4544686245510249E-2</v>
      </c>
      <c r="T2" s="38">
        <f>ABS(df_mep[[#This Row],[bid_D_BA]]-df_mep[[#This Row],[ask_D_BA]])/AVERAGE(df_mep[[#This Row],[bid_D_BA]:[ask_D_BA]])</f>
        <v>2</v>
      </c>
    </row>
    <row r="3" spans="1:20" hidden="1" x14ac:dyDescent="0.25">
      <c r="A3" s="41" t="s">
        <v>315</v>
      </c>
      <c r="B3" s="41" t="s">
        <v>411</v>
      </c>
      <c r="C3" s="4">
        <v>16550</v>
      </c>
      <c r="D3" s="4">
        <v>16957.5</v>
      </c>
      <c r="E3" s="4">
        <v>16889</v>
      </c>
      <c r="F3" s="34">
        <v>0</v>
      </c>
      <c r="G3" s="34">
        <v>0</v>
      </c>
      <c r="H3" s="34">
        <v>18.100000000000001</v>
      </c>
      <c r="I3" s="5">
        <v>63</v>
      </c>
      <c r="J3" s="5">
        <f>df_mep[[#This Row],[volume_BA]]*df_mep[[#This Row],[open_BA]]</f>
        <v>1042650</v>
      </c>
      <c r="K3" s="5">
        <v>0</v>
      </c>
      <c r="L3" s="5">
        <f>df_mep[[#This Row],[volume_D_BA]]*df_mep[[#This Row],[open_D_BA]]</f>
        <v>0</v>
      </c>
      <c r="N3" s="3">
        <f>IFERROR(df_mep[[#This Row],[ask_BA]]/df_mep[[#This Row],[bid_D_BA]],750)</f>
        <v>750</v>
      </c>
      <c r="O3" s="3">
        <f>IFERROR(df_mep[[#This Row],[bid_BA]]/df_mep[[#This Row],[ask_D_BA]],800)</f>
        <v>936.87845303867391</v>
      </c>
      <c r="P3" s="37">
        <f>MIN(1-df_mep[[#This Row],[MEP_compra_ARS]]/MEDIAN(N:N),100%)</f>
        <v>0</v>
      </c>
      <c r="Q3" s="38">
        <f>df_mep[[#This Row],[MEP_compra_USD]]/MEDIAN(O:O)-1</f>
        <v>0.17109806629834234</v>
      </c>
      <c r="R3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3" s="38">
        <f>ABS(df_mep[[#This Row],[bid_BA]]-df_mep[[#This Row],[ask_BA]])/AVERAGE(df_mep[[#This Row],[bid_BA]:[ask_BA]])</f>
        <v>4.0476858759399053E-3</v>
      </c>
      <c r="T3" s="36">
        <f>ABS(df_mep[[#This Row],[bid_D_BA]]-df_mep[[#This Row],[ask_D_BA]])/AVERAGE(df_mep[[#This Row],[bid_D_BA]:[ask_D_BA]])</f>
        <v>2</v>
      </c>
    </row>
    <row r="4" spans="1:20" hidden="1" x14ac:dyDescent="0.25">
      <c r="A4" s="41" t="s">
        <v>333</v>
      </c>
      <c r="B4" s="41" t="s">
        <v>429</v>
      </c>
      <c r="C4" s="4">
        <v>15865.5</v>
      </c>
      <c r="D4" s="4">
        <v>16327.5</v>
      </c>
      <c r="E4" s="4">
        <v>16274.5</v>
      </c>
      <c r="F4" s="34">
        <v>39.5</v>
      </c>
      <c r="G4" s="34">
        <v>0</v>
      </c>
      <c r="H4" s="34">
        <v>12.1</v>
      </c>
      <c r="I4" s="5">
        <v>13</v>
      </c>
      <c r="J4" s="5">
        <f>df_mep[[#This Row],[volume_BA]]*df_mep[[#This Row],[open_BA]]</f>
        <v>206251.5</v>
      </c>
      <c r="K4" s="5">
        <v>0</v>
      </c>
      <c r="L4" s="5">
        <f>df_mep[[#This Row],[volume_D_BA]]*df_mep[[#This Row],[open_D_BA]]</f>
        <v>0</v>
      </c>
      <c r="M4" s="3">
        <v>401.65822784810126</v>
      </c>
      <c r="N4" s="3">
        <f>IFERROR(df_mep[[#This Row],[ask_BA]]/df_mep[[#This Row],[bid_D_BA]],750)</f>
        <v>750</v>
      </c>
      <c r="O4" s="3">
        <f>IFERROR(df_mep[[#This Row],[bid_BA]]/df_mep[[#This Row],[ask_D_BA]],800)</f>
        <v>1349.3801652892562</v>
      </c>
      <c r="P4" s="37">
        <f>MIN(1-df_mep[[#This Row],[MEP_compra_ARS]]/MEDIAN(N:N),100%)</f>
        <v>0</v>
      </c>
      <c r="Q4" s="38">
        <f>df_mep[[#This Row],[MEP_compra_USD]]/MEDIAN(O:O)-1</f>
        <v>0.68672520661157033</v>
      </c>
      <c r="R4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4" s="38">
        <f>ABS(df_mep[[#This Row],[bid_BA]]-df_mep[[#This Row],[ask_BA]])/AVERAGE(df_mep[[#This Row],[bid_BA]:[ask_BA]])</f>
        <v>3.2513342739709222E-3</v>
      </c>
      <c r="T4" s="36">
        <f>ABS(df_mep[[#This Row],[bid_D_BA]]-df_mep[[#This Row],[ask_D_BA]])/AVERAGE(df_mep[[#This Row],[bid_D_BA]:[ask_D_BA]])</f>
        <v>2</v>
      </c>
    </row>
    <row r="5" spans="1:20" hidden="1" x14ac:dyDescent="0.25">
      <c r="A5" s="41" t="s">
        <v>219</v>
      </c>
      <c r="B5" s="41" t="s">
        <v>220</v>
      </c>
      <c r="C5" s="4">
        <v>7843.5</v>
      </c>
      <c r="D5" s="4">
        <v>8168.5</v>
      </c>
      <c r="E5" s="4">
        <v>8070</v>
      </c>
      <c r="F5" s="34">
        <v>10</v>
      </c>
      <c r="G5" s="34">
        <v>0</v>
      </c>
      <c r="H5" s="34">
        <v>7.1</v>
      </c>
      <c r="I5" s="5">
        <v>131</v>
      </c>
      <c r="J5" s="5">
        <f>df_mep[[#This Row],[volume_BA]]*df_mep[[#This Row],[open_BA]]</f>
        <v>1027498.5</v>
      </c>
      <c r="K5" s="5">
        <v>0</v>
      </c>
      <c r="L5" s="5">
        <f>df_mep[[#This Row],[volume_D_BA]]*df_mep[[#This Row],[open_D_BA]]</f>
        <v>0</v>
      </c>
      <c r="M5" s="3">
        <v>784.35</v>
      </c>
      <c r="N5" s="3">
        <f>IFERROR(df_mep[[#This Row],[ask_BA]]/df_mep[[#This Row],[bid_D_BA]],750)</f>
        <v>750</v>
      </c>
      <c r="O5" s="3">
        <f>IFERROR(df_mep[[#This Row],[bid_BA]]/df_mep[[#This Row],[ask_D_BA]],800)</f>
        <v>1150.4929577464789</v>
      </c>
      <c r="P5" s="37">
        <f>MIN(1-df_mep[[#This Row],[MEP_compra_ARS]]/MEDIAN(N:N),100%)</f>
        <v>0</v>
      </c>
      <c r="Q5" s="38">
        <f>df_mep[[#This Row],[MEP_compra_USD]]/MEDIAN(O:O)-1</f>
        <v>0.43811619718309847</v>
      </c>
      <c r="R5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5" s="38">
        <f>ABS(df_mep[[#This Row],[bid_BA]]-df_mep[[#This Row],[ask_BA]])/AVERAGE(df_mep[[#This Row],[bid_BA]:[ask_BA]])</f>
        <v>1.2131662407242049E-2</v>
      </c>
      <c r="T5" s="36">
        <f>ABS(df_mep[[#This Row],[bid_D_BA]]-df_mep[[#This Row],[ask_D_BA]])/AVERAGE(df_mep[[#This Row],[bid_D_BA]:[ask_D_BA]])</f>
        <v>2</v>
      </c>
    </row>
    <row r="6" spans="1:20" hidden="1" x14ac:dyDescent="0.25">
      <c r="A6" s="41" t="s">
        <v>221</v>
      </c>
      <c r="B6" s="41" t="s">
        <v>222</v>
      </c>
      <c r="C6" s="4">
        <v>17020.5</v>
      </c>
      <c r="D6" s="4">
        <v>17396.5</v>
      </c>
      <c r="E6" s="4">
        <v>17261</v>
      </c>
      <c r="F6" s="34">
        <v>22.65</v>
      </c>
      <c r="G6" s="34">
        <v>0</v>
      </c>
      <c r="H6" s="34">
        <v>5.6</v>
      </c>
      <c r="I6" s="5">
        <v>61</v>
      </c>
      <c r="J6" s="5">
        <f>df_mep[[#This Row],[volume_BA]]*df_mep[[#This Row],[open_BA]]</f>
        <v>1038250.5</v>
      </c>
      <c r="K6" s="5">
        <v>0</v>
      </c>
      <c r="L6" s="5">
        <f>df_mep[[#This Row],[volume_D_BA]]*df_mep[[#This Row],[open_D_BA]]</f>
        <v>0</v>
      </c>
      <c r="M6" s="3">
        <v>751.45695364238418</v>
      </c>
      <c r="N6" s="3">
        <f>IFERROR(df_mep[[#This Row],[ask_BA]]/df_mep[[#This Row],[bid_D_BA]],750)</f>
        <v>750</v>
      </c>
      <c r="O6" s="3">
        <f>IFERROR(df_mep[[#This Row],[bid_BA]]/df_mep[[#This Row],[ask_D_BA]],800)</f>
        <v>3106.5178571428573</v>
      </c>
      <c r="P6" s="37">
        <f>MIN(1-df_mep[[#This Row],[MEP_compra_ARS]]/MEDIAN(N:N),100%)</f>
        <v>0</v>
      </c>
      <c r="Q6" s="38">
        <f>df_mep[[#This Row],[MEP_compra_USD]]/MEDIAN(O:O)-1</f>
        <v>2.8831473214285719</v>
      </c>
      <c r="R6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6" s="38">
        <f>ABS(df_mep[[#This Row],[bid_BA]]-df_mep[[#This Row],[ask_BA]])/AVERAGE(df_mep[[#This Row],[bid_BA]:[ask_BA]])</f>
        <v>7.8193753155882569E-3</v>
      </c>
      <c r="T6" s="36">
        <f>ABS(df_mep[[#This Row],[bid_D_BA]]-df_mep[[#This Row],[ask_D_BA]])/AVERAGE(df_mep[[#This Row],[bid_D_BA]:[ask_D_BA]])</f>
        <v>2</v>
      </c>
    </row>
    <row r="7" spans="1:20" hidden="1" x14ac:dyDescent="0.25">
      <c r="A7" s="41" t="s">
        <v>355</v>
      </c>
      <c r="B7" s="41" t="s">
        <v>412</v>
      </c>
      <c r="C7" s="4">
        <v>9932</v>
      </c>
      <c r="D7" s="4">
        <v>10168</v>
      </c>
      <c r="E7" s="4">
        <v>10100</v>
      </c>
      <c r="F7" s="34">
        <v>10.4</v>
      </c>
      <c r="G7" s="34">
        <v>0</v>
      </c>
      <c r="H7" s="34">
        <v>9.6</v>
      </c>
      <c r="I7" s="5">
        <v>145</v>
      </c>
      <c r="J7" s="5">
        <f>df_mep[[#This Row],[volume_BA]]*df_mep[[#This Row],[open_BA]]</f>
        <v>1440140</v>
      </c>
      <c r="K7" s="5">
        <v>0</v>
      </c>
      <c r="L7" s="5">
        <f>df_mep[[#This Row],[volume_D_BA]]*df_mep[[#This Row],[open_D_BA]]</f>
        <v>0</v>
      </c>
      <c r="M7" s="3">
        <v>955</v>
      </c>
      <c r="N7" s="3">
        <f>IFERROR(df_mep[[#This Row],[ask_BA]]/df_mep[[#This Row],[bid_D_BA]],750)</f>
        <v>750</v>
      </c>
      <c r="O7" s="3">
        <f>IFERROR(df_mep[[#This Row],[bid_BA]]/df_mep[[#This Row],[ask_D_BA]],800)</f>
        <v>1059.1666666666667</v>
      </c>
      <c r="P7" s="37">
        <f>MIN(1-df_mep[[#This Row],[MEP_compra_ARS]]/MEDIAN(N:N),100%)</f>
        <v>0</v>
      </c>
      <c r="Q7" s="38">
        <f>df_mep[[#This Row],[MEP_compra_USD]]/MEDIAN(O:O)-1</f>
        <v>0.32395833333333335</v>
      </c>
      <c r="R7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7" s="38">
        <f>ABS(df_mep[[#This Row],[bid_BA]]-df_mep[[#This Row],[ask_BA]])/AVERAGE(df_mep[[#This Row],[bid_BA]:[ask_BA]])</f>
        <v>6.7100848628379711E-3</v>
      </c>
      <c r="T7" s="36">
        <f>ABS(df_mep[[#This Row],[bid_D_BA]]-df_mep[[#This Row],[ask_D_BA]])/AVERAGE(df_mep[[#This Row],[bid_D_BA]:[ask_D_BA]])</f>
        <v>2</v>
      </c>
    </row>
    <row r="8" spans="1:20" hidden="1" x14ac:dyDescent="0.25">
      <c r="A8" s="41" t="s">
        <v>360</v>
      </c>
      <c r="B8" s="41" t="s">
        <v>413</v>
      </c>
      <c r="C8" s="4">
        <v>5924.5</v>
      </c>
      <c r="D8" s="4">
        <v>6072.5</v>
      </c>
      <c r="E8" s="4">
        <v>6036.5</v>
      </c>
      <c r="F8" s="34">
        <v>8.9</v>
      </c>
      <c r="G8" s="34">
        <v>0</v>
      </c>
      <c r="H8" s="34">
        <v>2.6</v>
      </c>
      <c r="I8" s="5">
        <v>45</v>
      </c>
      <c r="J8" s="5">
        <f>df_mep[[#This Row],[volume_BA]]*df_mep[[#This Row],[open_BA]]</f>
        <v>266602.5</v>
      </c>
      <c r="K8" s="5">
        <v>0</v>
      </c>
      <c r="L8" s="5">
        <f>df_mep[[#This Row],[volume_D_BA]]*df_mep[[#This Row],[open_D_BA]]</f>
        <v>0</v>
      </c>
      <c r="M8" s="3">
        <v>665.67415730337075</v>
      </c>
      <c r="N8" s="3">
        <f>IFERROR(df_mep[[#This Row],[ask_BA]]/df_mep[[#This Row],[bid_D_BA]],750)</f>
        <v>750</v>
      </c>
      <c r="O8" s="3">
        <f>IFERROR(df_mep[[#This Row],[bid_BA]]/df_mep[[#This Row],[ask_D_BA]],800)</f>
        <v>2335.5769230769229</v>
      </c>
      <c r="P8" s="37">
        <f>MIN(1-df_mep[[#This Row],[MEP_compra_ARS]]/MEDIAN(N:N),100%)</f>
        <v>0</v>
      </c>
      <c r="Q8" s="38">
        <f>df_mep[[#This Row],[MEP_compra_USD]]/MEDIAN(O:O)-1</f>
        <v>1.9194711538461537</v>
      </c>
      <c r="R8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8" s="38">
        <f>ABS(df_mep[[#This Row],[bid_BA]]-df_mep[[#This Row],[ask_BA]])/AVERAGE(df_mep[[#This Row],[bid_BA]:[ask_BA]])</f>
        <v>5.9459905855149065E-3</v>
      </c>
      <c r="T8" s="36">
        <f>ABS(df_mep[[#This Row],[bid_D_BA]]-df_mep[[#This Row],[ask_D_BA]])/AVERAGE(df_mep[[#This Row],[bid_D_BA]:[ask_D_BA]])</f>
        <v>2</v>
      </c>
    </row>
    <row r="9" spans="1:20" hidden="1" x14ac:dyDescent="0.25">
      <c r="A9" s="41" t="s">
        <v>253</v>
      </c>
      <c r="B9" s="41" t="s">
        <v>254</v>
      </c>
      <c r="C9" s="4">
        <v>4100</v>
      </c>
      <c r="D9" s="4">
        <v>4263.5</v>
      </c>
      <c r="E9" s="4">
        <v>4236.5</v>
      </c>
      <c r="F9" s="34">
        <v>5.07</v>
      </c>
      <c r="G9" s="34">
        <v>0</v>
      </c>
      <c r="H9" s="34">
        <v>4.9000000000000004</v>
      </c>
      <c r="I9" s="5">
        <v>468</v>
      </c>
      <c r="J9" s="5">
        <f>df_mep[[#This Row],[volume_BA]]*df_mep[[#This Row],[open_BA]]</f>
        <v>1918800</v>
      </c>
      <c r="K9" s="5">
        <v>0</v>
      </c>
      <c r="L9" s="5">
        <f>df_mep[[#This Row],[volume_D_BA]]*df_mep[[#This Row],[open_D_BA]]</f>
        <v>0</v>
      </c>
      <c r="M9" s="3">
        <v>808.67850098619328</v>
      </c>
      <c r="N9" s="3">
        <f>IFERROR(df_mep[[#This Row],[ask_BA]]/df_mep[[#This Row],[bid_D_BA]],750)</f>
        <v>750</v>
      </c>
      <c r="O9" s="3">
        <f>IFERROR(df_mep[[#This Row],[bid_BA]]/df_mep[[#This Row],[ask_D_BA]],800)</f>
        <v>870.10204081632651</v>
      </c>
      <c r="P9" s="37">
        <f>MIN(1-df_mep[[#This Row],[MEP_compra_ARS]]/MEDIAN(N:N),100%)</f>
        <v>0</v>
      </c>
      <c r="Q9" s="38">
        <f>df_mep[[#This Row],[MEP_compra_USD]]/MEDIAN(O:O)-1</f>
        <v>8.762755102040809E-2</v>
      </c>
      <c r="R9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9" s="38">
        <f>ABS(df_mep[[#This Row],[bid_BA]]-df_mep[[#This Row],[ask_BA]])/AVERAGE(df_mep[[#This Row],[bid_BA]:[ask_BA]])</f>
        <v>6.3529411764705881E-3</v>
      </c>
      <c r="T9" s="36">
        <f>ABS(df_mep[[#This Row],[bid_D_BA]]-df_mep[[#This Row],[ask_D_BA]])/AVERAGE(df_mep[[#This Row],[bid_D_BA]:[ask_D_BA]])</f>
        <v>2</v>
      </c>
    </row>
    <row r="10" spans="1:20" hidden="1" x14ac:dyDescent="0.25">
      <c r="A10" s="41" t="s">
        <v>372</v>
      </c>
      <c r="B10" s="41" t="s">
        <v>401</v>
      </c>
      <c r="C10" s="4">
        <v>16731</v>
      </c>
      <c r="D10" s="4">
        <v>16615.5</v>
      </c>
      <c r="E10" s="4">
        <v>16491</v>
      </c>
      <c r="F10" s="34">
        <v>19.5</v>
      </c>
      <c r="G10" s="34">
        <v>0</v>
      </c>
      <c r="H10" s="34">
        <v>14.7</v>
      </c>
      <c r="I10" s="5">
        <v>175</v>
      </c>
      <c r="J10" s="5">
        <f>df_mep[[#This Row],[volume_BA]]*df_mep[[#This Row],[open_BA]]</f>
        <v>2927925</v>
      </c>
      <c r="K10" s="5">
        <v>0</v>
      </c>
      <c r="L10" s="5">
        <f>df_mep[[#This Row],[volume_D_BA]]*df_mep[[#This Row],[open_D_BA]]</f>
        <v>0</v>
      </c>
      <c r="M10" s="3">
        <v>858</v>
      </c>
      <c r="N10" s="3">
        <f>IFERROR(df_mep[[#This Row],[ask_BA]]/df_mep[[#This Row],[bid_D_BA]],750)</f>
        <v>750</v>
      </c>
      <c r="O10" s="3">
        <f>IFERROR(df_mep[[#This Row],[bid_BA]]/df_mep[[#This Row],[ask_D_BA]],800)</f>
        <v>1130.3061224489797</v>
      </c>
      <c r="P10" s="37">
        <f>MIN(1-df_mep[[#This Row],[MEP_compra_ARS]]/MEDIAN(N:N),100%)</f>
        <v>0</v>
      </c>
      <c r="Q10" s="38">
        <f>df_mep[[#This Row],[MEP_compra_USD]]/MEDIAN(O:O)-1</f>
        <v>0.41288265306122462</v>
      </c>
      <c r="R10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0" s="38">
        <f>ABS(df_mep[[#This Row],[bid_BA]]-df_mep[[#This Row],[ask_BA]])/AVERAGE(df_mep[[#This Row],[bid_BA]:[ask_BA]])</f>
        <v>7.5211816410674639E-3</v>
      </c>
      <c r="T10" s="36">
        <f>ABS(df_mep[[#This Row],[bid_D_BA]]-df_mep[[#This Row],[ask_D_BA]])/AVERAGE(df_mep[[#This Row],[bid_D_BA]:[ask_D_BA]])</f>
        <v>2</v>
      </c>
    </row>
    <row r="11" spans="1:20" hidden="1" x14ac:dyDescent="0.25">
      <c r="A11" s="41" t="s">
        <v>373</v>
      </c>
      <c r="B11" s="41" t="s">
        <v>402</v>
      </c>
      <c r="C11" s="4">
        <v>12336</v>
      </c>
      <c r="D11" s="4">
        <v>13163.5</v>
      </c>
      <c r="E11" s="4">
        <v>13079</v>
      </c>
      <c r="F11" s="34">
        <v>14.5</v>
      </c>
      <c r="G11" s="34">
        <v>0</v>
      </c>
      <c r="H11" s="34">
        <v>15.2</v>
      </c>
      <c r="I11" s="5">
        <v>2487</v>
      </c>
      <c r="J11" s="5">
        <f>df_mep[[#This Row],[volume_BA]]*df_mep[[#This Row],[open_BA]]</f>
        <v>30679632</v>
      </c>
      <c r="K11" s="5">
        <v>2</v>
      </c>
      <c r="L11" s="5">
        <f>df_mep[[#This Row],[volume_D_BA]]*df_mep[[#This Row],[open_D_BA]]</f>
        <v>29</v>
      </c>
      <c r="M11" s="3">
        <v>850.75862068965512</v>
      </c>
      <c r="N11" s="3">
        <f>IFERROR(df_mep[[#This Row],[ask_BA]]/df_mep[[#This Row],[bid_D_BA]],750)</f>
        <v>750</v>
      </c>
      <c r="O11" s="3">
        <f>IFERROR(df_mep[[#This Row],[bid_BA]]/df_mep[[#This Row],[ask_D_BA]],800)</f>
        <v>866.01973684210532</v>
      </c>
      <c r="P11" s="37">
        <f>MIN(1-df_mep[[#This Row],[MEP_compra_ARS]]/MEDIAN(N:N),100%)</f>
        <v>0</v>
      </c>
      <c r="Q11" s="38">
        <f>df_mep[[#This Row],[MEP_compra_USD]]/MEDIAN(O:O)-1</f>
        <v>8.2524671052631726E-2</v>
      </c>
      <c r="R11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1" s="38">
        <f>ABS(df_mep[[#This Row],[bid_BA]]-df_mep[[#This Row],[ask_BA]])/AVERAGE(df_mep[[#This Row],[bid_BA]:[ask_BA]])</f>
        <v>6.4399352195865485E-3</v>
      </c>
      <c r="T11" s="36">
        <f>ABS(df_mep[[#This Row],[bid_D_BA]]-df_mep[[#This Row],[ask_D_BA]])/AVERAGE(df_mep[[#This Row],[bid_D_BA]:[ask_D_BA]])</f>
        <v>2</v>
      </c>
    </row>
    <row r="12" spans="1:20" hidden="1" x14ac:dyDescent="0.25">
      <c r="A12" s="41" t="s">
        <v>379</v>
      </c>
      <c r="B12" s="41" t="s">
        <v>415</v>
      </c>
      <c r="C12" s="4">
        <v>16900</v>
      </c>
      <c r="D12" s="4">
        <v>16820</v>
      </c>
      <c r="E12" s="4">
        <v>16780</v>
      </c>
      <c r="F12" s="34">
        <v>19.899999999999999</v>
      </c>
      <c r="G12" s="34">
        <v>0</v>
      </c>
      <c r="H12" s="34">
        <v>16.5</v>
      </c>
      <c r="I12" s="5">
        <v>508</v>
      </c>
      <c r="J12" s="5">
        <f>df_mep[[#This Row],[volume_BA]]*df_mep[[#This Row],[open_BA]]</f>
        <v>8585200</v>
      </c>
      <c r="K12" s="5">
        <v>0</v>
      </c>
      <c r="L12" s="5">
        <f>df_mep[[#This Row],[volume_D_BA]]*df_mep[[#This Row],[open_D_BA]]</f>
        <v>0</v>
      </c>
      <c r="M12" s="3">
        <v>849.2462311557789</v>
      </c>
      <c r="N12" s="3">
        <f>IFERROR(df_mep[[#This Row],[ask_BA]]/df_mep[[#This Row],[bid_D_BA]],750)</f>
        <v>750</v>
      </c>
      <c r="O12" s="3">
        <f>IFERROR(df_mep[[#This Row],[bid_BA]]/df_mep[[#This Row],[ask_D_BA]],800)</f>
        <v>1019.3939393939394</v>
      </c>
      <c r="P12" s="37">
        <f>MIN(1-df_mep[[#This Row],[MEP_compra_ARS]]/MEDIAN(N:N),100%)</f>
        <v>0</v>
      </c>
      <c r="Q12" s="38">
        <f>df_mep[[#This Row],[MEP_compra_USD]]/MEDIAN(O:O)-1</f>
        <v>0.27424242424242418</v>
      </c>
      <c r="R12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2" s="38">
        <f>ABS(df_mep[[#This Row],[bid_BA]]-df_mep[[#This Row],[ask_BA]])/AVERAGE(df_mep[[#This Row],[bid_BA]:[ask_BA]])</f>
        <v>2.3809523809523812E-3</v>
      </c>
      <c r="T12" s="36">
        <f>ABS(df_mep[[#This Row],[bid_D_BA]]-df_mep[[#This Row],[ask_D_BA]])/AVERAGE(df_mep[[#This Row],[bid_D_BA]:[ask_D_BA]])</f>
        <v>2</v>
      </c>
    </row>
    <row r="13" spans="1:20" hidden="1" x14ac:dyDescent="0.25">
      <c r="A13" s="41" t="s">
        <v>146</v>
      </c>
      <c r="B13" s="41" t="s">
        <v>147</v>
      </c>
      <c r="C13" s="4">
        <v>7000</v>
      </c>
      <c r="D13" s="4">
        <v>7214</v>
      </c>
      <c r="E13" s="4">
        <v>7171</v>
      </c>
      <c r="F13" s="34">
        <v>8.75</v>
      </c>
      <c r="G13" s="34">
        <v>0</v>
      </c>
      <c r="H13" s="34">
        <v>6.8</v>
      </c>
      <c r="I13" s="5">
        <v>256</v>
      </c>
      <c r="J13" s="5">
        <f>df_mep[[#This Row],[volume_BA]]*df_mep[[#This Row],[open_BA]]</f>
        <v>1792000</v>
      </c>
      <c r="K13" s="5">
        <v>0</v>
      </c>
      <c r="L13" s="5">
        <f>df_mep[[#This Row],[volume_D_BA]]*df_mep[[#This Row],[open_D_BA]]</f>
        <v>0</v>
      </c>
      <c r="M13" s="3">
        <v>800</v>
      </c>
      <c r="N13" s="3">
        <f>IFERROR(df_mep[[#This Row],[ask_BA]]/df_mep[[#This Row],[bid_D_BA]],750)</f>
        <v>750</v>
      </c>
      <c r="O13" s="3">
        <f>IFERROR(df_mep[[#This Row],[bid_BA]]/df_mep[[#This Row],[ask_D_BA]],800)</f>
        <v>1060.8823529411766</v>
      </c>
      <c r="P13" s="37">
        <f>MIN(1-df_mep[[#This Row],[MEP_compra_ARS]]/MEDIAN(N:N),100%)</f>
        <v>0</v>
      </c>
      <c r="Q13" s="38">
        <f>df_mep[[#This Row],[MEP_compra_USD]]/MEDIAN(O:O)-1</f>
        <v>0.32610294117647065</v>
      </c>
      <c r="R13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3" s="38">
        <f>ABS(df_mep[[#This Row],[bid_BA]]-df_mep[[#This Row],[ask_BA]])/AVERAGE(df_mep[[#This Row],[bid_BA]:[ask_BA]])</f>
        <v>5.9784497740702118E-3</v>
      </c>
      <c r="T13" s="36">
        <f>ABS(df_mep[[#This Row],[bid_D_BA]]-df_mep[[#This Row],[ask_D_BA]])/AVERAGE(df_mep[[#This Row],[bid_D_BA]:[ask_D_BA]])</f>
        <v>2</v>
      </c>
    </row>
    <row r="14" spans="1:20" hidden="1" x14ac:dyDescent="0.25">
      <c r="A14" s="41" t="s">
        <v>152</v>
      </c>
      <c r="B14" s="41" t="s">
        <v>416</v>
      </c>
      <c r="C14" s="4">
        <v>27370</v>
      </c>
      <c r="D14" s="4">
        <v>28337.5</v>
      </c>
      <c r="E14" s="4">
        <v>28257.5</v>
      </c>
      <c r="F14" s="34">
        <v>32.5</v>
      </c>
      <c r="G14" s="34">
        <v>0</v>
      </c>
      <c r="H14" s="34">
        <v>30</v>
      </c>
      <c r="I14" s="5">
        <v>81</v>
      </c>
      <c r="J14" s="5">
        <f>df_mep[[#This Row],[volume_BA]]*df_mep[[#This Row],[open_BA]]</f>
        <v>2216970</v>
      </c>
      <c r="K14" s="5">
        <v>0</v>
      </c>
      <c r="L14" s="5">
        <f>df_mep[[#This Row],[volume_D_BA]]*df_mep[[#This Row],[open_D_BA]]</f>
        <v>0</v>
      </c>
      <c r="M14" s="3">
        <v>842.15384615384619</v>
      </c>
      <c r="N14" s="3">
        <f>IFERROR(df_mep[[#This Row],[ask_BA]]/df_mep[[#This Row],[bid_D_BA]],750)</f>
        <v>750</v>
      </c>
      <c r="O14" s="3">
        <f>IFERROR(df_mep[[#This Row],[bid_BA]]/df_mep[[#This Row],[ask_D_BA]],800)</f>
        <v>944.58333333333337</v>
      </c>
      <c r="P14" s="37">
        <f>MIN(1-df_mep[[#This Row],[MEP_compra_ARS]]/MEDIAN(N:N),100%)</f>
        <v>0</v>
      </c>
      <c r="Q14" s="38">
        <f>df_mep[[#This Row],[MEP_compra_USD]]/MEDIAN(O:O)-1</f>
        <v>0.18072916666666661</v>
      </c>
      <c r="R14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4" s="38">
        <f>ABS(df_mep[[#This Row],[bid_BA]]-df_mep[[#This Row],[ask_BA]])/AVERAGE(df_mep[[#This Row],[bid_BA]:[ask_BA]])</f>
        <v>2.8271048679211945E-3</v>
      </c>
      <c r="T14" s="36">
        <f>ABS(df_mep[[#This Row],[bid_D_BA]]-df_mep[[#This Row],[ask_D_BA]])/AVERAGE(df_mep[[#This Row],[bid_D_BA]:[ask_D_BA]])</f>
        <v>2</v>
      </c>
    </row>
    <row r="15" spans="1:20" hidden="1" x14ac:dyDescent="0.25">
      <c r="A15" s="41" t="s">
        <v>279</v>
      </c>
      <c r="B15" s="41" t="s">
        <v>280</v>
      </c>
      <c r="C15" s="4">
        <v>7226</v>
      </c>
      <c r="D15" s="4">
        <v>7466.5</v>
      </c>
      <c r="E15" s="4">
        <v>7412</v>
      </c>
      <c r="F15" s="34">
        <v>10.75</v>
      </c>
      <c r="G15" s="34">
        <v>0</v>
      </c>
      <c r="H15" s="34">
        <v>8.59</v>
      </c>
      <c r="I15" s="5">
        <v>333</v>
      </c>
      <c r="J15" s="5">
        <f>df_mep[[#This Row],[volume_BA]]*df_mep[[#This Row],[open_BA]]</f>
        <v>2406258</v>
      </c>
      <c r="K15" s="5">
        <v>0</v>
      </c>
      <c r="L15" s="5">
        <f>df_mep[[#This Row],[volume_D_BA]]*df_mep[[#This Row],[open_D_BA]]</f>
        <v>0</v>
      </c>
      <c r="M15" s="3">
        <v>672.18604651162786</v>
      </c>
      <c r="N15" s="3">
        <f>IFERROR(df_mep[[#This Row],[ask_BA]]/df_mep[[#This Row],[bid_D_BA]],750)</f>
        <v>750</v>
      </c>
      <c r="O15" s="3">
        <f>IFERROR(df_mep[[#This Row],[bid_BA]]/df_mep[[#This Row],[ask_D_BA]],800)</f>
        <v>869.20838183934814</v>
      </c>
      <c r="P15" s="37">
        <f>MIN(1-df_mep[[#This Row],[MEP_compra_ARS]]/MEDIAN(N:N),100%)</f>
        <v>0</v>
      </c>
      <c r="Q15" s="38">
        <f>df_mep[[#This Row],[MEP_compra_USD]]/MEDIAN(O:O)-1</f>
        <v>8.6510477299185151E-2</v>
      </c>
      <c r="R15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5" s="38">
        <f>ABS(df_mep[[#This Row],[bid_BA]]-df_mep[[#This Row],[ask_BA]])/AVERAGE(df_mep[[#This Row],[bid_BA]:[ask_BA]])</f>
        <v>7.326007326007326E-3</v>
      </c>
      <c r="T15" s="36">
        <f>ABS(df_mep[[#This Row],[bid_D_BA]]-df_mep[[#This Row],[ask_D_BA]])/AVERAGE(df_mep[[#This Row],[bid_D_BA]:[ask_D_BA]])</f>
        <v>2</v>
      </c>
    </row>
    <row r="16" spans="1:20" hidden="1" x14ac:dyDescent="0.25">
      <c r="A16" s="41" t="s">
        <v>153</v>
      </c>
      <c r="B16" s="41" t="s">
        <v>154</v>
      </c>
      <c r="C16" s="4">
        <v>19064.5</v>
      </c>
      <c r="D16" s="4">
        <v>20340.5</v>
      </c>
      <c r="E16" s="4">
        <v>20210.5</v>
      </c>
      <c r="F16" s="34">
        <v>14</v>
      </c>
      <c r="G16" s="34">
        <v>0</v>
      </c>
      <c r="H16" s="34">
        <v>14.5</v>
      </c>
      <c r="I16" s="5">
        <v>277</v>
      </c>
      <c r="J16" s="5">
        <f>df_mep[[#This Row],[volume_BA]]*df_mep[[#This Row],[open_BA]]</f>
        <v>5280866.5</v>
      </c>
      <c r="K16" s="5">
        <v>0</v>
      </c>
      <c r="L16" s="5">
        <f>df_mep[[#This Row],[volume_D_BA]]*df_mep[[#This Row],[open_D_BA]]</f>
        <v>0</v>
      </c>
      <c r="M16" s="3">
        <v>1361.75</v>
      </c>
      <c r="N16" s="3">
        <f>IFERROR(df_mep[[#This Row],[ask_BA]]/df_mep[[#This Row],[bid_D_BA]],750)</f>
        <v>750</v>
      </c>
      <c r="O16" s="3">
        <f>IFERROR(df_mep[[#This Row],[bid_BA]]/df_mep[[#This Row],[ask_D_BA]],800)</f>
        <v>1402.7931034482758</v>
      </c>
      <c r="P16" s="37">
        <f>MIN(1-df_mep[[#This Row],[MEP_compra_ARS]]/MEDIAN(N:N),100%)</f>
        <v>0</v>
      </c>
      <c r="Q16" s="38">
        <f>df_mep[[#This Row],[MEP_compra_USD]]/MEDIAN(O:O)-1</f>
        <v>0.75349137931034482</v>
      </c>
      <c r="R16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6" s="38">
        <f>ABS(df_mep[[#This Row],[bid_BA]]-df_mep[[#This Row],[ask_BA]])/AVERAGE(df_mep[[#This Row],[bid_BA]:[ask_BA]])</f>
        <v>6.4116791201203425E-3</v>
      </c>
      <c r="T16" s="36">
        <f>ABS(df_mep[[#This Row],[bid_D_BA]]-df_mep[[#This Row],[ask_D_BA]])/AVERAGE(df_mep[[#This Row],[bid_D_BA]:[ask_D_BA]])</f>
        <v>2</v>
      </c>
    </row>
    <row r="17" spans="1:20" hidden="1" x14ac:dyDescent="0.25">
      <c r="A17" s="41" t="s">
        <v>282</v>
      </c>
      <c r="B17" s="41" t="s">
        <v>283</v>
      </c>
      <c r="C17" s="4">
        <v>8850</v>
      </c>
      <c r="D17" s="4">
        <v>9121</v>
      </c>
      <c r="E17" s="4">
        <v>9052</v>
      </c>
      <c r="F17" s="34">
        <v>11</v>
      </c>
      <c r="G17" s="34">
        <v>0</v>
      </c>
      <c r="H17" s="34">
        <v>9.25</v>
      </c>
      <c r="I17" s="5">
        <v>67</v>
      </c>
      <c r="J17" s="5">
        <f>df_mep[[#This Row],[volume_BA]]*df_mep[[#This Row],[open_BA]]</f>
        <v>592950</v>
      </c>
      <c r="K17" s="5">
        <v>0</v>
      </c>
      <c r="L17" s="5">
        <f>df_mep[[#This Row],[volume_D_BA]]*df_mep[[#This Row],[open_D_BA]]</f>
        <v>0</v>
      </c>
      <c r="M17" s="3">
        <v>804.5454545454545</v>
      </c>
      <c r="N17" s="3">
        <f>IFERROR(df_mep[[#This Row],[ask_BA]]/df_mep[[#This Row],[bid_D_BA]],750)</f>
        <v>750</v>
      </c>
      <c r="O17" s="3">
        <f>IFERROR(df_mep[[#This Row],[bid_BA]]/df_mep[[#This Row],[ask_D_BA]],800)</f>
        <v>986.05405405405406</v>
      </c>
      <c r="P17" s="37">
        <f>MIN(1-df_mep[[#This Row],[MEP_compra_ARS]]/MEDIAN(N:N),100%)</f>
        <v>0</v>
      </c>
      <c r="Q17" s="38">
        <f>df_mep[[#This Row],[MEP_compra_USD]]/MEDIAN(O:O)-1</f>
        <v>0.23256756756756758</v>
      </c>
      <c r="R17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7" s="38">
        <f>ABS(df_mep[[#This Row],[bid_BA]]-df_mep[[#This Row],[ask_BA]])/AVERAGE(df_mep[[#This Row],[bid_BA]:[ask_BA]])</f>
        <v>7.5936829362240688E-3</v>
      </c>
      <c r="T17" s="36">
        <f>ABS(df_mep[[#This Row],[bid_D_BA]]-df_mep[[#This Row],[ask_D_BA]])/AVERAGE(df_mep[[#This Row],[bid_D_BA]:[ask_D_BA]])</f>
        <v>2</v>
      </c>
    </row>
    <row r="18" spans="1:20" hidden="1" x14ac:dyDescent="0.25">
      <c r="A18" s="41" t="s">
        <v>92</v>
      </c>
      <c r="B18" s="41" t="s">
        <v>296</v>
      </c>
      <c r="C18" s="4">
        <v>7341</v>
      </c>
      <c r="D18" s="4">
        <v>7728</v>
      </c>
      <c r="E18" s="4">
        <v>7673</v>
      </c>
      <c r="I18" s="5">
        <v>725</v>
      </c>
      <c r="J18" s="5">
        <f>df_mep[[#This Row],[volume_BA]]*df_mep[[#This Row],[open_BA]]</f>
        <v>5322225</v>
      </c>
      <c r="L18" s="5">
        <f>df_mep[[#This Row],[volume_D_BA]]*df_mep[[#This Row],[open_D_BA]]</f>
        <v>0</v>
      </c>
      <c r="N18" s="3">
        <f>IFERROR(df_mep[[#This Row],[ask_BA]]/df_mep[[#This Row],[bid_D_BA]],750)</f>
        <v>750</v>
      </c>
      <c r="O18" s="3">
        <f>IFERROR(df_mep[[#This Row],[bid_BA]]/df_mep[[#This Row],[ask_D_BA]],800)</f>
        <v>800</v>
      </c>
      <c r="P18" s="37">
        <f>MIN(1-df_mep[[#This Row],[MEP_compra_ARS]]/MEDIAN(N:N),100%)</f>
        <v>0</v>
      </c>
      <c r="Q18" s="38">
        <f>df_mep[[#This Row],[MEP_compra_USD]]/MEDIAN(O:O)-1</f>
        <v>0</v>
      </c>
      <c r="R18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8" s="38">
        <f>ABS(df_mep[[#This Row],[bid_BA]]-df_mep[[#This Row],[ask_BA]])/AVERAGE(df_mep[[#This Row],[bid_BA]:[ask_BA]])</f>
        <v>7.1423933510810986E-3</v>
      </c>
      <c r="T18" s="36" t="e">
        <f>ABS(df_mep[[#This Row],[bid_D_BA]]-df_mep[[#This Row],[ask_D_BA]])/AVERAGE(df_mep[[#This Row],[bid_D_BA]:[ask_D_BA]])</f>
        <v>#DIV/0!</v>
      </c>
    </row>
    <row r="19" spans="1:20" hidden="1" x14ac:dyDescent="0.25">
      <c r="A19" s="41" t="s">
        <v>95</v>
      </c>
      <c r="B19" s="41" t="s">
        <v>296</v>
      </c>
      <c r="C19" s="4">
        <v>20378.5</v>
      </c>
      <c r="D19" s="4">
        <v>21237</v>
      </c>
      <c r="E19" s="4">
        <v>21074.5</v>
      </c>
      <c r="I19" s="5">
        <v>463</v>
      </c>
      <c r="J19" s="5">
        <f>df_mep[[#This Row],[volume_BA]]*df_mep[[#This Row],[open_BA]]</f>
        <v>9435245.5</v>
      </c>
      <c r="L19" s="5">
        <f>df_mep[[#This Row],[volume_D_BA]]*df_mep[[#This Row],[open_D_BA]]</f>
        <v>0</v>
      </c>
      <c r="N19" s="3">
        <f>IFERROR(df_mep[[#This Row],[ask_BA]]/df_mep[[#This Row],[bid_D_BA]],750)</f>
        <v>750</v>
      </c>
      <c r="O19" s="3">
        <f>IFERROR(df_mep[[#This Row],[bid_BA]]/df_mep[[#This Row],[ask_D_BA]],800)</f>
        <v>800</v>
      </c>
      <c r="P19" s="37">
        <f>MIN(1-df_mep[[#This Row],[MEP_compra_ARS]]/MEDIAN(N:N),100%)</f>
        <v>0</v>
      </c>
      <c r="Q19" s="38">
        <f>df_mep[[#This Row],[MEP_compra_USD]]/MEDIAN(O:O)-1</f>
        <v>0</v>
      </c>
      <c r="R19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9" s="38">
        <f>ABS(df_mep[[#This Row],[bid_BA]]-df_mep[[#This Row],[ask_BA]])/AVERAGE(df_mep[[#This Row],[bid_BA]:[ask_BA]])</f>
        <v>7.6811268803989455E-3</v>
      </c>
      <c r="T19" s="36" t="e">
        <f>ABS(df_mep[[#This Row],[bid_D_BA]]-df_mep[[#This Row],[ask_D_BA]])/AVERAGE(df_mep[[#This Row],[bid_D_BA]:[ask_D_BA]])</f>
        <v>#DIV/0!</v>
      </c>
    </row>
    <row r="20" spans="1:20" hidden="1" x14ac:dyDescent="0.25">
      <c r="A20" s="41" t="s">
        <v>297</v>
      </c>
      <c r="B20" s="41" t="s">
        <v>296</v>
      </c>
      <c r="C20" s="4">
        <v>19800</v>
      </c>
      <c r="D20" s="4">
        <v>19584.5</v>
      </c>
      <c r="E20" s="4">
        <v>19560</v>
      </c>
      <c r="I20" s="5">
        <v>482</v>
      </c>
      <c r="J20" s="5">
        <f>df_mep[[#This Row],[volume_BA]]*df_mep[[#This Row],[open_BA]]</f>
        <v>9543600</v>
      </c>
      <c r="L20" s="5">
        <f>df_mep[[#This Row],[volume_D_BA]]*df_mep[[#This Row],[open_D_BA]]</f>
        <v>0</v>
      </c>
      <c r="N20" s="3">
        <f>IFERROR(df_mep[[#This Row],[ask_BA]]/df_mep[[#This Row],[bid_D_BA]],750)</f>
        <v>750</v>
      </c>
      <c r="O20" s="3">
        <f>IFERROR(df_mep[[#This Row],[bid_BA]]/df_mep[[#This Row],[ask_D_BA]],800)</f>
        <v>800</v>
      </c>
      <c r="P20" s="37">
        <f>MIN(1-df_mep[[#This Row],[MEP_compra_ARS]]/MEDIAN(N:N),100%)</f>
        <v>0</v>
      </c>
      <c r="Q20" s="38">
        <f>df_mep[[#This Row],[MEP_compra_USD]]/MEDIAN(O:O)-1</f>
        <v>0</v>
      </c>
      <c r="R20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0" s="38">
        <f>ABS(df_mep[[#This Row],[bid_BA]]-df_mep[[#This Row],[ask_BA]])/AVERAGE(df_mep[[#This Row],[bid_BA]:[ask_BA]])</f>
        <v>1.2517722796305994E-3</v>
      </c>
      <c r="T20" s="36" t="e">
        <f>ABS(df_mep[[#This Row],[bid_D_BA]]-df_mep[[#This Row],[ask_D_BA]])/AVERAGE(df_mep[[#This Row],[bid_D_BA]:[ask_D_BA]])</f>
        <v>#DIV/0!</v>
      </c>
    </row>
    <row r="21" spans="1:20" hidden="1" x14ac:dyDescent="0.25">
      <c r="A21" s="41" t="s">
        <v>298</v>
      </c>
      <c r="B21" s="41" t="s">
        <v>296</v>
      </c>
      <c r="C21" s="4">
        <v>10040.5</v>
      </c>
      <c r="D21" s="4">
        <v>10427.5</v>
      </c>
      <c r="E21" s="4">
        <v>10334.5</v>
      </c>
      <c r="I21" s="5">
        <v>275</v>
      </c>
      <c r="J21" s="5">
        <f>df_mep[[#This Row],[volume_BA]]*df_mep[[#This Row],[open_BA]]</f>
        <v>2761137.5</v>
      </c>
      <c r="L21" s="5">
        <f>df_mep[[#This Row],[volume_D_BA]]*df_mep[[#This Row],[open_D_BA]]</f>
        <v>0</v>
      </c>
      <c r="N21" s="3">
        <f>IFERROR(df_mep[[#This Row],[ask_BA]]/df_mep[[#This Row],[bid_D_BA]],750)</f>
        <v>750</v>
      </c>
      <c r="O21" s="3">
        <f>IFERROR(df_mep[[#This Row],[bid_BA]]/df_mep[[#This Row],[ask_D_BA]],800)</f>
        <v>800</v>
      </c>
      <c r="P21" s="37">
        <f>MIN(1-df_mep[[#This Row],[MEP_compra_ARS]]/MEDIAN(N:N),100%)</f>
        <v>0</v>
      </c>
      <c r="Q21" s="38">
        <f>df_mep[[#This Row],[MEP_compra_USD]]/MEDIAN(O:O)-1</f>
        <v>0</v>
      </c>
      <c r="R21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1" s="38">
        <f>ABS(df_mep[[#This Row],[bid_BA]]-df_mep[[#This Row],[ask_BA]])/AVERAGE(df_mep[[#This Row],[bid_BA]:[ask_BA]])</f>
        <v>8.9586745014931125E-3</v>
      </c>
      <c r="T21" s="36" t="e">
        <f>ABS(df_mep[[#This Row],[bid_D_BA]]-df_mep[[#This Row],[ask_D_BA]])/AVERAGE(df_mep[[#This Row],[bid_D_BA]:[ask_D_BA]])</f>
        <v>#DIV/0!</v>
      </c>
    </row>
    <row r="22" spans="1:20" hidden="1" x14ac:dyDescent="0.25">
      <c r="A22" s="41" t="s">
        <v>299</v>
      </c>
      <c r="B22" s="41" t="s">
        <v>296</v>
      </c>
      <c r="C22" s="4">
        <v>36450.5</v>
      </c>
      <c r="D22" s="4">
        <v>36717</v>
      </c>
      <c r="E22" s="4">
        <v>36187</v>
      </c>
      <c r="I22" s="5">
        <v>9</v>
      </c>
      <c r="J22" s="5">
        <f>df_mep[[#This Row],[volume_BA]]*df_mep[[#This Row],[open_BA]]</f>
        <v>328054.5</v>
      </c>
      <c r="L22" s="5">
        <f>df_mep[[#This Row],[volume_D_BA]]*df_mep[[#This Row],[open_D_BA]]</f>
        <v>0</v>
      </c>
      <c r="N22" s="3">
        <f>IFERROR(df_mep[[#This Row],[ask_BA]]/df_mep[[#This Row],[bid_D_BA]],750)</f>
        <v>750</v>
      </c>
      <c r="O22" s="3">
        <f>IFERROR(df_mep[[#This Row],[bid_BA]]/df_mep[[#This Row],[ask_D_BA]],800)</f>
        <v>800</v>
      </c>
      <c r="P22" s="37">
        <f>MIN(1-df_mep[[#This Row],[MEP_compra_ARS]]/MEDIAN(N:N),100%)</f>
        <v>0</v>
      </c>
      <c r="Q22" s="38">
        <f>df_mep[[#This Row],[MEP_compra_USD]]/MEDIAN(O:O)-1</f>
        <v>0</v>
      </c>
      <c r="R22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2" s="38">
        <f>ABS(df_mep[[#This Row],[bid_BA]]-df_mep[[#This Row],[ask_BA]])/AVERAGE(df_mep[[#This Row],[bid_BA]:[ask_BA]])</f>
        <v>1.4539668605289147E-2</v>
      </c>
      <c r="T22" s="36" t="e">
        <f>ABS(df_mep[[#This Row],[bid_D_BA]]-df_mep[[#This Row],[ask_D_BA]])/AVERAGE(df_mep[[#This Row],[bid_D_BA]:[ask_D_BA]])</f>
        <v>#DIV/0!</v>
      </c>
    </row>
    <row r="23" spans="1:20" hidden="1" x14ac:dyDescent="0.25">
      <c r="A23" s="41" t="s">
        <v>300</v>
      </c>
      <c r="B23" s="41" t="s">
        <v>296</v>
      </c>
      <c r="C23" s="4">
        <v>3980</v>
      </c>
      <c r="D23" s="4">
        <v>0</v>
      </c>
      <c r="E23" s="4">
        <v>3980</v>
      </c>
      <c r="I23" s="5">
        <v>0</v>
      </c>
      <c r="J23" s="5">
        <f>df_mep[[#This Row],[volume_BA]]*df_mep[[#This Row],[open_BA]]</f>
        <v>0</v>
      </c>
      <c r="L23" s="5">
        <f>df_mep[[#This Row],[volume_D_BA]]*df_mep[[#This Row],[open_D_BA]]</f>
        <v>0</v>
      </c>
      <c r="N23" s="3">
        <f>IFERROR(df_mep[[#This Row],[ask_BA]]/df_mep[[#This Row],[bid_D_BA]],750)</f>
        <v>750</v>
      </c>
      <c r="O23" s="3">
        <f>IFERROR(df_mep[[#This Row],[bid_BA]]/df_mep[[#This Row],[ask_D_BA]],800)</f>
        <v>800</v>
      </c>
      <c r="P23" s="37">
        <f>MIN(1-df_mep[[#This Row],[MEP_compra_ARS]]/MEDIAN(N:N),100%)</f>
        <v>0</v>
      </c>
      <c r="Q23" s="38">
        <f>df_mep[[#This Row],[MEP_compra_USD]]/MEDIAN(O:O)-1</f>
        <v>0</v>
      </c>
      <c r="R23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3" s="38">
        <f>ABS(df_mep[[#This Row],[bid_BA]]-df_mep[[#This Row],[ask_BA]])/AVERAGE(df_mep[[#This Row],[bid_BA]:[ask_BA]])</f>
        <v>2</v>
      </c>
      <c r="T23" s="36" t="e">
        <f>ABS(df_mep[[#This Row],[bid_D_BA]]-df_mep[[#This Row],[ask_D_BA]])/AVERAGE(df_mep[[#This Row],[bid_D_BA]:[ask_D_BA]])</f>
        <v>#DIV/0!</v>
      </c>
    </row>
    <row r="24" spans="1:20" hidden="1" x14ac:dyDescent="0.25">
      <c r="A24" s="41" t="s">
        <v>301</v>
      </c>
      <c r="B24" s="41" t="s">
        <v>296</v>
      </c>
      <c r="C24" s="4">
        <v>13000</v>
      </c>
      <c r="D24" s="4">
        <v>13264</v>
      </c>
      <c r="E24" s="4">
        <v>13059</v>
      </c>
      <c r="I24" s="5">
        <v>185</v>
      </c>
      <c r="J24" s="5">
        <f>df_mep[[#This Row],[volume_BA]]*df_mep[[#This Row],[open_BA]]</f>
        <v>2405000</v>
      </c>
      <c r="L24" s="5">
        <f>df_mep[[#This Row],[volume_D_BA]]*df_mep[[#This Row],[open_D_BA]]</f>
        <v>0</v>
      </c>
      <c r="N24" s="3">
        <f>IFERROR(df_mep[[#This Row],[ask_BA]]/df_mep[[#This Row],[bid_D_BA]],750)</f>
        <v>750</v>
      </c>
      <c r="O24" s="3">
        <f>IFERROR(df_mep[[#This Row],[bid_BA]]/df_mep[[#This Row],[ask_D_BA]],800)</f>
        <v>800</v>
      </c>
      <c r="P24" s="37">
        <f>MIN(1-df_mep[[#This Row],[MEP_compra_ARS]]/MEDIAN(N:N),100%)</f>
        <v>0</v>
      </c>
      <c r="Q24" s="38">
        <f>df_mep[[#This Row],[MEP_compra_USD]]/MEDIAN(O:O)-1</f>
        <v>0</v>
      </c>
      <c r="R24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4" s="38">
        <f>ABS(df_mep[[#This Row],[bid_BA]]-df_mep[[#This Row],[ask_BA]])/AVERAGE(df_mep[[#This Row],[bid_BA]:[ask_BA]])</f>
        <v>1.5575732249363674E-2</v>
      </c>
      <c r="T24" s="36" t="e">
        <f>ABS(df_mep[[#This Row],[bid_D_BA]]-df_mep[[#This Row],[ask_D_BA]])/AVERAGE(df_mep[[#This Row],[bid_D_BA]:[ask_D_BA]])</f>
        <v>#DIV/0!</v>
      </c>
    </row>
    <row r="25" spans="1:20" hidden="1" x14ac:dyDescent="0.25">
      <c r="A25" s="41" t="s">
        <v>302</v>
      </c>
      <c r="B25" s="41" t="s">
        <v>296</v>
      </c>
      <c r="C25" s="4">
        <v>10238</v>
      </c>
      <c r="D25" s="4">
        <v>10672</v>
      </c>
      <c r="E25" s="4">
        <v>10482.5</v>
      </c>
      <c r="I25" s="5">
        <v>127</v>
      </c>
      <c r="J25" s="5">
        <f>df_mep[[#This Row],[volume_BA]]*df_mep[[#This Row],[open_BA]]</f>
        <v>1300226</v>
      </c>
      <c r="L25" s="5">
        <f>df_mep[[#This Row],[volume_D_BA]]*df_mep[[#This Row],[open_D_BA]]</f>
        <v>0</v>
      </c>
      <c r="N25" s="3">
        <f>IFERROR(df_mep[[#This Row],[ask_BA]]/df_mep[[#This Row],[bid_D_BA]],750)</f>
        <v>750</v>
      </c>
      <c r="O25" s="3">
        <f>IFERROR(df_mep[[#This Row],[bid_BA]]/df_mep[[#This Row],[ask_D_BA]],800)</f>
        <v>800</v>
      </c>
      <c r="P25" s="37">
        <f>MIN(1-df_mep[[#This Row],[MEP_compra_ARS]]/MEDIAN(N:N),100%)</f>
        <v>0</v>
      </c>
      <c r="Q25" s="38">
        <f>df_mep[[#This Row],[MEP_compra_USD]]/MEDIAN(O:O)-1</f>
        <v>0</v>
      </c>
      <c r="R25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5" s="38">
        <f>ABS(df_mep[[#This Row],[bid_BA]]-df_mep[[#This Row],[ask_BA]])/AVERAGE(df_mep[[#This Row],[bid_BA]:[ask_BA]])</f>
        <v>1.7915809874967503E-2</v>
      </c>
      <c r="T25" s="36" t="e">
        <f>ABS(df_mep[[#This Row],[bid_D_BA]]-df_mep[[#This Row],[ask_D_BA]])/AVERAGE(df_mep[[#This Row],[bid_D_BA]:[ask_D_BA]])</f>
        <v>#DIV/0!</v>
      </c>
    </row>
    <row r="26" spans="1:20" hidden="1" x14ac:dyDescent="0.25">
      <c r="A26" s="41" t="s">
        <v>303</v>
      </c>
      <c r="B26" s="41" t="s">
        <v>296</v>
      </c>
      <c r="C26" s="4">
        <v>24500</v>
      </c>
      <c r="D26" s="4">
        <v>25293</v>
      </c>
      <c r="E26" s="4">
        <v>24601</v>
      </c>
      <c r="I26" s="5">
        <v>34</v>
      </c>
      <c r="J26" s="5">
        <f>df_mep[[#This Row],[volume_BA]]*df_mep[[#This Row],[open_BA]]</f>
        <v>833000</v>
      </c>
      <c r="L26" s="5">
        <f>df_mep[[#This Row],[volume_D_BA]]*df_mep[[#This Row],[open_D_BA]]</f>
        <v>0</v>
      </c>
      <c r="N26" s="3">
        <f>IFERROR(df_mep[[#This Row],[ask_BA]]/df_mep[[#This Row],[bid_D_BA]],750)</f>
        <v>750</v>
      </c>
      <c r="O26" s="3">
        <f>IFERROR(df_mep[[#This Row],[bid_BA]]/df_mep[[#This Row],[ask_D_BA]],800)</f>
        <v>800</v>
      </c>
      <c r="P26" s="37">
        <f>MIN(1-df_mep[[#This Row],[MEP_compra_ARS]]/MEDIAN(N:N),100%)</f>
        <v>0</v>
      </c>
      <c r="Q26" s="38">
        <f>df_mep[[#This Row],[MEP_compra_USD]]/MEDIAN(O:O)-1</f>
        <v>0</v>
      </c>
      <c r="R26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6" s="38">
        <f>ABS(df_mep[[#This Row],[bid_BA]]-df_mep[[#This Row],[ask_BA]])/AVERAGE(df_mep[[#This Row],[bid_BA]:[ask_BA]])</f>
        <v>2.7738806269290896E-2</v>
      </c>
      <c r="T26" s="36" t="e">
        <f>ABS(df_mep[[#This Row],[bid_D_BA]]-df_mep[[#This Row],[ask_D_BA]])/AVERAGE(df_mep[[#This Row],[bid_D_BA]:[ask_D_BA]])</f>
        <v>#DIV/0!</v>
      </c>
    </row>
    <row r="27" spans="1:20" hidden="1" x14ac:dyDescent="0.25">
      <c r="A27" s="41" t="s">
        <v>304</v>
      </c>
      <c r="B27" s="41" t="s">
        <v>296</v>
      </c>
      <c r="C27" s="4">
        <v>23000</v>
      </c>
      <c r="D27" s="4">
        <v>23757</v>
      </c>
      <c r="E27" s="4">
        <v>23697</v>
      </c>
      <c r="I27" s="5">
        <v>71</v>
      </c>
      <c r="J27" s="5">
        <f>df_mep[[#This Row],[volume_BA]]*df_mep[[#This Row],[open_BA]]</f>
        <v>1633000</v>
      </c>
      <c r="L27" s="5">
        <f>df_mep[[#This Row],[volume_D_BA]]*df_mep[[#This Row],[open_D_BA]]</f>
        <v>0</v>
      </c>
      <c r="N27" s="3">
        <f>IFERROR(df_mep[[#This Row],[ask_BA]]/df_mep[[#This Row],[bid_D_BA]],750)</f>
        <v>750</v>
      </c>
      <c r="O27" s="3">
        <f>IFERROR(df_mep[[#This Row],[bid_BA]]/df_mep[[#This Row],[ask_D_BA]],800)</f>
        <v>800</v>
      </c>
      <c r="P27" s="37">
        <f>MIN(1-df_mep[[#This Row],[MEP_compra_ARS]]/MEDIAN(N:N),100%)</f>
        <v>0</v>
      </c>
      <c r="Q27" s="38">
        <f>df_mep[[#This Row],[MEP_compra_USD]]/MEDIAN(O:O)-1</f>
        <v>0</v>
      </c>
      <c r="R27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7" s="38">
        <f>ABS(df_mep[[#This Row],[bid_BA]]-df_mep[[#This Row],[ask_BA]])/AVERAGE(df_mep[[#This Row],[bid_BA]:[ask_BA]])</f>
        <v>2.5287646984448096E-3</v>
      </c>
      <c r="T27" s="36" t="e">
        <f>ABS(df_mep[[#This Row],[bid_D_BA]]-df_mep[[#This Row],[ask_D_BA]])/AVERAGE(df_mep[[#This Row],[bid_D_BA]:[ask_D_BA]])</f>
        <v>#DIV/0!</v>
      </c>
    </row>
    <row r="28" spans="1:20" hidden="1" x14ac:dyDescent="0.25">
      <c r="A28" s="41" t="s">
        <v>306</v>
      </c>
      <c r="B28" s="41" t="s">
        <v>296</v>
      </c>
      <c r="C28" s="4">
        <v>47633</v>
      </c>
      <c r="D28" s="4">
        <v>49348.5</v>
      </c>
      <c r="E28" s="4">
        <v>49022.5</v>
      </c>
      <c r="I28" s="5">
        <v>207</v>
      </c>
      <c r="J28" s="5">
        <f>df_mep[[#This Row],[volume_BA]]*df_mep[[#This Row],[open_BA]]</f>
        <v>9860031</v>
      </c>
      <c r="L28" s="5">
        <f>df_mep[[#This Row],[volume_D_BA]]*df_mep[[#This Row],[open_D_BA]]</f>
        <v>0</v>
      </c>
      <c r="N28" s="3">
        <f>IFERROR(df_mep[[#This Row],[ask_BA]]/df_mep[[#This Row],[bid_D_BA]],750)</f>
        <v>750</v>
      </c>
      <c r="O28" s="3">
        <f>IFERROR(df_mep[[#This Row],[bid_BA]]/df_mep[[#This Row],[ask_D_BA]],800)</f>
        <v>800</v>
      </c>
      <c r="P28" s="37">
        <f>MIN(1-df_mep[[#This Row],[MEP_compra_ARS]]/MEDIAN(N:N),100%)</f>
        <v>0</v>
      </c>
      <c r="Q28" s="38">
        <f>df_mep[[#This Row],[MEP_compra_USD]]/MEDIAN(O:O)-1</f>
        <v>0</v>
      </c>
      <c r="R28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8" s="38">
        <f>ABS(df_mep[[#This Row],[bid_BA]]-df_mep[[#This Row],[ask_BA]])/AVERAGE(df_mep[[#This Row],[bid_BA]:[ask_BA]])</f>
        <v>6.6279696251944171E-3</v>
      </c>
      <c r="T28" s="36" t="e">
        <f>ABS(df_mep[[#This Row],[bid_D_BA]]-df_mep[[#This Row],[ask_D_BA]])/AVERAGE(df_mep[[#This Row],[bid_D_BA]:[ask_D_BA]])</f>
        <v>#DIV/0!</v>
      </c>
    </row>
    <row r="29" spans="1:20" hidden="1" x14ac:dyDescent="0.25">
      <c r="A29" s="41" t="s">
        <v>307</v>
      </c>
      <c r="B29" s="41" t="s">
        <v>296</v>
      </c>
      <c r="C29" s="4">
        <v>9400</v>
      </c>
      <c r="D29" s="4">
        <v>9966.5</v>
      </c>
      <c r="E29" s="4">
        <v>8305</v>
      </c>
      <c r="I29" s="5">
        <v>264</v>
      </c>
      <c r="J29" s="5">
        <f>df_mep[[#This Row],[volume_BA]]*df_mep[[#This Row],[open_BA]]</f>
        <v>2481600</v>
      </c>
      <c r="L29" s="5">
        <f>df_mep[[#This Row],[volume_D_BA]]*df_mep[[#This Row],[open_D_BA]]</f>
        <v>0</v>
      </c>
      <c r="N29" s="3">
        <f>IFERROR(df_mep[[#This Row],[ask_BA]]/df_mep[[#This Row],[bid_D_BA]],750)</f>
        <v>750</v>
      </c>
      <c r="O29" s="3">
        <f>IFERROR(df_mep[[#This Row],[bid_BA]]/df_mep[[#This Row],[ask_D_BA]],800)</f>
        <v>800</v>
      </c>
      <c r="P29" s="37">
        <f>MIN(1-df_mep[[#This Row],[MEP_compra_ARS]]/MEDIAN(N:N),100%)</f>
        <v>0</v>
      </c>
      <c r="Q29" s="38">
        <f>df_mep[[#This Row],[MEP_compra_USD]]/MEDIAN(O:O)-1</f>
        <v>0</v>
      </c>
      <c r="R29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9" s="38">
        <f>ABS(df_mep[[#This Row],[bid_BA]]-df_mep[[#This Row],[ask_BA]])/AVERAGE(df_mep[[#This Row],[bid_BA]:[ask_BA]])</f>
        <v>0.18186793640368881</v>
      </c>
      <c r="T29" s="36" t="e">
        <f>ABS(df_mep[[#This Row],[bid_D_BA]]-df_mep[[#This Row],[ask_D_BA]])/AVERAGE(df_mep[[#This Row],[bid_D_BA]:[ask_D_BA]])</f>
        <v>#DIV/0!</v>
      </c>
    </row>
    <row r="30" spans="1:20" hidden="1" x14ac:dyDescent="0.25">
      <c r="A30" s="41" t="s">
        <v>96</v>
      </c>
      <c r="B30" s="41" t="s">
        <v>296</v>
      </c>
      <c r="C30" s="4">
        <v>15500</v>
      </c>
      <c r="D30" s="4">
        <v>16001</v>
      </c>
      <c r="E30" s="4">
        <v>15925.5</v>
      </c>
      <c r="I30" s="5">
        <v>264</v>
      </c>
      <c r="J30" s="5">
        <f>df_mep[[#This Row],[volume_BA]]*df_mep[[#This Row],[open_BA]]</f>
        <v>4092000</v>
      </c>
      <c r="L30" s="5">
        <f>df_mep[[#This Row],[volume_D_BA]]*df_mep[[#This Row],[open_D_BA]]</f>
        <v>0</v>
      </c>
      <c r="N30" s="3">
        <f>IFERROR(df_mep[[#This Row],[ask_BA]]/df_mep[[#This Row],[bid_D_BA]],750)</f>
        <v>750</v>
      </c>
      <c r="O30" s="3">
        <f>IFERROR(df_mep[[#This Row],[bid_BA]]/df_mep[[#This Row],[ask_D_BA]],800)</f>
        <v>800</v>
      </c>
      <c r="P30" s="37">
        <f>MIN(1-df_mep[[#This Row],[MEP_compra_ARS]]/MEDIAN(N:N),100%)</f>
        <v>0</v>
      </c>
      <c r="Q30" s="38">
        <f>df_mep[[#This Row],[MEP_compra_USD]]/MEDIAN(O:O)-1</f>
        <v>0</v>
      </c>
      <c r="R30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30" s="38">
        <f>ABS(df_mep[[#This Row],[bid_BA]]-df_mep[[#This Row],[ask_BA]])/AVERAGE(df_mep[[#This Row],[bid_BA]:[ask_BA]])</f>
        <v>4.7296133306187647E-3</v>
      </c>
      <c r="T30" s="36" t="e">
        <f>ABS(df_mep[[#This Row],[bid_D_BA]]-df_mep[[#This Row],[ask_D_BA]])/AVERAGE(df_mep[[#This Row],[bid_D_BA]:[ask_D_BA]])</f>
        <v>#DIV/0!</v>
      </c>
    </row>
    <row r="31" spans="1:20" hidden="1" x14ac:dyDescent="0.25">
      <c r="A31" s="41" t="s">
        <v>308</v>
      </c>
      <c r="B31" s="41" t="s">
        <v>296</v>
      </c>
      <c r="C31" s="4">
        <v>9923.5</v>
      </c>
      <c r="D31" s="4">
        <v>10836</v>
      </c>
      <c r="E31" s="4">
        <v>10659.5</v>
      </c>
      <c r="I31" s="5">
        <v>0</v>
      </c>
      <c r="J31" s="5">
        <f>df_mep[[#This Row],[volume_BA]]*df_mep[[#This Row],[open_BA]]</f>
        <v>0</v>
      </c>
      <c r="L31" s="5">
        <f>df_mep[[#This Row],[volume_D_BA]]*df_mep[[#This Row],[open_D_BA]]</f>
        <v>0</v>
      </c>
      <c r="N31" s="3">
        <f>IFERROR(df_mep[[#This Row],[ask_BA]]/df_mep[[#This Row],[bid_D_BA]],750)</f>
        <v>750</v>
      </c>
      <c r="O31" s="3">
        <f>IFERROR(df_mep[[#This Row],[bid_BA]]/df_mep[[#This Row],[ask_D_BA]],800)</f>
        <v>800</v>
      </c>
      <c r="P31" s="37">
        <f>MIN(1-df_mep[[#This Row],[MEP_compra_ARS]]/MEDIAN(N:N),100%)</f>
        <v>0</v>
      </c>
      <c r="Q31" s="38">
        <f>df_mep[[#This Row],[MEP_compra_USD]]/MEDIAN(O:O)-1</f>
        <v>0</v>
      </c>
      <c r="R31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31" s="38">
        <f>ABS(df_mep[[#This Row],[bid_BA]]-df_mep[[#This Row],[ask_BA]])/AVERAGE(df_mep[[#This Row],[bid_BA]:[ask_BA]])</f>
        <v>1.6422041822707078E-2</v>
      </c>
      <c r="T31" s="36" t="e">
        <f>ABS(df_mep[[#This Row],[bid_D_BA]]-df_mep[[#This Row],[ask_D_BA]])/AVERAGE(df_mep[[#This Row],[bid_D_BA]:[ask_D_BA]])</f>
        <v>#DIV/0!</v>
      </c>
    </row>
    <row r="32" spans="1:20" hidden="1" x14ac:dyDescent="0.25">
      <c r="A32" s="41" t="s">
        <v>309</v>
      </c>
      <c r="B32" s="41" t="s">
        <v>296</v>
      </c>
      <c r="C32" s="4">
        <v>8672</v>
      </c>
      <c r="D32" s="4">
        <v>9198</v>
      </c>
      <c r="E32" s="4">
        <v>9138.5</v>
      </c>
      <c r="I32" s="5">
        <v>55</v>
      </c>
      <c r="J32" s="5">
        <f>df_mep[[#This Row],[volume_BA]]*df_mep[[#This Row],[open_BA]]</f>
        <v>476960</v>
      </c>
      <c r="L32" s="5">
        <f>df_mep[[#This Row],[volume_D_BA]]*df_mep[[#This Row],[open_D_BA]]</f>
        <v>0</v>
      </c>
      <c r="N32" s="3">
        <f>IFERROR(df_mep[[#This Row],[ask_BA]]/df_mep[[#This Row],[bid_D_BA]],750)</f>
        <v>750</v>
      </c>
      <c r="O32" s="3">
        <f>IFERROR(df_mep[[#This Row],[bid_BA]]/df_mep[[#This Row],[ask_D_BA]],800)</f>
        <v>800</v>
      </c>
      <c r="P32" s="37">
        <f>MIN(1-df_mep[[#This Row],[MEP_compra_ARS]]/MEDIAN(N:N),100%)</f>
        <v>0</v>
      </c>
      <c r="Q32" s="38">
        <f>df_mep[[#This Row],[MEP_compra_USD]]/MEDIAN(O:O)-1</f>
        <v>0</v>
      </c>
      <c r="R32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32" s="38">
        <f>ABS(df_mep[[#This Row],[bid_BA]]-df_mep[[#This Row],[ask_BA]])/AVERAGE(df_mep[[#This Row],[bid_BA]:[ask_BA]])</f>
        <v>6.4897881275052492E-3</v>
      </c>
      <c r="T32" s="36" t="e">
        <f>ABS(df_mep[[#This Row],[bid_D_BA]]-df_mep[[#This Row],[ask_D_BA]])/AVERAGE(df_mep[[#This Row],[bid_D_BA]:[ask_D_BA]])</f>
        <v>#DIV/0!</v>
      </c>
    </row>
    <row r="33" spans="1:20" hidden="1" x14ac:dyDescent="0.25">
      <c r="A33" s="41" t="s">
        <v>403</v>
      </c>
      <c r="B33" s="41" t="s">
        <v>296</v>
      </c>
      <c r="C33" s="4">
        <v>0</v>
      </c>
      <c r="D33" s="4">
        <v>0</v>
      </c>
      <c r="E33" s="4">
        <v>3400</v>
      </c>
      <c r="I33" s="5">
        <v>0</v>
      </c>
      <c r="J33" s="5">
        <f>df_mep[[#This Row],[volume_BA]]*df_mep[[#This Row],[open_BA]]</f>
        <v>0</v>
      </c>
      <c r="L33" s="5">
        <f>df_mep[[#This Row],[volume_D_BA]]*df_mep[[#This Row],[open_D_BA]]</f>
        <v>0</v>
      </c>
      <c r="N33" s="3">
        <f>IFERROR(df_mep[[#This Row],[ask_BA]]/df_mep[[#This Row],[bid_D_BA]],750)</f>
        <v>750</v>
      </c>
      <c r="O33" s="3">
        <f>IFERROR(df_mep[[#This Row],[bid_BA]]/df_mep[[#This Row],[ask_D_BA]],800)</f>
        <v>800</v>
      </c>
      <c r="P33" s="37">
        <f>MIN(1-df_mep[[#This Row],[MEP_compra_ARS]]/MEDIAN(N:N),100%)</f>
        <v>0</v>
      </c>
      <c r="Q33" s="38">
        <f>df_mep[[#This Row],[MEP_compra_USD]]/MEDIAN(O:O)-1</f>
        <v>0</v>
      </c>
      <c r="R33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33" s="38">
        <f>ABS(df_mep[[#This Row],[bid_BA]]-df_mep[[#This Row],[ask_BA]])/AVERAGE(df_mep[[#This Row],[bid_BA]:[ask_BA]])</f>
        <v>2</v>
      </c>
      <c r="T33" s="36" t="e">
        <f>ABS(df_mep[[#This Row],[bid_D_BA]]-df_mep[[#This Row],[ask_D_BA]])/AVERAGE(df_mep[[#This Row],[bid_D_BA]:[ask_D_BA]])</f>
        <v>#DIV/0!</v>
      </c>
    </row>
    <row r="34" spans="1:20" hidden="1" x14ac:dyDescent="0.25">
      <c r="A34" s="41" t="s">
        <v>310</v>
      </c>
      <c r="B34" s="41" t="s">
        <v>296</v>
      </c>
      <c r="C34" s="4">
        <v>1300</v>
      </c>
      <c r="D34" s="4">
        <v>1293</v>
      </c>
      <c r="E34" s="4">
        <v>1274</v>
      </c>
      <c r="I34" s="5">
        <v>885</v>
      </c>
      <c r="J34" s="5">
        <f>df_mep[[#This Row],[volume_BA]]*df_mep[[#This Row],[open_BA]]</f>
        <v>1150500</v>
      </c>
      <c r="L34" s="5">
        <f>df_mep[[#This Row],[volume_D_BA]]*df_mep[[#This Row],[open_D_BA]]</f>
        <v>0</v>
      </c>
      <c r="N34" s="3">
        <f>IFERROR(df_mep[[#This Row],[ask_BA]]/df_mep[[#This Row],[bid_D_BA]],750)</f>
        <v>750</v>
      </c>
      <c r="O34" s="3">
        <f>IFERROR(df_mep[[#This Row],[bid_BA]]/df_mep[[#This Row],[ask_D_BA]],800)</f>
        <v>800</v>
      </c>
      <c r="P34" s="37">
        <f>MIN(1-df_mep[[#This Row],[MEP_compra_ARS]]/MEDIAN(N:N),100%)</f>
        <v>0</v>
      </c>
      <c r="Q34" s="38">
        <f>df_mep[[#This Row],[MEP_compra_USD]]/MEDIAN(O:O)-1</f>
        <v>0</v>
      </c>
      <c r="R34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34" s="38">
        <f>ABS(df_mep[[#This Row],[bid_BA]]-df_mep[[#This Row],[ask_BA]])/AVERAGE(df_mep[[#This Row],[bid_BA]:[ask_BA]])</f>
        <v>1.4803272302298403E-2</v>
      </c>
      <c r="T34" s="36" t="e">
        <f>ABS(df_mep[[#This Row],[bid_D_BA]]-df_mep[[#This Row],[ask_D_BA]])/AVERAGE(df_mep[[#This Row],[bid_D_BA]:[ask_D_BA]])</f>
        <v>#DIV/0!</v>
      </c>
    </row>
    <row r="35" spans="1:20" hidden="1" x14ac:dyDescent="0.25">
      <c r="A35" s="41" t="s">
        <v>311</v>
      </c>
      <c r="B35" s="41" t="s">
        <v>296</v>
      </c>
      <c r="C35" s="4">
        <v>6578.5</v>
      </c>
      <c r="D35" s="4">
        <v>6828.5</v>
      </c>
      <c r="E35" s="4">
        <v>6700.5</v>
      </c>
      <c r="I35" s="5">
        <v>137</v>
      </c>
      <c r="J35" s="5">
        <f>df_mep[[#This Row],[volume_BA]]*df_mep[[#This Row],[open_BA]]</f>
        <v>901254.5</v>
      </c>
      <c r="L35" s="5">
        <f>df_mep[[#This Row],[volume_D_BA]]*df_mep[[#This Row],[open_D_BA]]</f>
        <v>0</v>
      </c>
      <c r="N35" s="3">
        <f>IFERROR(df_mep[[#This Row],[ask_BA]]/df_mep[[#This Row],[bid_D_BA]],750)</f>
        <v>750</v>
      </c>
      <c r="O35" s="3">
        <f>IFERROR(df_mep[[#This Row],[bid_BA]]/df_mep[[#This Row],[ask_D_BA]],800)</f>
        <v>800</v>
      </c>
      <c r="P35" s="37">
        <f>MIN(1-df_mep[[#This Row],[MEP_compra_ARS]]/MEDIAN(N:N),100%)</f>
        <v>0</v>
      </c>
      <c r="Q35" s="38">
        <f>df_mep[[#This Row],[MEP_compra_USD]]/MEDIAN(O:O)-1</f>
        <v>0</v>
      </c>
      <c r="R35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35" s="38">
        <f>ABS(df_mep[[#This Row],[bid_BA]]-df_mep[[#This Row],[ask_BA]])/AVERAGE(df_mep[[#This Row],[bid_BA]:[ask_BA]])</f>
        <v>1.8922315026979081E-2</v>
      </c>
      <c r="T35" s="36" t="e">
        <f>ABS(df_mep[[#This Row],[bid_D_BA]]-df_mep[[#This Row],[ask_D_BA]])/AVERAGE(df_mep[[#This Row],[bid_D_BA]:[ask_D_BA]])</f>
        <v>#DIV/0!</v>
      </c>
    </row>
    <row r="36" spans="1:20" hidden="1" x14ac:dyDescent="0.25">
      <c r="A36" s="41" t="s">
        <v>312</v>
      </c>
      <c r="B36" s="41" t="s">
        <v>296</v>
      </c>
      <c r="C36" s="4">
        <v>23604</v>
      </c>
      <c r="D36" s="4">
        <v>25054.5</v>
      </c>
      <c r="E36" s="4">
        <v>24698</v>
      </c>
      <c r="I36" s="5">
        <v>282</v>
      </c>
      <c r="J36" s="5">
        <f>df_mep[[#This Row],[volume_BA]]*df_mep[[#This Row],[open_BA]]</f>
        <v>6656328</v>
      </c>
      <c r="L36" s="5">
        <f>df_mep[[#This Row],[volume_D_BA]]*df_mep[[#This Row],[open_D_BA]]</f>
        <v>0</v>
      </c>
      <c r="N36" s="3">
        <f>IFERROR(df_mep[[#This Row],[ask_BA]]/df_mep[[#This Row],[bid_D_BA]],750)</f>
        <v>750</v>
      </c>
      <c r="O36" s="3">
        <f>IFERROR(df_mep[[#This Row],[bid_BA]]/df_mep[[#This Row],[ask_D_BA]],800)</f>
        <v>800</v>
      </c>
      <c r="P36" s="37">
        <f>MIN(1-df_mep[[#This Row],[MEP_compra_ARS]]/MEDIAN(N:N),100%)</f>
        <v>0</v>
      </c>
      <c r="Q36" s="38">
        <f>df_mep[[#This Row],[MEP_compra_USD]]/MEDIAN(O:O)-1</f>
        <v>0</v>
      </c>
      <c r="R36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36" s="38">
        <f>ABS(df_mep[[#This Row],[bid_BA]]-df_mep[[#This Row],[ask_BA]])/AVERAGE(df_mep[[#This Row],[bid_BA]:[ask_BA]])</f>
        <v>1.4330938143811868E-2</v>
      </c>
      <c r="T36" s="36" t="e">
        <f>ABS(df_mep[[#This Row],[bid_D_BA]]-df_mep[[#This Row],[ask_D_BA]])/AVERAGE(df_mep[[#This Row],[bid_D_BA]:[ask_D_BA]])</f>
        <v>#DIV/0!</v>
      </c>
    </row>
    <row r="37" spans="1:20" hidden="1" x14ac:dyDescent="0.25">
      <c r="A37" s="41" t="s">
        <v>313</v>
      </c>
      <c r="B37" s="41" t="s">
        <v>296</v>
      </c>
      <c r="C37" s="4">
        <v>16920</v>
      </c>
      <c r="D37" s="4">
        <v>17716</v>
      </c>
      <c r="E37" s="4">
        <v>17587.5</v>
      </c>
      <c r="I37" s="5">
        <v>479</v>
      </c>
      <c r="J37" s="5">
        <f>df_mep[[#This Row],[volume_BA]]*df_mep[[#This Row],[open_BA]]</f>
        <v>8104680</v>
      </c>
      <c r="L37" s="5">
        <f>df_mep[[#This Row],[volume_D_BA]]*df_mep[[#This Row],[open_D_BA]]</f>
        <v>0</v>
      </c>
      <c r="N37" s="3">
        <f>IFERROR(df_mep[[#This Row],[ask_BA]]/df_mep[[#This Row],[bid_D_BA]],750)</f>
        <v>750</v>
      </c>
      <c r="O37" s="3">
        <f>IFERROR(df_mep[[#This Row],[bid_BA]]/df_mep[[#This Row],[ask_D_BA]],800)</f>
        <v>800</v>
      </c>
      <c r="P37" s="37">
        <f>MIN(1-df_mep[[#This Row],[MEP_compra_ARS]]/MEDIAN(N:N),100%)</f>
        <v>0</v>
      </c>
      <c r="Q37" s="38">
        <f>df_mep[[#This Row],[MEP_compra_USD]]/MEDIAN(O:O)-1</f>
        <v>0</v>
      </c>
      <c r="R37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37" s="38">
        <f>ABS(df_mep[[#This Row],[bid_BA]]-df_mep[[#This Row],[ask_BA]])/AVERAGE(df_mep[[#This Row],[bid_BA]:[ask_BA]])</f>
        <v>7.2797314713838575E-3</v>
      </c>
      <c r="T37" s="36" t="e">
        <f>ABS(df_mep[[#This Row],[bid_D_BA]]-df_mep[[#This Row],[ask_D_BA]])/AVERAGE(df_mep[[#This Row],[bid_D_BA]:[ask_D_BA]])</f>
        <v>#DIV/0!</v>
      </c>
    </row>
    <row r="38" spans="1:20" hidden="1" x14ac:dyDescent="0.25">
      <c r="A38" s="41" t="s">
        <v>314</v>
      </c>
      <c r="B38" s="41" t="s">
        <v>296</v>
      </c>
      <c r="C38" s="4">
        <v>18000</v>
      </c>
      <c r="D38" s="4">
        <v>18514</v>
      </c>
      <c r="E38" s="4">
        <v>18363</v>
      </c>
      <c r="I38" s="5">
        <v>56</v>
      </c>
      <c r="J38" s="5">
        <f>df_mep[[#This Row],[volume_BA]]*df_mep[[#This Row],[open_BA]]</f>
        <v>1008000</v>
      </c>
      <c r="L38" s="5">
        <f>df_mep[[#This Row],[volume_D_BA]]*df_mep[[#This Row],[open_D_BA]]</f>
        <v>0</v>
      </c>
      <c r="N38" s="3">
        <f>IFERROR(df_mep[[#This Row],[ask_BA]]/df_mep[[#This Row],[bid_D_BA]],750)</f>
        <v>750</v>
      </c>
      <c r="O38" s="3">
        <f>IFERROR(df_mep[[#This Row],[bid_BA]]/df_mep[[#This Row],[ask_D_BA]],800)</f>
        <v>800</v>
      </c>
      <c r="P38" s="37">
        <f>MIN(1-df_mep[[#This Row],[MEP_compra_ARS]]/MEDIAN(N:N),100%)</f>
        <v>0</v>
      </c>
      <c r="Q38" s="38">
        <f>df_mep[[#This Row],[MEP_compra_USD]]/MEDIAN(O:O)-1</f>
        <v>0</v>
      </c>
      <c r="R38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38" s="38">
        <f>ABS(df_mep[[#This Row],[bid_BA]]-df_mep[[#This Row],[ask_BA]])/AVERAGE(df_mep[[#This Row],[bid_BA]:[ask_BA]])</f>
        <v>8.1893863383680886E-3</v>
      </c>
      <c r="T38" s="36" t="e">
        <f>ABS(df_mep[[#This Row],[bid_D_BA]]-df_mep[[#This Row],[ask_D_BA]])/AVERAGE(df_mep[[#This Row],[bid_D_BA]:[ask_D_BA]])</f>
        <v>#DIV/0!</v>
      </c>
    </row>
    <row r="39" spans="1:20" hidden="1" x14ac:dyDescent="0.25">
      <c r="A39" s="41" t="s">
        <v>316</v>
      </c>
      <c r="B39" s="41" t="s">
        <v>296</v>
      </c>
      <c r="C39" s="4">
        <v>18371</v>
      </c>
      <c r="D39" s="4">
        <v>18950</v>
      </c>
      <c r="E39" s="4">
        <v>18817</v>
      </c>
      <c r="I39" s="5">
        <v>626</v>
      </c>
      <c r="J39" s="5">
        <f>df_mep[[#This Row],[volume_BA]]*df_mep[[#This Row],[open_BA]]</f>
        <v>11500246</v>
      </c>
      <c r="L39" s="5">
        <f>df_mep[[#This Row],[volume_D_BA]]*df_mep[[#This Row],[open_D_BA]]</f>
        <v>0</v>
      </c>
      <c r="N39" s="3">
        <f>IFERROR(df_mep[[#This Row],[ask_BA]]/df_mep[[#This Row],[bid_D_BA]],750)</f>
        <v>750</v>
      </c>
      <c r="O39" s="3">
        <f>IFERROR(df_mep[[#This Row],[bid_BA]]/df_mep[[#This Row],[ask_D_BA]],800)</f>
        <v>800</v>
      </c>
      <c r="P39" s="37">
        <f>MIN(1-df_mep[[#This Row],[MEP_compra_ARS]]/MEDIAN(N:N),100%)</f>
        <v>0</v>
      </c>
      <c r="Q39" s="38">
        <f>df_mep[[#This Row],[MEP_compra_USD]]/MEDIAN(O:O)-1</f>
        <v>0</v>
      </c>
      <c r="R39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39" s="38">
        <f>ABS(df_mep[[#This Row],[bid_BA]]-df_mep[[#This Row],[ask_BA]])/AVERAGE(df_mep[[#This Row],[bid_BA]:[ask_BA]])</f>
        <v>7.0431858500807579E-3</v>
      </c>
      <c r="T39" s="36" t="e">
        <f>ABS(df_mep[[#This Row],[bid_D_BA]]-df_mep[[#This Row],[ask_D_BA]])/AVERAGE(df_mep[[#This Row],[bid_D_BA]:[ask_D_BA]])</f>
        <v>#DIV/0!</v>
      </c>
    </row>
    <row r="40" spans="1:20" hidden="1" x14ac:dyDescent="0.25">
      <c r="A40" s="41" t="s">
        <v>317</v>
      </c>
      <c r="B40" s="41" t="s">
        <v>296</v>
      </c>
      <c r="C40" s="4">
        <v>5450</v>
      </c>
      <c r="D40" s="4">
        <v>5492.5</v>
      </c>
      <c r="E40" s="4">
        <v>5453</v>
      </c>
      <c r="I40" s="5">
        <v>3186</v>
      </c>
      <c r="J40" s="5">
        <f>df_mep[[#This Row],[volume_BA]]*df_mep[[#This Row],[open_BA]]</f>
        <v>17363700</v>
      </c>
      <c r="L40" s="5">
        <f>df_mep[[#This Row],[volume_D_BA]]*df_mep[[#This Row],[open_D_BA]]</f>
        <v>0</v>
      </c>
      <c r="N40" s="3">
        <f>IFERROR(df_mep[[#This Row],[ask_BA]]/df_mep[[#This Row],[bid_D_BA]],750)</f>
        <v>750</v>
      </c>
      <c r="O40" s="3">
        <f>IFERROR(df_mep[[#This Row],[bid_BA]]/df_mep[[#This Row],[ask_D_BA]],800)</f>
        <v>800</v>
      </c>
      <c r="P40" s="37">
        <f>MIN(1-df_mep[[#This Row],[MEP_compra_ARS]]/MEDIAN(N:N),100%)</f>
        <v>0</v>
      </c>
      <c r="Q40" s="38">
        <f>df_mep[[#This Row],[MEP_compra_USD]]/MEDIAN(O:O)-1</f>
        <v>0</v>
      </c>
      <c r="R40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40" s="38">
        <f>ABS(df_mep[[#This Row],[bid_BA]]-df_mep[[#This Row],[ask_BA]])/AVERAGE(df_mep[[#This Row],[bid_BA]:[ask_BA]])</f>
        <v>7.2175780000913615E-3</v>
      </c>
      <c r="T40" s="36" t="e">
        <f>ABS(df_mep[[#This Row],[bid_D_BA]]-df_mep[[#This Row],[ask_D_BA]])/AVERAGE(df_mep[[#This Row],[bid_D_BA]:[ask_D_BA]])</f>
        <v>#DIV/0!</v>
      </c>
    </row>
    <row r="41" spans="1:20" hidden="1" x14ac:dyDescent="0.25">
      <c r="A41" s="41" t="s">
        <v>318</v>
      </c>
      <c r="B41" s="41" t="s">
        <v>296</v>
      </c>
      <c r="C41" s="4">
        <v>4311.5</v>
      </c>
      <c r="D41" s="4">
        <v>4539</v>
      </c>
      <c r="E41" s="4">
        <v>4506</v>
      </c>
      <c r="I41" s="5">
        <v>87</v>
      </c>
      <c r="J41" s="5">
        <f>df_mep[[#This Row],[volume_BA]]*df_mep[[#This Row],[open_BA]]</f>
        <v>375100.5</v>
      </c>
      <c r="L41" s="5">
        <f>df_mep[[#This Row],[volume_D_BA]]*df_mep[[#This Row],[open_D_BA]]</f>
        <v>0</v>
      </c>
      <c r="N41" s="3">
        <f>IFERROR(df_mep[[#This Row],[ask_BA]]/df_mep[[#This Row],[bid_D_BA]],750)</f>
        <v>750</v>
      </c>
      <c r="O41" s="3">
        <f>IFERROR(df_mep[[#This Row],[bid_BA]]/df_mep[[#This Row],[ask_D_BA]],800)</f>
        <v>800</v>
      </c>
      <c r="P41" s="37">
        <f>MIN(1-df_mep[[#This Row],[MEP_compra_ARS]]/MEDIAN(N:N),100%)</f>
        <v>0</v>
      </c>
      <c r="Q41" s="38">
        <f>df_mep[[#This Row],[MEP_compra_USD]]/MEDIAN(O:O)-1</f>
        <v>0</v>
      </c>
      <c r="R41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41" s="38">
        <f>ABS(df_mep[[#This Row],[bid_BA]]-df_mep[[#This Row],[ask_BA]])/AVERAGE(df_mep[[#This Row],[bid_BA]:[ask_BA]])</f>
        <v>7.2968490878938643E-3</v>
      </c>
      <c r="T41" s="36" t="e">
        <f>ABS(df_mep[[#This Row],[bid_D_BA]]-df_mep[[#This Row],[ask_D_BA]])/AVERAGE(df_mep[[#This Row],[bid_D_BA]:[ask_D_BA]])</f>
        <v>#DIV/0!</v>
      </c>
    </row>
    <row r="42" spans="1:20" hidden="1" x14ac:dyDescent="0.25">
      <c r="A42" s="41" t="s">
        <v>319</v>
      </c>
      <c r="B42" s="41" t="s">
        <v>296</v>
      </c>
      <c r="C42" s="4">
        <v>11510</v>
      </c>
      <c r="D42" s="4">
        <v>11863</v>
      </c>
      <c r="E42" s="4">
        <v>11836</v>
      </c>
      <c r="I42" s="5">
        <v>1731</v>
      </c>
      <c r="J42" s="5">
        <f>df_mep[[#This Row],[volume_BA]]*df_mep[[#This Row],[open_BA]]</f>
        <v>19923810</v>
      </c>
      <c r="L42" s="5">
        <f>df_mep[[#This Row],[volume_D_BA]]*df_mep[[#This Row],[open_D_BA]]</f>
        <v>0</v>
      </c>
      <c r="N42" s="3">
        <f>IFERROR(df_mep[[#This Row],[ask_BA]]/df_mep[[#This Row],[bid_D_BA]],750)</f>
        <v>750</v>
      </c>
      <c r="O42" s="3">
        <f>IFERROR(df_mep[[#This Row],[bid_BA]]/df_mep[[#This Row],[ask_D_BA]],800)</f>
        <v>800</v>
      </c>
      <c r="P42" s="37">
        <f>MIN(1-df_mep[[#This Row],[MEP_compra_ARS]]/MEDIAN(N:N),100%)</f>
        <v>0</v>
      </c>
      <c r="Q42" s="38">
        <f>df_mep[[#This Row],[MEP_compra_USD]]/MEDIAN(O:O)-1</f>
        <v>0</v>
      </c>
      <c r="R42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42" s="38">
        <f>ABS(df_mep[[#This Row],[bid_BA]]-df_mep[[#This Row],[ask_BA]])/AVERAGE(df_mep[[#This Row],[bid_BA]:[ask_BA]])</f>
        <v>2.2785771551542258E-3</v>
      </c>
      <c r="T42" s="36" t="e">
        <f>ABS(df_mep[[#This Row],[bid_D_BA]]-df_mep[[#This Row],[ask_D_BA]])/AVERAGE(df_mep[[#This Row],[bid_D_BA]:[ask_D_BA]])</f>
        <v>#DIV/0!</v>
      </c>
    </row>
    <row r="43" spans="1:20" hidden="1" x14ac:dyDescent="0.25">
      <c r="A43" s="41" t="s">
        <v>320</v>
      </c>
      <c r="B43" s="41" t="s">
        <v>296</v>
      </c>
      <c r="C43" s="4">
        <v>45050</v>
      </c>
      <c r="D43" s="4">
        <v>46664.5</v>
      </c>
      <c r="E43" s="4">
        <v>46301.5</v>
      </c>
      <c r="I43" s="5">
        <v>70</v>
      </c>
      <c r="J43" s="5">
        <f>df_mep[[#This Row],[volume_BA]]*df_mep[[#This Row],[open_BA]]</f>
        <v>3153500</v>
      </c>
      <c r="L43" s="5">
        <f>df_mep[[#This Row],[volume_D_BA]]*df_mep[[#This Row],[open_D_BA]]</f>
        <v>0</v>
      </c>
      <c r="N43" s="3">
        <f>IFERROR(df_mep[[#This Row],[ask_BA]]/df_mep[[#This Row],[bid_D_BA]],750)</f>
        <v>750</v>
      </c>
      <c r="O43" s="3">
        <f>IFERROR(df_mep[[#This Row],[bid_BA]]/df_mep[[#This Row],[ask_D_BA]],800)</f>
        <v>800</v>
      </c>
      <c r="P43" s="37">
        <f>MIN(1-df_mep[[#This Row],[MEP_compra_ARS]]/MEDIAN(N:N),100%)</f>
        <v>0</v>
      </c>
      <c r="Q43" s="38">
        <f>df_mep[[#This Row],[MEP_compra_USD]]/MEDIAN(O:O)-1</f>
        <v>0</v>
      </c>
      <c r="R43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43" s="38">
        <f>ABS(df_mep[[#This Row],[bid_BA]]-df_mep[[#This Row],[ask_BA]])/AVERAGE(df_mep[[#This Row],[bid_BA]:[ask_BA]])</f>
        <v>7.8093066282296751E-3</v>
      </c>
      <c r="T43" s="36" t="e">
        <f>ABS(df_mep[[#This Row],[bid_D_BA]]-df_mep[[#This Row],[ask_D_BA]])/AVERAGE(df_mep[[#This Row],[bid_D_BA]:[ask_D_BA]])</f>
        <v>#DIV/0!</v>
      </c>
    </row>
    <row r="44" spans="1:20" hidden="1" x14ac:dyDescent="0.25">
      <c r="A44" s="41" t="s">
        <v>321</v>
      </c>
      <c r="B44" s="41" t="s">
        <v>296</v>
      </c>
      <c r="C44" s="4">
        <v>25319</v>
      </c>
      <c r="D44" s="4">
        <v>26539</v>
      </c>
      <c r="E44" s="4">
        <v>26304</v>
      </c>
      <c r="I44" s="5">
        <v>27</v>
      </c>
      <c r="J44" s="5">
        <f>df_mep[[#This Row],[volume_BA]]*df_mep[[#This Row],[open_BA]]</f>
        <v>683613</v>
      </c>
      <c r="L44" s="5">
        <f>df_mep[[#This Row],[volume_D_BA]]*df_mep[[#This Row],[open_D_BA]]</f>
        <v>0</v>
      </c>
      <c r="N44" s="3">
        <f>IFERROR(df_mep[[#This Row],[ask_BA]]/df_mep[[#This Row],[bid_D_BA]],750)</f>
        <v>750</v>
      </c>
      <c r="O44" s="3">
        <f>IFERROR(df_mep[[#This Row],[bid_BA]]/df_mep[[#This Row],[ask_D_BA]],800)</f>
        <v>800</v>
      </c>
      <c r="P44" s="37">
        <f>MIN(1-df_mep[[#This Row],[MEP_compra_ARS]]/MEDIAN(N:N),100%)</f>
        <v>0</v>
      </c>
      <c r="Q44" s="38">
        <f>df_mep[[#This Row],[MEP_compra_USD]]/MEDIAN(O:O)-1</f>
        <v>0</v>
      </c>
      <c r="R44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44" s="38">
        <f>ABS(df_mep[[#This Row],[bid_BA]]-df_mep[[#This Row],[ask_BA]])/AVERAGE(df_mep[[#This Row],[bid_BA]:[ask_BA]])</f>
        <v>8.8942717105387654E-3</v>
      </c>
      <c r="T44" s="36" t="e">
        <f>ABS(df_mep[[#This Row],[bid_D_BA]]-df_mep[[#This Row],[ask_D_BA]])/AVERAGE(df_mep[[#This Row],[bid_D_BA]:[ask_D_BA]])</f>
        <v>#DIV/0!</v>
      </c>
    </row>
    <row r="45" spans="1:20" hidden="1" x14ac:dyDescent="0.25">
      <c r="A45" s="41" t="s">
        <v>322</v>
      </c>
      <c r="B45" s="41" t="s">
        <v>296</v>
      </c>
      <c r="C45" s="4">
        <v>5658</v>
      </c>
      <c r="D45" s="4">
        <v>5890.5</v>
      </c>
      <c r="E45" s="4">
        <v>5825.5</v>
      </c>
      <c r="I45" s="5">
        <v>13</v>
      </c>
      <c r="J45" s="5">
        <f>df_mep[[#This Row],[volume_BA]]*df_mep[[#This Row],[open_BA]]</f>
        <v>73554</v>
      </c>
      <c r="L45" s="5">
        <f>df_mep[[#This Row],[volume_D_BA]]*df_mep[[#This Row],[open_D_BA]]</f>
        <v>0</v>
      </c>
      <c r="N45" s="3">
        <f>IFERROR(df_mep[[#This Row],[ask_BA]]/df_mep[[#This Row],[bid_D_BA]],750)</f>
        <v>750</v>
      </c>
      <c r="O45" s="3">
        <f>IFERROR(df_mep[[#This Row],[bid_BA]]/df_mep[[#This Row],[ask_D_BA]],800)</f>
        <v>800</v>
      </c>
      <c r="P45" s="37">
        <f>MIN(1-df_mep[[#This Row],[MEP_compra_ARS]]/MEDIAN(N:N),100%)</f>
        <v>0</v>
      </c>
      <c r="Q45" s="38">
        <f>df_mep[[#This Row],[MEP_compra_USD]]/MEDIAN(O:O)-1</f>
        <v>0</v>
      </c>
      <c r="R45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45" s="38">
        <f>ABS(df_mep[[#This Row],[bid_BA]]-df_mep[[#This Row],[ask_BA]])/AVERAGE(df_mep[[#This Row],[bid_BA]:[ask_BA]])</f>
        <v>1.1095937179924889E-2</v>
      </c>
      <c r="T45" s="36" t="e">
        <f>ABS(df_mep[[#This Row],[bid_D_BA]]-df_mep[[#This Row],[ask_D_BA]])/AVERAGE(df_mep[[#This Row],[bid_D_BA]:[ask_D_BA]])</f>
        <v>#DIV/0!</v>
      </c>
    </row>
    <row r="46" spans="1:20" hidden="1" x14ac:dyDescent="0.25">
      <c r="A46" s="41" t="s">
        <v>323</v>
      </c>
      <c r="B46" s="41" t="s">
        <v>296</v>
      </c>
      <c r="C46" s="4">
        <v>1850</v>
      </c>
      <c r="D46" s="4">
        <v>1957</v>
      </c>
      <c r="E46" s="4">
        <v>1935</v>
      </c>
      <c r="I46" s="5">
        <v>3086</v>
      </c>
      <c r="J46" s="5">
        <f>df_mep[[#This Row],[volume_BA]]*df_mep[[#This Row],[open_BA]]</f>
        <v>5709100</v>
      </c>
      <c r="L46" s="5">
        <f>df_mep[[#This Row],[volume_D_BA]]*df_mep[[#This Row],[open_D_BA]]</f>
        <v>0</v>
      </c>
      <c r="N46" s="3">
        <f>IFERROR(df_mep[[#This Row],[ask_BA]]/df_mep[[#This Row],[bid_D_BA]],750)</f>
        <v>750</v>
      </c>
      <c r="O46" s="3">
        <f>IFERROR(df_mep[[#This Row],[bid_BA]]/df_mep[[#This Row],[ask_D_BA]],800)</f>
        <v>800</v>
      </c>
      <c r="P46" s="37">
        <f>MIN(1-df_mep[[#This Row],[MEP_compra_ARS]]/MEDIAN(N:N),100%)</f>
        <v>0</v>
      </c>
      <c r="Q46" s="38">
        <f>df_mep[[#This Row],[MEP_compra_USD]]/MEDIAN(O:O)-1</f>
        <v>0</v>
      </c>
      <c r="R46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46" s="38">
        <f>ABS(df_mep[[#This Row],[bid_BA]]-df_mep[[#This Row],[ask_BA]])/AVERAGE(df_mep[[#This Row],[bid_BA]:[ask_BA]])</f>
        <v>1.1305241521068859E-2</v>
      </c>
      <c r="T46" s="36" t="e">
        <f>ABS(df_mep[[#This Row],[bid_D_BA]]-df_mep[[#This Row],[ask_D_BA]])/AVERAGE(df_mep[[#This Row],[bid_D_BA]:[ask_D_BA]])</f>
        <v>#DIV/0!</v>
      </c>
    </row>
    <row r="47" spans="1:20" hidden="1" x14ac:dyDescent="0.25">
      <c r="A47" s="41" t="s">
        <v>324</v>
      </c>
      <c r="B47" s="41" t="s">
        <v>296</v>
      </c>
      <c r="C47" s="4">
        <v>20650</v>
      </c>
      <c r="D47" s="4">
        <v>21272</v>
      </c>
      <c r="E47" s="4">
        <v>21137</v>
      </c>
      <c r="I47" s="5">
        <v>223</v>
      </c>
      <c r="J47" s="5">
        <f>df_mep[[#This Row],[volume_BA]]*df_mep[[#This Row],[open_BA]]</f>
        <v>4604950</v>
      </c>
      <c r="L47" s="5">
        <f>df_mep[[#This Row],[volume_D_BA]]*df_mep[[#This Row],[open_D_BA]]</f>
        <v>0</v>
      </c>
      <c r="N47" s="3">
        <f>IFERROR(df_mep[[#This Row],[ask_BA]]/df_mep[[#This Row],[bid_D_BA]],750)</f>
        <v>750</v>
      </c>
      <c r="O47" s="3">
        <f>IFERROR(df_mep[[#This Row],[bid_BA]]/df_mep[[#This Row],[ask_D_BA]],800)</f>
        <v>800</v>
      </c>
      <c r="P47" s="37">
        <f>MIN(1-df_mep[[#This Row],[MEP_compra_ARS]]/MEDIAN(N:N),100%)</f>
        <v>0</v>
      </c>
      <c r="Q47" s="38">
        <f>df_mep[[#This Row],[MEP_compra_USD]]/MEDIAN(O:O)-1</f>
        <v>0</v>
      </c>
      <c r="R47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47" s="38">
        <f>ABS(df_mep[[#This Row],[bid_BA]]-df_mep[[#This Row],[ask_BA]])/AVERAGE(df_mep[[#This Row],[bid_BA]:[ask_BA]])</f>
        <v>6.3665731330613783E-3</v>
      </c>
      <c r="T47" s="36" t="e">
        <f>ABS(df_mep[[#This Row],[bid_D_BA]]-df_mep[[#This Row],[ask_D_BA]])/AVERAGE(df_mep[[#This Row],[bid_D_BA]:[ask_D_BA]])</f>
        <v>#DIV/0!</v>
      </c>
    </row>
    <row r="48" spans="1:20" hidden="1" x14ac:dyDescent="0.25">
      <c r="A48" s="41" t="s">
        <v>325</v>
      </c>
      <c r="B48" s="41" t="s">
        <v>296</v>
      </c>
      <c r="C48" s="4">
        <v>10475</v>
      </c>
      <c r="D48" s="4">
        <v>10751.5</v>
      </c>
      <c r="E48" s="4">
        <v>10700</v>
      </c>
      <c r="I48" s="5">
        <v>972</v>
      </c>
      <c r="J48" s="5">
        <f>df_mep[[#This Row],[volume_BA]]*df_mep[[#This Row],[open_BA]]</f>
        <v>10181700</v>
      </c>
      <c r="L48" s="5">
        <f>df_mep[[#This Row],[volume_D_BA]]*df_mep[[#This Row],[open_D_BA]]</f>
        <v>0</v>
      </c>
      <c r="N48" s="3">
        <f>IFERROR(df_mep[[#This Row],[ask_BA]]/df_mep[[#This Row],[bid_D_BA]],750)</f>
        <v>750</v>
      </c>
      <c r="O48" s="3">
        <f>IFERROR(df_mep[[#This Row],[bid_BA]]/df_mep[[#This Row],[ask_D_BA]],800)</f>
        <v>800</v>
      </c>
      <c r="P48" s="37">
        <f>MIN(1-df_mep[[#This Row],[MEP_compra_ARS]]/MEDIAN(N:N),100%)</f>
        <v>0</v>
      </c>
      <c r="Q48" s="38">
        <f>df_mep[[#This Row],[MEP_compra_USD]]/MEDIAN(O:O)-1</f>
        <v>0</v>
      </c>
      <c r="R48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48" s="38">
        <f>ABS(df_mep[[#This Row],[bid_BA]]-df_mep[[#This Row],[ask_BA]])/AVERAGE(df_mep[[#This Row],[bid_BA]:[ask_BA]])</f>
        <v>4.8015290306039201E-3</v>
      </c>
      <c r="T48" s="36" t="e">
        <f>ABS(df_mep[[#This Row],[bid_D_BA]]-df_mep[[#This Row],[ask_D_BA]])/AVERAGE(df_mep[[#This Row],[bid_D_BA]:[ask_D_BA]])</f>
        <v>#DIV/0!</v>
      </c>
    </row>
    <row r="49" spans="1:20" hidden="1" x14ac:dyDescent="0.25">
      <c r="A49" s="41" t="s">
        <v>108</v>
      </c>
      <c r="B49" s="41" t="s">
        <v>296</v>
      </c>
      <c r="C49" s="4">
        <v>9700</v>
      </c>
      <c r="D49" s="4">
        <v>10145</v>
      </c>
      <c r="E49" s="4">
        <v>10090.5</v>
      </c>
      <c r="I49" s="5">
        <v>1220</v>
      </c>
      <c r="J49" s="5">
        <f>df_mep[[#This Row],[volume_BA]]*df_mep[[#This Row],[open_BA]]</f>
        <v>11834000</v>
      </c>
      <c r="L49" s="5">
        <f>df_mep[[#This Row],[volume_D_BA]]*df_mep[[#This Row],[open_D_BA]]</f>
        <v>0</v>
      </c>
      <c r="N49" s="3">
        <f>IFERROR(df_mep[[#This Row],[ask_BA]]/df_mep[[#This Row],[bid_D_BA]],750)</f>
        <v>750</v>
      </c>
      <c r="O49" s="3">
        <f>IFERROR(df_mep[[#This Row],[bid_BA]]/df_mep[[#This Row],[ask_D_BA]],800)</f>
        <v>800</v>
      </c>
      <c r="P49" s="37">
        <f>MIN(1-df_mep[[#This Row],[MEP_compra_ARS]]/MEDIAN(N:N),100%)</f>
        <v>0</v>
      </c>
      <c r="Q49" s="38">
        <f>df_mep[[#This Row],[MEP_compra_USD]]/MEDIAN(O:O)-1</f>
        <v>0</v>
      </c>
      <c r="R49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49" s="38">
        <f>ABS(df_mep[[#This Row],[bid_BA]]-df_mep[[#This Row],[ask_BA]])/AVERAGE(df_mep[[#This Row],[bid_BA]:[ask_BA]])</f>
        <v>5.3865731017271627E-3</v>
      </c>
      <c r="T49" s="36" t="e">
        <f>ABS(df_mep[[#This Row],[bid_D_BA]]-df_mep[[#This Row],[ask_D_BA]])/AVERAGE(df_mep[[#This Row],[bid_D_BA]:[ask_D_BA]])</f>
        <v>#DIV/0!</v>
      </c>
    </row>
    <row r="50" spans="1:20" hidden="1" x14ac:dyDescent="0.25">
      <c r="A50" s="41" t="s">
        <v>326</v>
      </c>
      <c r="B50" s="41" t="s">
        <v>296</v>
      </c>
      <c r="C50" s="4">
        <v>5400</v>
      </c>
      <c r="D50" s="4">
        <v>5631</v>
      </c>
      <c r="E50" s="4">
        <v>5559.5</v>
      </c>
      <c r="I50" s="5">
        <v>108</v>
      </c>
      <c r="J50" s="5">
        <f>df_mep[[#This Row],[volume_BA]]*df_mep[[#This Row],[open_BA]]</f>
        <v>583200</v>
      </c>
      <c r="L50" s="5">
        <f>df_mep[[#This Row],[volume_D_BA]]*df_mep[[#This Row],[open_D_BA]]</f>
        <v>0</v>
      </c>
      <c r="N50" s="3">
        <f>IFERROR(df_mep[[#This Row],[ask_BA]]/df_mep[[#This Row],[bid_D_BA]],750)</f>
        <v>750</v>
      </c>
      <c r="O50" s="3">
        <f>IFERROR(df_mep[[#This Row],[bid_BA]]/df_mep[[#This Row],[ask_D_BA]],800)</f>
        <v>800</v>
      </c>
      <c r="P50" s="37">
        <f>MIN(1-df_mep[[#This Row],[MEP_compra_ARS]]/MEDIAN(N:N),100%)</f>
        <v>0</v>
      </c>
      <c r="Q50" s="38">
        <f>df_mep[[#This Row],[MEP_compra_USD]]/MEDIAN(O:O)-1</f>
        <v>0</v>
      </c>
      <c r="R50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50" s="38">
        <f>ABS(df_mep[[#This Row],[bid_BA]]-df_mep[[#This Row],[ask_BA]])/AVERAGE(df_mep[[#This Row],[bid_BA]:[ask_BA]])</f>
        <v>1.2778696215539967E-2</v>
      </c>
      <c r="T50" s="36" t="e">
        <f>ABS(df_mep[[#This Row],[bid_D_BA]]-df_mep[[#This Row],[ask_D_BA]])/AVERAGE(df_mep[[#This Row],[bid_D_BA]:[ask_D_BA]])</f>
        <v>#DIV/0!</v>
      </c>
    </row>
    <row r="51" spans="1:20" hidden="1" x14ac:dyDescent="0.25">
      <c r="A51" s="41" t="s">
        <v>327</v>
      </c>
      <c r="B51" s="41" t="s">
        <v>296</v>
      </c>
      <c r="C51" s="4">
        <v>12794.5</v>
      </c>
      <c r="D51" s="4">
        <v>13325.5</v>
      </c>
      <c r="E51" s="4">
        <v>13196</v>
      </c>
      <c r="I51" s="5">
        <v>22</v>
      </c>
      <c r="J51" s="5">
        <f>df_mep[[#This Row],[volume_BA]]*df_mep[[#This Row],[open_BA]]</f>
        <v>281479</v>
      </c>
      <c r="L51" s="5">
        <f>df_mep[[#This Row],[volume_D_BA]]*df_mep[[#This Row],[open_D_BA]]</f>
        <v>0</v>
      </c>
      <c r="N51" s="3">
        <f>IFERROR(df_mep[[#This Row],[ask_BA]]/df_mep[[#This Row],[bid_D_BA]],750)</f>
        <v>750</v>
      </c>
      <c r="O51" s="3">
        <f>IFERROR(df_mep[[#This Row],[bid_BA]]/df_mep[[#This Row],[ask_D_BA]],800)</f>
        <v>800</v>
      </c>
      <c r="P51" s="37">
        <f>MIN(1-df_mep[[#This Row],[MEP_compra_ARS]]/MEDIAN(N:N),100%)</f>
        <v>0</v>
      </c>
      <c r="Q51" s="38">
        <f>df_mep[[#This Row],[MEP_compra_USD]]/MEDIAN(O:O)-1</f>
        <v>0</v>
      </c>
      <c r="R51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51" s="38">
        <f>ABS(df_mep[[#This Row],[bid_BA]]-df_mep[[#This Row],[ask_BA]])/AVERAGE(df_mep[[#This Row],[bid_BA]:[ask_BA]])</f>
        <v>9.7656618215410142E-3</v>
      </c>
      <c r="T51" s="36" t="e">
        <f>ABS(df_mep[[#This Row],[bid_D_BA]]-df_mep[[#This Row],[ask_D_BA]])/AVERAGE(df_mep[[#This Row],[bid_D_BA]:[ask_D_BA]])</f>
        <v>#DIV/0!</v>
      </c>
    </row>
    <row r="52" spans="1:20" hidden="1" x14ac:dyDescent="0.25">
      <c r="A52" s="41" t="s">
        <v>328</v>
      </c>
      <c r="B52" s="41" t="s">
        <v>296</v>
      </c>
      <c r="C52" s="4">
        <v>21567.5</v>
      </c>
      <c r="D52" s="4">
        <v>22550</v>
      </c>
      <c r="E52" s="4">
        <v>22319</v>
      </c>
      <c r="I52" s="5">
        <v>114</v>
      </c>
      <c r="J52" s="5">
        <f>df_mep[[#This Row],[volume_BA]]*df_mep[[#This Row],[open_BA]]</f>
        <v>2458695</v>
      </c>
      <c r="L52" s="5">
        <f>df_mep[[#This Row],[volume_D_BA]]*df_mep[[#This Row],[open_D_BA]]</f>
        <v>0</v>
      </c>
      <c r="N52" s="3">
        <f>IFERROR(df_mep[[#This Row],[ask_BA]]/df_mep[[#This Row],[bid_D_BA]],750)</f>
        <v>750</v>
      </c>
      <c r="O52" s="3">
        <f>IFERROR(df_mep[[#This Row],[bid_BA]]/df_mep[[#This Row],[ask_D_BA]],800)</f>
        <v>800</v>
      </c>
      <c r="P52" s="37">
        <f>MIN(1-df_mep[[#This Row],[MEP_compra_ARS]]/MEDIAN(N:N),100%)</f>
        <v>0</v>
      </c>
      <c r="Q52" s="38">
        <f>df_mep[[#This Row],[MEP_compra_USD]]/MEDIAN(O:O)-1</f>
        <v>0</v>
      </c>
      <c r="R52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52" s="38">
        <f>ABS(df_mep[[#This Row],[bid_BA]]-df_mep[[#This Row],[ask_BA]])/AVERAGE(df_mep[[#This Row],[bid_BA]:[ask_BA]])</f>
        <v>1.0296641333660211E-2</v>
      </c>
      <c r="T52" s="36" t="e">
        <f>ABS(df_mep[[#This Row],[bid_D_BA]]-df_mep[[#This Row],[ask_D_BA]])/AVERAGE(df_mep[[#This Row],[bid_D_BA]:[ask_D_BA]])</f>
        <v>#DIV/0!</v>
      </c>
    </row>
    <row r="53" spans="1:20" hidden="1" x14ac:dyDescent="0.25">
      <c r="A53" s="41" t="s">
        <v>329</v>
      </c>
      <c r="B53" s="41" t="s">
        <v>296</v>
      </c>
      <c r="C53" s="4">
        <v>6520</v>
      </c>
      <c r="D53" s="4">
        <v>6867</v>
      </c>
      <c r="E53" s="4">
        <v>6781</v>
      </c>
      <c r="I53" s="5">
        <v>0</v>
      </c>
      <c r="J53" s="5">
        <f>df_mep[[#This Row],[volume_BA]]*df_mep[[#This Row],[open_BA]]</f>
        <v>0</v>
      </c>
      <c r="L53" s="5">
        <f>df_mep[[#This Row],[volume_D_BA]]*df_mep[[#This Row],[open_D_BA]]</f>
        <v>0</v>
      </c>
      <c r="N53" s="3">
        <f>IFERROR(df_mep[[#This Row],[ask_BA]]/df_mep[[#This Row],[bid_D_BA]],750)</f>
        <v>750</v>
      </c>
      <c r="O53" s="3">
        <f>IFERROR(df_mep[[#This Row],[bid_BA]]/df_mep[[#This Row],[ask_D_BA]],800)</f>
        <v>800</v>
      </c>
      <c r="P53" s="37">
        <f>MIN(1-df_mep[[#This Row],[MEP_compra_ARS]]/MEDIAN(N:N),100%)</f>
        <v>0</v>
      </c>
      <c r="Q53" s="38">
        <f>df_mep[[#This Row],[MEP_compra_USD]]/MEDIAN(O:O)-1</f>
        <v>0</v>
      </c>
      <c r="R53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53" s="38">
        <f>ABS(df_mep[[#This Row],[bid_BA]]-df_mep[[#This Row],[ask_BA]])/AVERAGE(df_mep[[#This Row],[bid_BA]:[ask_BA]])</f>
        <v>1.2602579132473623E-2</v>
      </c>
      <c r="T53" s="36" t="e">
        <f>ABS(df_mep[[#This Row],[bid_D_BA]]-df_mep[[#This Row],[ask_D_BA]])/AVERAGE(df_mep[[#This Row],[bid_D_BA]:[ask_D_BA]])</f>
        <v>#DIV/0!</v>
      </c>
    </row>
    <row r="54" spans="1:20" hidden="1" x14ac:dyDescent="0.25">
      <c r="A54" s="41" t="s">
        <v>330</v>
      </c>
      <c r="B54" s="41" t="s">
        <v>296</v>
      </c>
      <c r="C54" s="4">
        <v>24092.5</v>
      </c>
      <c r="D54" s="4">
        <v>25008</v>
      </c>
      <c r="E54" s="4">
        <v>24613.5</v>
      </c>
      <c r="I54" s="5">
        <v>21</v>
      </c>
      <c r="J54" s="5">
        <f>df_mep[[#This Row],[volume_BA]]*df_mep[[#This Row],[open_BA]]</f>
        <v>505942.5</v>
      </c>
      <c r="L54" s="5">
        <f>df_mep[[#This Row],[volume_D_BA]]*df_mep[[#This Row],[open_D_BA]]</f>
        <v>0</v>
      </c>
      <c r="N54" s="3">
        <f>IFERROR(df_mep[[#This Row],[ask_BA]]/df_mep[[#This Row],[bid_D_BA]],750)</f>
        <v>750</v>
      </c>
      <c r="O54" s="3">
        <f>IFERROR(df_mep[[#This Row],[bid_BA]]/df_mep[[#This Row],[ask_D_BA]],800)</f>
        <v>800</v>
      </c>
      <c r="P54" s="37">
        <f>MIN(1-df_mep[[#This Row],[MEP_compra_ARS]]/MEDIAN(N:N),100%)</f>
        <v>0</v>
      </c>
      <c r="Q54" s="38">
        <f>df_mep[[#This Row],[MEP_compra_USD]]/MEDIAN(O:O)-1</f>
        <v>0</v>
      </c>
      <c r="R54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54" s="38">
        <f>ABS(df_mep[[#This Row],[bid_BA]]-df_mep[[#This Row],[ask_BA]])/AVERAGE(df_mep[[#This Row],[bid_BA]:[ask_BA]])</f>
        <v>1.5900365768870349E-2</v>
      </c>
      <c r="T54" s="36" t="e">
        <f>ABS(df_mep[[#This Row],[bid_D_BA]]-df_mep[[#This Row],[ask_D_BA]])/AVERAGE(df_mep[[#This Row],[bid_D_BA]:[ask_D_BA]])</f>
        <v>#DIV/0!</v>
      </c>
    </row>
    <row r="55" spans="1:20" hidden="1" x14ac:dyDescent="0.25">
      <c r="A55" s="41" t="s">
        <v>331</v>
      </c>
      <c r="B55" s="41" t="s">
        <v>296</v>
      </c>
      <c r="C55" s="4">
        <v>9761</v>
      </c>
      <c r="D55" s="4">
        <v>10076.5</v>
      </c>
      <c r="E55" s="4">
        <v>10004.5</v>
      </c>
      <c r="I55" s="5">
        <v>89</v>
      </c>
      <c r="J55" s="5">
        <f>df_mep[[#This Row],[volume_BA]]*df_mep[[#This Row],[open_BA]]</f>
        <v>868729</v>
      </c>
      <c r="L55" s="5">
        <f>df_mep[[#This Row],[volume_D_BA]]*df_mep[[#This Row],[open_D_BA]]</f>
        <v>0</v>
      </c>
      <c r="N55" s="3">
        <f>IFERROR(df_mep[[#This Row],[ask_BA]]/df_mep[[#This Row],[bid_D_BA]],750)</f>
        <v>750</v>
      </c>
      <c r="O55" s="3">
        <f>IFERROR(df_mep[[#This Row],[bid_BA]]/df_mep[[#This Row],[ask_D_BA]],800)</f>
        <v>800</v>
      </c>
      <c r="P55" s="37">
        <f>MIN(1-df_mep[[#This Row],[MEP_compra_ARS]]/MEDIAN(N:N),100%)</f>
        <v>0</v>
      </c>
      <c r="Q55" s="38">
        <f>df_mep[[#This Row],[MEP_compra_USD]]/MEDIAN(O:O)-1</f>
        <v>0</v>
      </c>
      <c r="R55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55" s="38">
        <f>ABS(df_mep[[#This Row],[bid_BA]]-df_mep[[#This Row],[ask_BA]])/AVERAGE(df_mep[[#This Row],[bid_BA]:[ask_BA]])</f>
        <v>7.1709576216323892E-3</v>
      </c>
      <c r="T55" s="36" t="e">
        <f>ABS(df_mep[[#This Row],[bid_D_BA]]-df_mep[[#This Row],[ask_D_BA]])/AVERAGE(df_mep[[#This Row],[bid_D_BA]:[ask_D_BA]])</f>
        <v>#DIV/0!</v>
      </c>
    </row>
    <row r="56" spans="1:20" hidden="1" x14ac:dyDescent="0.25">
      <c r="A56" s="41" t="s">
        <v>332</v>
      </c>
      <c r="B56" s="41" t="s">
        <v>296</v>
      </c>
      <c r="C56" s="4">
        <v>2090</v>
      </c>
      <c r="D56" s="4">
        <v>2140</v>
      </c>
      <c r="E56" s="4">
        <v>2126.5</v>
      </c>
      <c r="I56" s="5">
        <v>584</v>
      </c>
      <c r="J56" s="5">
        <f>df_mep[[#This Row],[volume_BA]]*df_mep[[#This Row],[open_BA]]</f>
        <v>1220560</v>
      </c>
      <c r="L56" s="5">
        <f>df_mep[[#This Row],[volume_D_BA]]*df_mep[[#This Row],[open_D_BA]]</f>
        <v>0</v>
      </c>
      <c r="N56" s="3">
        <f>IFERROR(df_mep[[#This Row],[ask_BA]]/df_mep[[#This Row],[bid_D_BA]],750)</f>
        <v>750</v>
      </c>
      <c r="O56" s="3">
        <f>IFERROR(df_mep[[#This Row],[bid_BA]]/df_mep[[#This Row],[ask_D_BA]],800)</f>
        <v>800</v>
      </c>
      <c r="P56" s="37">
        <f>MIN(1-df_mep[[#This Row],[MEP_compra_ARS]]/MEDIAN(N:N),100%)</f>
        <v>0</v>
      </c>
      <c r="Q56" s="38">
        <f>df_mep[[#This Row],[MEP_compra_USD]]/MEDIAN(O:O)-1</f>
        <v>0</v>
      </c>
      <c r="R56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56" s="38">
        <f>ABS(df_mep[[#This Row],[bid_BA]]-df_mep[[#This Row],[ask_BA]])/AVERAGE(df_mep[[#This Row],[bid_BA]:[ask_BA]])</f>
        <v>6.328372202039142E-3</v>
      </c>
      <c r="T56" s="36" t="e">
        <f>ABS(df_mep[[#This Row],[bid_D_BA]]-df_mep[[#This Row],[ask_D_BA]])/AVERAGE(df_mep[[#This Row],[bid_D_BA]:[ask_D_BA]])</f>
        <v>#DIV/0!</v>
      </c>
    </row>
    <row r="57" spans="1:20" hidden="1" x14ac:dyDescent="0.25">
      <c r="A57" s="41" t="s">
        <v>119</v>
      </c>
      <c r="B57" s="41" t="s">
        <v>296</v>
      </c>
      <c r="C57" s="4">
        <v>10800</v>
      </c>
      <c r="D57" s="4">
        <v>10829</v>
      </c>
      <c r="E57" s="4">
        <v>10740</v>
      </c>
      <c r="I57" s="5">
        <v>375</v>
      </c>
      <c r="J57" s="5">
        <f>df_mep[[#This Row],[volume_BA]]*df_mep[[#This Row],[open_BA]]</f>
        <v>4050000</v>
      </c>
      <c r="L57" s="5">
        <f>df_mep[[#This Row],[volume_D_BA]]*df_mep[[#This Row],[open_D_BA]]</f>
        <v>0</v>
      </c>
      <c r="N57" s="3">
        <f>IFERROR(df_mep[[#This Row],[ask_BA]]/df_mep[[#This Row],[bid_D_BA]],750)</f>
        <v>750</v>
      </c>
      <c r="O57" s="3">
        <f>IFERROR(df_mep[[#This Row],[bid_BA]]/df_mep[[#This Row],[ask_D_BA]],800)</f>
        <v>800</v>
      </c>
      <c r="P57" s="37">
        <f>MIN(1-df_mep[[#This Row],[MEP_compra_ARS]]/MEDIAN(N:N),100%)</f>
        <v>0</v>
      </c>
      <c r="Q57" s="38">
        <f>df_mep[[#This Row],[MEP_compra_USD]]/MEDIAN(O:O)-1</f>
        <v>0</v>
      </c>
      <c r="R57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57" s="38">
        <f>ABS(df_mep[[#This Row],[bid_BA]]-df_mep[[#This Row],[ask_BA]])/AVERAGE(df_mep[[#This Row],[bid_BA]:[ask_BA]])</f>
        <v>8.25258472808197E-3</v>
      </c>
      <c r="T57" s="36" t="e">
        <f>ABS(df_mep[[#This Row],[bid_D_BA]]-df_mep[[#This Row],[ask_D_BA]])/AVERAGE(df_mep[[#This Row],[bid_D_BA]:[ask_D_BA]])</f>
        <v>#DIV/0!</v>
      </c>
    </row>
    <row r="58" spans="1:20" hidden="1" x14ac:dyDescent="0.25">
      <c r="A58" s="41" t="s">
        <v>334</v>
      </c>
      <c r="B58" s="41" t="s">
        <v>296</v>
      </c>
      <c r="C58" s="4">
        <v>43882</v>
      </c>
      <c r="D58" s="4">
        <v>45688</v>
      </c>
      <c r="E58" s="4">
        <v>45339.5</v>
      </c>
      <c r="I58" s="5">
        <v>53</v>
      </c>
      <c r="J58" s="5">
        <f>df_mep[[#This Row],[volume_BA]]*df_mep[[#This Row],[open_BA]]</f>
        <v>2325746</v>
      </c>
      <c r="L58" s="5">
        <f>df_mep[[#This Row],[volume_D_BA]]*df_mep[[#This Row],[open_D_BA]]</f>
        <v>0</v>
      </c>
      <c r="N58" s="3">
        <f>IFERROR(df_mep[[#This Row],[ask_BA]]/df_mep[[#This Row],[bid_D_BA]],750)</f>
        <v>750</v>
      </c>
      <c r="O58" s="3">
        <f>IFERROR(df_mep[[#This Row],[bid_BA]]/df_mep[[#This Row],[ask_D_BA]],800)</f>
        <v>800</v>
      </c>
      <c r="P58" s="37">
        <f>MIN(1-df_mep[[#This Row],[MEP_compra_ARS]]/MEDIAN(N:N),100%)</f>
        <v>0</v>
      </c>
      <c r="Q58" s="38">
        <f>df_mep[[#This Row],[MEP_compra_USD]]/MEDIAN(O:O)-1</f>
        <v>0</v>
      </c>
      <c r="R58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58" s="38">
        <f>ABS(df_mep[[#This Row],[bid_BA]]-df_mep[[#This Row],[ask_BA]])/AVERAGE(df_mep[[#This Row],[bid_BA]:[ask_BA]])</f>
        <v>7.6570267226936913E-3</v>
      </c>
      <c r="T58" s="36" t="e">
        <f>ABS(df_mep[[#This Row],[bid_D_BA]]-df_mep[[#This Row],[ask_D_BA]])/AVERAGE(df_mep[[#This Row],[bid_D_BA]:[ask_D_BA]])</f>
        <v>#DIV/0!</v>
      </c>
    </row>
    <row r="59" spans="1:20" hidden="1" x14ac:dyDescent="0.25">
      <c r="A59" s="41" t="s">
        <v>335</v>
      </c>
      <c r="B59" s="41" t="s">
        <v>296</v>
      </c>
      <c r="C59" s="4">
        <v>9556</v>
      </c>
      <c r="D59" s="4">
        <v>9680.5</v>
      </c>
      <c r="E59" s="4">
        <v>9495</v>
      </c>
      <c r="I59" s="5">
        <v>91</v>
      </c>
      <c r="J59" s="5">
        <f>df_mep[[#This Row],[volume_BA]]*df_mep[[#This Row],[open_BA]]</f>
        <v>869596</v>
      </c>
      <c r="L59" s="5">
        <f>df_mep[[#This Row],[volume_D_BA]]*df_mep[[#This Row],[open_D_BA]]</f>
        <v>0</v>
      </c>
      <c r="N59" s="3">
        <f>IFERROR(df_mep[[#This Row],[ask_BA]]/df_mep[[#This Row],[bid_D_BA]],750)</f>
        <v>750</v>
      </c>
      <c r="O59" s="3">
        <f>IFERROR(df_mep[[#This Row],[bid_BA]]/df_mep[[#This Row],[ask_D_BA]],800)</f>
        <v>800</v>
      </c>
      <c r="P59" s="37">
        <f>MIN(1-df_mep[[#This Row],[MEP_compra_ARS]]/MEDIAN(N:N),100%)</f>
        <v>0</v>
      </c>
      <c r="Q59" s="38">
        <f>df_mep[[#This Row],[MEP_compra_USD]]/MEDIAN(O:O)-1</f>
        <v>0</v>
      </c>
      <c r="R59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59" s="38">
        <f>ABS(df_mep[[#This Row],[bid_BA]]-df_mep[[#This Row],[ask_BA]])/AVERAGE(df_mep[[#This Row],[bid_BA]:[ask_BA]])</f>
        <v>1.9347605016818335E-2</v>
      </c>
      <c r="T59" s="36" t="e">
        <f>ABS(df_mep[[#This Row],[bid_D_BA]]-df_mep[[#This Row],[ask_D_BA]])/AVERAGE(df_mep[[#This Row],[bid_D_BA]:[ask_D_BA]])</f>
        <v>#DIV/0!</v>
      </c>
    </row>
    <row r="60" spans="1:20" hidden="1" x14ac:dyDescent="0.25">
      <c r="A60" s="41" t="s">
        <v>336</v>
      </c>
      <c r="B60" s="41" t="s">
        <v>296</v>
      </c>
      <c r="C60" s="4">
        <v>15684</v>
      </c>
      <c r="D60" s="4">
        <v>16177</v>
      </c>
      <c r="E60" s="4">
        <v>16001</v>
      </c>
      <c r="I60" s="5">
        <v>91</v>
      </c>
      <c r="J60" s="5">
        <f>df_mep[[#This Row],[volume_BA]]*df_mep[[#This Row],[open_BA]]</f>
        <v>1427244</v>
      </c>
      <c r="L60" s="5">
        <f>df_mep[[#This Row],[volume_D_BA]]*df_mep[[#This Row],[open_D_BA]]</f>
        <v>0</v>
      </c>
      <c r="N60" s="3">
        <f>IFERROR(df_mep[[#This Row],[ask_BA]]/df_mep[[#This Row],[bid_D_BA]],750)</f>
        <v>750</v>
      </c>
      <c r="O60" s="3">
        <f>IFERROR(df_mep[[#This Row],[bid_BA]]/df_mep[[#This Row],[ask_D_BA]],800)</f>
        <v>800</v>
      </c>
      <c r="P60" s="37">
        <f>MIN(1-df_mep[[#This Row],[MEP_compra_ARS]]/MEDIAN(N:N),100%)</f>
        <v>0</v>
      </c>
      <c r="Q60" s="38">
        <f>df_mep[[#This Row],[MEP_compra_USD]]/MEDIAN(O:O)-1</f>
        <v>0</v>
      </c>
      <c r="R60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60" s="38">
        <f>ABS(df_mep[[#This Row],[bid_BA]]-df_mep[[#This Row],[ask_BA]])/AVERAGE(df_mep[[#This Row],[bid_BA]:[ask_BA]])</f>
        <v>1.0939150972714277E-2</v>
      </c>
      <c r="T60" s="36" t="e">
        <f>ABS(df_mep[[#This Row],[bid_D_BA]]-df_mep[[#This Row],[ask_D_BA]])/AVERAGE(df_mep[[#This Row],[bid_D_BA]:[ask_D_BA]])</f>
        <v>#DIV/0!</v>
      </c>
    </row>
    <row r="61" spans="1:20" hidden="1" x14ac:dyDescent="0.25">
      <c r="A61" s="41" t="s">
        <v>337</v>
      </c>
      <c r="B61" s="41" t="s">
        <v>296</v>
      </c>
      <c r="C61" s="4">
        <v>6470</v>
      </c>
      <c r="D61" s="4">
        <v>6742.5</v>
      </c>
      <c r="E61" s="4">
        <v>6690</v>
      </c>
      <c r="I61" s="5">
        <v>5</v>
      </c>
      <c r="J61" s="5">
        <f>df_mep[[#This Row],[volume_BA]]*df_mep[[#This Row],[open_BA]]</f>
        <v>32350</v>
      </c>
      <c r="L61" s="5">
        <f>df_mep[[#This Row],[volume_D_BA]]*df_mep[[#This Row],[open_D_BA]]</f>
        <v>0</v>
      </c>
      <c r="N61" s="3">
        <f>IFERROR(df_mep[[#This Row],[ask_BA]]/df_mep[[#This Row],[bid_D_BA]],750)</f>
        <v>750</v>
      </c>
      <c r="O61" s="3">
        <f>IFERROR(df_mep[[#This Row],[bid_BA]]/df_mep[[#This Row],[ask_D_BA]],800)</f>
        <v>800</v>
      </c>
      <c r="P61" s="37">
        <f>MIN(1-df_mep[[#This Row],[MEP_compra_ARS]]/MEDIAN(N:N),100%)</f>
        <v>0</v>
      </c>
      <c r="Q61" s="38">
        <f>df_mep[[#This Row],[MEP_compra_USD]]/MEDIAN(O:O)-1</f>
        <v>0</v>
      </c>
      <c r="R61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61" s="38">
        <f>ABS(df_mep[[#This Row],[bid_BA]]-df_mep[[#This Row],[ask_BA]])/AVERAGE(df_mep[[#This Row],[bid_BA]:[ask_BA]])</f>
        <v>7.8168620882188723E-3</v>
      </c>
      <c r="T61" s="36" t="e">
        <f>ABS(df_mep[[#This Row],[bid_D_BA]]-df_mep[[#This Row],[ask_D_BA]])/AVERAGE(df_mep[[#This Row],[bid_D_BA]:[ask_D_BA]])</f>
        <v>#DIV/0!</v>
      </c>
    </row>
    <row r="62" spans="1:20" hidden="1" x14ac:dyDescent="0.25">
      <c r="A62" s="41" t="s">
        <v>338</v>
      </c>
      <c r="B62" s="41" t="s">
        <v>296</v>
      </c>
      <c r="C62" s="4">
        <v>29660</v>
      </c>
      <c r="D62" s="4">
        <v>31176</v>
      </c>
      <c r="E62" s="4">
        <v>30945</v>
      </c>
      <c r="I62" s="5">
        <v>6</v>
      </c>
      <c r="J62" s="5">
        <f>df_mep[[#This Row],[volume_BA]]*df_mep[[#This Row],[open_BA]]</f>
        <v>177960</v>
      </c>
      <c r="L62" s="5">
        <f>df_mep[[#This Row],[volume_D_BA]]*df_mep[[#This Row],[open_D_BA]]</f>
        <v>0</v>
      </c>
      <c r="N62" s="3">
        <f>IFERROR(df_mep[[#This Row],[ask_BA]]/df_mep[[#This Row],[bid_D_BA]],750)</f>
        <v>750</v>
      </c>
      <c r="O62" s="3">
        <f>IFERROR(df_mep[[#This Row],[bid_BA]]/df_mep[[#This Row],[ask_D_BA]],800)</f>
        <v>800</v>
      </c>
      <c r="P62" s="37">
        <f>MIN(1-df_mep[[#This Row],[MEP_compra_ARS]]/MEDIAN(N:N),100%)</f>
        <v>0</v>
      </c>
      <c r="Q62" s="38">
        <f>df_mep[[#This Row],[MEP_compra_USD]]/MEDIAN(O:O)-1</f>
        <v>0</v>
      </c>
      <c r="R62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62" s="38">
        <f>ABS(df_mep[[#This Row],[bid_BA]]-df_mep[[#This Row],[ask_BA]])/AVERAGE(df_mep[[#This Row],[bid_BA]:[ask_BA]])</f>
        <v>7.4370985657024194E-3</v>
      </c>
      <c r="T62" s="36" t="e">
        <f>ABS(df_mep[[#This Row],[bid_D_BA]]-df_mep[[#This Row],[ask_D_BA]])/AVERAGE(df_mep[[#This Row],[bid_D_BA]:[ask_D_BA]])</f>
        <v>#DIV/0!</v>
      </c>
    </row>
    <row r="63" spans="1:20" hidden="1" x14ac:dyDescent="0.25">
      <c r="A63" s="41" t="s">
        <v>339</v>
      </c>
      <c r="B63" s="41" t="s">
        <v>296</v>
      </c>
      <c r="C63" s="4">
        <v>7800.5</v>
      </c>
      <c r="D63" s="4">
        <v>8235</v>
      </c>
      <c r="E63" s="4">
        <v>8197</v>
      </c>
      <c r="I63" s="5">
        <v>661</v>
      </c>
      <c r="J63" s="5">
        <f>df_mep[[#This Row],[volume_BA]]*df_mep[[#This Row],[open_BA]]</f>
        <v>5156130.5</v>
      </c>
      <c r="L63" s="5">
        <f>df_mep[[#This Row],[volume_D_BA]]*df_mep[[#This Row],[open_D_BA]]</f>
        <v>0</v>
      </c>
      <c r="N63" s="3">
        <f>IFERROR(df_mep[[#This Row],[ask_BA]]/df_mep[[#This Row],[bid_D_BA]],750)</f>
        <v>750</v>
      </c>
      <c r="O63" s="3">
        <f>IFERROR(df_mep[[#This Row],[bid_BA]]/df_mep[[#This Row],[ask_D_BA]],800)</f>
        <v>800</v>
      </c>
      <c r="P63" s="37">
        <f>MIN(1-df_mep[[#This Row],[MEP_compra_ARS]]/MEDIAN(N:N),100%)</f>
        <v>0</v>
      </c>
      <c r="Q63" s="38">
        <f>df_mep[[#This Row],[MEP_compra_USD]]/MEDIAN(O:O)-1</f>
        <v>0</v>
      </c>
      <c r="R63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63" s="38">
        <f>ABS(df_mep[[#This Row],[bid_BA]]-df_mep[[#This Row],[ask_BA]])/AVERAGE(df_mep[[#This Row],[bid_BA]:[ask_BA]])</f>
        <v>4.6251217137293086E-3</v>
      </c>
      <c r="T63" s="36" t="e">
        <f>ABS(df_mep[[#This Row],[bid_D_BA]]-df_mep[[#This Row],[ask_D_BA]])/AVERAGE(df_mep[[#This Row],[bid_D_BA]:[ask_D_BA]])</f>
        <v>#DIV/0!</v>
      </c>
    </row>
    <row r="64" spans="1:20" hidden="1" x14ac:dyDescent="0.25">
      <c r="A64" s="41" t="s">
        <v>340</v>
      </c>
      <c r="B64" s="41" t="s">
        <v>296</v>
      </c>
      <c r="C64" s="4">
        <v>24052.5</v>
      </c>
      <c r="D64" s="4">
        <v>26861.5</v>
      </c>
      <c r="E64" s="4">
        <v>26686.5</v>
      </c>
      <c r="I64" s="5">
        <v>0</v>
      </c>
      <c r="J64" s="5">
        <f>df_mep[[#This Row],[volume_BA]]*df_mep[[#This Row],[open_BA]]</f>
        <v>0</v>
      </c>
      <c r="L64" s="5">
        <f>df_mep[[#This Row],[volume_D_BA]]*df_mep[[#This Row],[open_D_BA]]</f>
        <v>0</v>
      </c>
      <c r="N64" s="3">
        <f>IFERROR(df_mep[[#This Row],[ask_BA]]/df_mep[[#This Row],[bid_D_BA]],750)</f>
        <v>750</v>
      </c>
      <c r="O64" s="3">
        <f>IFERROR(df_mep[[#This Row],[bid_BA]]/df_mep[[#This Row],[ask_D_BA]],800)</f>
        <v>800</v>
      </c>
      <c r="P64" s="37">
        <f>MIN(1-df_mep[[#This Row],[MEP_compra_ARS]]/MEDIAN(N:N),100%)</f>
        <v>0</v>
      </c>
      <c r="Q64" s="38">
        <f>df_mep[[#This Row],[MEP_compra_USD]]/MEDIAN(O:O)-1</f>
        <v>0</v>
      </c>
      <c r="R64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64" s="38">
        <f>ABS(df_mep[[#This Row],[bid_BA]]-df_mep[[#This Row],[ask_BA]])/AVERAGE(df_mep[[#This Row],[bid_BA]:[ask_BA]])</f>
        <v>6.536191827892732E-3</v>
      </c>
      <c r="T64" s="36" t="e">
        <f>ABS(df_mep[[#This Row],[bid_D_BA]]-df_mep[[#This Row],[ask_D_BA]])/AVERAGE(df_mep[[#This Row],[bid_D_BA]:[ask_D_BA]])</f>
        <v>#DIV/0!</v>
      </c>
    </row>
    <row r="65" spans="1:20" hidden="1" x14ac:dyDescent="0.25">
      <c r="A65" s="41" t="s">
        <v>341</v>
      </c>
      <c r="B65" s="41" t="s">
        <v>296</v>
      </c>
      <c r="C65" s="4">
        <v>3200.5</v>
      </c>
      <c r="D65" s="4">
        <v>3282.5</v>
      </c>
      <c r="E65" s="4">
        <v>3253</v>
      </c>
      <c r="I65" s="5">
        <v>1524</v>
      </c>
      <c r="J65" s="5">
        <f>df_mep[[#This Row],[volume_BA]]*df_mep[[#This Row],[open_BA]]</f>
        <v>4877562</v>
      </c>
      <c r="L65" s="5">
        <f>df_mep[[#This Row],[volume_D_BA]]*df_mep[[#This Row],[open_D_BA]]</f>
        <v>0</v>
      </c>
      <c r="N65" s="3">
        <f>IFERROR(df_mep[[#This Row],[ask_BA]]/df_mep[[#This Row],[bid_D_BA]],750)</f>
        <v>750</v>
      </c>
      <c r="O65" s="3">
        <f>IFERROR(df_mep[[#This Row],[bid_BA]]/df_mep[[#This Row],[ask_D_BA]],800)</f>
        <v>800</v>
      </c>
      <c r="P65" s="37">
        <f>MIN(1-df_mep[[#This Row],[MEP_compra_ARS]]/MEDIAN(N:N),100%)</f>
        <v>0</v>
      </c>
      <c r="Q65" s="38">
        <f>df_mep[[#This Row],[MEP_compra_USD]]/MEDIAN(O:O)-1</f>
        <v>0</v>
      </c>
      <c r="R65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65" s="38">
        <f>ABS(df_mep[[#This Row],[bid_BA]]-df_mep[[#This Row],[ask_BA]])/AVERAGE(df_mep[[#This Row],[bid_BA]:[ask_BA]])</f>
        <v>9.0276183918598426E-3</v>
      </c>
      <c r="T65" s="36" t="e">
        <f>ABS(df_mep[[#This Row],[bid_D_BA]]-df_mep[[#This Row],[ask_D_BA]])/AVERAGE(df_mep[[#This Row],[bid_D_BA]:[ask_D_BA]])</f>
        <v>#DIV/0!</v>
      </c>
    </row>
    <row r="66" spans="1:20" hidden="1" x14ac:dyDescent="0.25">
      <c r="A66" s="41" t="s">
        <v>342</v>
      </c>
      <c r="B66" s="41" t="s">
        <v>296</v>
      </c>
      <c r="C66" s="4">
        <v>27513.5</v>
      </c>
      <c r="D66" s="4">
        <v>28641.5</v>
      </c>
      <c r="E66" s="4">
        <v>28370.5</v>
      </c>
      <c r="I66" s="5">
        <v>138</v>
      </c>
      <c r="J66" s="5">
        <f>df_mep[[#This Row],[volume_BA]]*df_mep[[#This Row],[open_BA]]</f>
        <v>3796863</v>
      </c>
      <c r="L66" s="5">
        <f>df_mep[[#This Row],[volume_D_BA]]*df_mep[[#This Row],[open_D_BA]]</f>
        <v>0</v>
      </c>
      <c r="N66" s="3">
        <f>IFERROR(df_mep[[#This Row],[ask_BA]]/df_mep[[#This Row],[bid_D_BA]],750)</f>
        <v>750</v>
      </c>
      <c r="O66" s="3">
        <f>IFERROR(df_mep[[#This Row],[bid_BA]]/df_mep[[#This Row],[ask_D_BA]],800)</f>
        <v>800</v>
      </c>
      <c r="P66" s="37">
        <f>MIN(1-df_mep[[#This Row],[MEP_compra_ARS]]/MEDIAN(N:N),100%)</f>
        <v>0</v>
      </c>
      <c r="Q66" s="38">
        <f>df_mep[[#This Row],[MEP_compra_USD]]/MEDIAN(O:O)-1</f>
        <v>0</v>
      </c>
      <c r="R66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66" s="38">
        <f>ABS(df_mep[[#This Row],[bid_BA]]-df_mep[[#This Row],[ask_BA]])/AVERAGE(df_mep[[#This Row],[bid_BA]:[ask_BA]])</f>
        <v>9.5067705044552028E-3</v>
      </c>
      <c r="T66" s="36" t="e">
        <f>ABS(df_mep[[#This Row],[bid_D_BA]]-df_mep[[#This Row],[ask_D_BA]])/AVERAGE(df_mep[[#This Row],[bid_D_BA]:[ask_D_BA]])</f>
        <v>#DIV/0!</v>
      </c>
    </row>
    <row r="67" spans="1:20" hidden="1" x14ac:dyDescent="0.25">
      <c r="A67" s="41" t="s">
        <v>343</v>
      </c>
      <c r="B67" s="41" t="s">
        <v>296</v>
      </c>
      <c r="C67" s="4">
        <v>9031</v>
      </c>
      <c r="D67" s="4">
        <v>9393.5</v>
      </c>
      <c r="E67" s="4">
        <v>9322</v>
      </c>
      <c r="I67" s="5">
        <v>131</v>
      </c>
      <c r="J67" s="5">
        <f>df_mep[[#This Row],[volume_BA]]*df_mep[[#This Row],[open_BA]]</f>
        <v>1183061</v>
      </c>
      <c r="L67" s="5">
        <f>df_mep[[#This Row],[volume_D_BA]]*df_mep[[#This Row],[open_D_BA]]</f>
        <v>0</v>
      </c>
      <c r="N67" s="3">
        <f>IFERROR(df_mep[[#This Row],[ask_BA]]/df_mep[[#This Row],[bid_D_BA]],750)</f>
        <v>750</v>
      </c>
      <c r="O67" s="3">
        <f>IFERROR(df_mep[[#This Row],[bid_BA]]/df_mep[[#This Row],[ask_D_BA]],800)</f>
        <v>800</v>
      </c>
      <c r="P67" s="37">
        <f>MIN(1-df_mep[[#This Row],[MEP_compra_ARS]]/MEDIAN(N:N),100%)</f>
        <v>0</v>
      </c>
      <c r="Q67" s="38">
        <f>df_mep[[#This Row],[MEP_compra_USD]]/MEDIAN(O:O)-1</f>
        <v>0</v>
      </c>
      <c r="R67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67" s="38">
        <f>ABS(df_mep[[#This Row],[bid_BA]]-df_mep[[#This Row],[ask_BA]])/AVERAGE(df_mep[[#This Row],[bid_BA]:[ask_BA]])</f>
        <v>7.6407256017739303E-3</v>
      </c>
      <c r="T67" s="36" t="e">
        <f>ABS(df_mep[[#This Row],[bid_D_BA]]-df_mep[[#This Row],[ask_D_BA]])/AVERAGE(df_mep[[#This Row],[bid_D_BA]:[ask_D_BA]])</f>
        <v>#DIV/0!</v>
      </c>
    </row>
    <row r="68" spans="1:20" hidden="1" x14ac:dyDescent="0.25">
      <c r="A68" s="41" t="s">
        <v>344</v>
      </c>
      <c r="B68" s="41" t="s">
        <v>296</v>
      </c>
      <c r="C68" s="4">
        <v>19951.5</v>
      </c>
      <c r="D68" s="4">
        <v>20503</v>
      </c>
      <c r="E68" s="4">
        <v>20445.5</v>
      </c>
      <c r="I68" s="5">
        <v>17</v>
      </c>
      <c r="J68" s="5">
        <f>df_mep[[#This Row],[volume_BA]]*df_mep[[#This Row],[open_BA]]</f>
        <v>339175.5</v>
      </c>
      <c r="L68" s="5">
        <f>df_mep[[#This Row],[volume_D_BA]]*df_mep[[#This Row],[open_D_BA]]</f>
        <v>0</v>
      </c>
      <c r="N68" s="3">
        <f>IFERROR(df_mep[[#This Row],[ask_BA]]/df_mep[[#This Row],[bid_D_BA]],750)</f>
        <v>750</v>
      </c>
      <c r="O68" s="3">
        <f>IFERROR(df_mep[[#This Row],[bid_BA]]/df_mep[[#This Row],[ask_D_BA]],800)</f>
        <v>800</v>
      </c>
      <c r="P68" s="37">
        <f>MIN(1-df_mep[[#This Row],[MEP_compra_ARS]]/MEDIAN(N:N),100%)</f>
        <v>0</v>
      </c>
      <c r="Q68" s="38">
        <f>df_mep[[#This Row],[MEP_compra_USD]]/MEDIAN(O:O)-1</f>
        <v>0</v>
      </c>
      <c r="R68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68" s="38">
        <f>ABS(df_mep[[#This Row],[bid_BA]]-df_mep[[#This Row],[ask_BA]])/AVERAGE(df_mep[[#This Row],[bid_BA]:[ask_BA]])</f>
        <v>2.80840568030575E-3</v>
      </c>
      <c r="T68" s="36" t="e">
        <f>ABS(df_mep[[#This Row],[bid_D_BA]]-df_mep[[#This Row],[ask_D_BA]])/AVERAGE(df_mep[[#This Row],[bid_D_BA]:[ask_D_BA]])</f>
        <v>#DIV/0!</v>
      </c>
    </row>
    <row r="69" spans="1:20" hidden="1" x14ac:dyDescent="0.25">
      <c r="A69" s="41" t="s">
        <v>345</v>
      </c>
      <c r="B69" s="41" t="s">
        <v>296</v>
      </c>
      <c r="C69" s="4">
        <v>22521</v>
      </c>
      <c r="D69" s="4">
        <v>23799.5</v>
      </c>
      <c r="E69" s="4">
        <v>22774</v>
      </c>
      <c r="I69" s="5">
        <v>204</v>
      </c>
      <c r="J69" s="5">
        <f>df_mep[[#This Row],[volume_BA]]*df_mep[[#This Row],[open_BA]]</f>
        <v>4594284</v>
      </c>
      <c r="L69" s="5">
        <f>df_mep[[#This Row],[volume_D_BA]]*df_mep[[#This Row],[open_D_BA]]</f>
        <v>0</v>
      </c>
      <c r="N69" s="3">
        <f>IFERROR(df_mep[[#This Row],[ask_BA]]/df_mep[[#This Row],[bid_D_BA]],750)</f>
        <v>750</v>
      </c>
      <c r="O69" s="3">
        <f>IFERROR(df_mep[[#This Row],[bid_BA]]/df_mep[[#This Row],[ask_D_BA]],800)</f>
        <v>800</v>
      </c>
      <c r="P69" s="37">
        <f>MIN(1-df_mep[[#This Row],[MEP_compra_ARS]]/MEDIAN(N:N),100%)</f>
        <v>0</v>
      </c>
      <c r="Q69" s="38">
        <f>df_mep[[#This Row],[MEP_compra_USD]]/MEDIAN(O:O)-1</f>
        <v>0</v>
      </c>
      <c r="R69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69" s="38">
        <f>ABS(df_mep[[#This Row],[bid_BA]]-df_mep[[#This Row],[ask_BA]])/AVERAGE(df_mep[[#This Row],[bid_BA]:[ask_BA]])</f>
        <v>4.4037918558837104E-2</v>
      </c>
      <c r="T69" s="36" t="e">
        <f>ABS(df_mep[[#This Row],[bid_D_BA]]-df_mep[[#This Row],[ask_D_BA]])/AVERAGE(df_mep[[#This Row],[bid_D_BA]:[ask_D_BA]])</f>
        <v>#DIV/0!</v>
      </c>
    </row>
    <row r="70" spans="1:20" hidden="1" x14ac:dyDescent="0.25">
      <c r="A70" s="41" t="s">
        <v>346</v>
      </c>
      <c r="B70" s="41" t="s">
        <v>296</v>
      </c>
      <c r="C70" s="4">
        <v>17062</v>
      </c>
      <c r="D70" s="4">
        <v>17838</v>
      </c>
      <c r="E70" s="4">
        <v>17600.5</v>
      </c>
      <c r="I70" s="5">
        <v>17</v>
      </c>
      <c r="J70" s="5">
        <f>df_mep[[#This Row],[volume_BA]]*df_mep[[#This Row],[open_BA]]</f>
        <v>290054</v>
      </c>
      <c r="L70" s="5">
        <f>df_mep[[#This Row],[volume_D_BA]]*df_mep[[#This Row],[open_D_BA]]</f>
        <v>0</v>
      </c>
      <c r="N70" s="3">
        <f>IFERROR(df_mep[[#This Row],[ask_BA]]/df_mep[[#This Row],[bid_D_BA]],750)</f>
        <v>750</v>
      </c>
      <c r="O70" s="3">
        <f>IFERROR(df_mep[[#This Row],[bid_BA]]/df_mep[[#This Row],[ask_D_BA]],800)</f>
        <v>800</v>
      </c>
      <c r="P70" s="37">
        <f>MIN(1-df_mep[[#This Row],[MEP_compra_ARS]]/MEDIAN(N:N),100%)</f>
        <v>0</v>
      </c>
      <c r="Q70" s="38">
        <f>df_mep[[#This Row],[MEP_compra_USD]]/MEDIAN(O:O)-1</f>
        <v>0</v>
      </c>
      <c r="R70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70" s="38">
        <f>ABS(df_mep[[#This Row],[bid_BA]]-df_mep[[#This Row],[ask_BA]])/AVERAGE(df_mep[[#This Row],[bid_BA]:[ask_BA]])</f>
        <v>1.3403501841217885E-2</v>
      </c>
      <c r="T70" s="36" t="e">
        <f>ABS(df_mep[[#This Row],[bid_D_BA]]-df_mep[[#This Row],[ask_D_BA]])/AVERAGE(df_mep[[#This Row],[bid_D_BA]:[ask_D_BA]])</f>
        <v>#DIV/0!</v>
      </c>
    </row>
    <row r="71" spans="1:20" hidden="1" x14ac:dyDescent="0.25">
      <c r="A71" s="41" t="s">
        <v>347</v>
      </c>
      <c r="B71" s="41" t="s">
        <v>296</v>
      </c>
      <c r="C71" s="4">
        <v>8192</v>
      </c>
      <c r="D71" s="4">
        <v>8455</v>
      </c>
      <c r="E71" s="4">
        <v>8418.5</v>
      </c>
      <c r="I71" s="5">
        <v>609</v>
      </c>
      <c r="J71" s="5">
        <f>df_mep[[#This Row],[volume_BA]]*df_mep[[#This Row],[open_BA]]</f>
        <v>4988928</v>
      </c>
      <c r="L71" s="5">
        <f>df_mep[[#This Row],[volume_D_BA]]*df_mep[[#This Row],[open_D_BA]]</f>
        <v>0</v>
      </c>
      <c r="N71" s="3">
        <f>IFERROR(df_mep[[#This Row],[ask_BA]]/df_mep[[#This Row],[bid_D_BA]],750)</f>
        <v>750</v>
      </c>
      <c r="O71" s="3">
        <f>IFERROR(df_mep[[#This Row],[bid_BA]]/df_mep[[#This Row],[ask_D_BA]],800)</f>
        <v>800</v>
      </c>
      <c r="P71" s="37">
        <f>MIN(1-df_mep[[#This Row],[MEP_compra_ARS]]/MEDIAN(N:N),100%)</f>
        <v>0</v>
      </c>
      <c r="Q71" s="38">
        <f>df_mep[[#This Row],[MEP_compra_USD]]/MEDIAN(O:O)-1</f>
        <v>0</v>
      </c>
      <c r="R71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71" s="38">
        <f>ABS(df_mep[[#This Row],[bid_BA]]-df_mep[[#This Row],[ask_BA]])/AVERAGE(df_mep[[#This Row],[bid_BA]:[ask_BA]])</f>
        <v>4.326310486858091E-3</v>
      </c>
      <c r="T71" s="36" t="e">
        <f>ABS(df_mep[[#This Row],[bid_D_BA]]-df_mep[[#This Row],[ask_D_BA]])/AVERAGE(df_mep[[#This Row],[bid_D_BA]:[ask_D_BA]])</f>
        <v>#DIV/0!</v>
      </c>
    </row>
    <row r="72" spans="1:20" hidden="1" x14ac:dyDescent="0.25">
      <c r="A72" s="41" t="s">
        <v>348</v>
      </c>
      <c r="B72" s="41" t="s">
        <v>296</v>
      </c>
      <c r="C72" s="4">
        <v>37464.5</v>
      </c>
      <c r="D72" s="4">
        <v>41876.5</v>
      </c>
      <c r="E72" s="4">
        <v>40885.5</v>
      </c>
      <c r="I72" s="5">
        <v>0</v>
      </c>
      <c r="J72" s="5">
        <f>df_mep[[#This Row],[volume_BA]]*df_mep[[#This Row],[open_BA]]</f>
        <v>0</v>
      </c>
      <c r="L72" s="5">
        <f>df_mep[[#This Row],[volume_D_BA]]*df_mep[[#This Row],[open_D_BA]]</f>
        <v>0</v>
      </c>
      <c r="N72" s="3">
        <f>IFERROR(df_mep[[#This Row],[ask_BA]]/df_mep[[#This Row],[bid_D_BA]],750)</f>
        <v>750</v>
      </c>
      <c r="O72" s="3">
        <f>IFERROR(df_mep[[#This Row],[bid_BA]]/df_mep[[#This Row],[ask_D_BA]],800)</f>
        <v>800</v>
      </c>
      <c r="P72" s="37">
        <f>MIN(1-df_mep[[#This Row],[MEP_compra_ARS]]/MEDIAN(N:N),100%)</f>
        <v>0</v>
      </c>
      <c r="Q72" s="38">
        <f>df_mep[[#This Row],[MEP_compra_USD]]/MEDIAN(O:O)-1</f>
        <v>0</v>
      </c>
      <c r="R72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72" s="38">
        <f>ABS(df_mep[[#This Row],[bid_BA]]-df_mep[[#This Row],[ask_BA]])/AVERAGE(df_mep[[#This Row],[bid_BA]:[ask_BA]])</f>
        <v>2.394818878229139E-2</v>
      </c>
      <c r="T72" s="36" t="e">
        <f>ABS(df_mep[[#This Row],[bid_D_BA]]-df_mep[[#This Row],[ask_D_BA]])/AVERAGE(df_mep[[#This Row],[bid_D_BA]:[ask_D_BA]])</f>
        <v>#DIV/0!</v>
      </c>
    </row>
    <row r="73" spans="1:20" hidden="1" x14ac:dyDescent="0.25">
      <c r="A73" s="41" t="s">
        <v>349</v>
      </c>
      <c r="B73" s="41" t="s">
        <v>296</v>
      </c>
      <c r="C73" s="4">
        <v>4730</v>
      </c>
      <c r="D73" s="4">
        <v>4910.5</v>
      </c>
      <c r="E73" s="4">
        <v>4868</v>
      </c>
      <c r="I73" s="5">
        <v>37</v>
      </c>
      <c r="J73" s="5">
        <f>df_mep[[#This Row],[volume_BA]]*df_mep[[#This Row],[open_BA]]</f>
        <v>175010</v>
      </c>
      <c r="L73" s="5">
        <f>df_mep[[#This Row],[volume_D_BA]]*df_mep[[#This Row],[open_D_BA]]</f>
        <v>0</v>
      </c>
      <c r="N73" s="3">
        <f>IFERROR(df_mep[[#This Row],[ask_BA]]/df_mep[[#This Row],[bid_D_BA]],750)</f>
        <v>750</v>
      </c>
      <c r="O73" s="3">
        <f>IFERROR(df_mep[[#This Row],[bid_BA]]/df_mep[[#This Row],[ask_D_BA]],800)</f>
        <v>800</v>
      </c>
      <c r="P73" s="37">
        <f>MIN(1-df_mep[[#This Row],[MEP_compra_ARS]]/MEDIAN(N:N),100%)</f>
        <v>0</v>
      </c>
      <c r="Q73" s="38">
        <f>df_mep[[#This Row],[MEP_compra_USD]]/MEDIAN(O:O)-1</f>
        <v>0</v>
      </c>
      <c r="R73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73" s="38">
        <f>ABS(df_mep[[#This Row],[bid_BA]]-df_mep[[#This Row],[ask_BA]])/AVERAGE(df_mep[[#This Row],[bid_BA]:[ask_BA]])</f>
        <v>8.6925397555862351E-3</v>
      </c>
      <c r="T73" s="36" t="e">
        <f>ABS(df_mep[[#This Row],[bid_D_BA]]-df_mep[[#This Row],[ask_D_BA]])/AVERAGE(df_mep[[#This Row],[bid_D_BA]:[ask_D_BA]])</f>
        <v>#DIV/0!</v>
      </c>
    </row>
    <row r="74" spans="1:20" hidden="1" x14ac:dyDescent="0.25">
      <c r="A74" s="41" t="s">
        <v>350</v>
      </c>
      <c r="B74" s="41" t="s">
        <v>296</v>
      </c>
      <c r="C74" s="4">
        <v>15000</v>
      </c>
      <c r="D74" s="4">
        <v>15787</v>
      </c>
      <c r="E74" s="4">
        <v>15529</v>
      </c>
      <c r="I74" s="5">
        <v>24</v>
      </c>
      <c r="J74" s="5">
        <f>df_mep[[#This Row],[volume_BA]]*df_mep[[#This Row],[open_BA]]</f>
        <v>360000</v>
      </c>
      <c r="L74" s="5">
        <f>df_mep[[#This Row],[volume_D_BA]]*df_mep[[#This Row],[open_D_BA]]</f>
        <v>0</v>
      </c>
      <c r="N74" s="3">
        <f>IFERROR(df_mep[[#This Row],[ask_BA]]/df_mep[[#This Row],[bid_D_BA]],750)</f>
        <v>750</v>
      </c>
      <c r="O74" s="3">
        <f>IFERROR(df_mep[[#This Row],[bid_BA]]/df_mep[[#This Row],[ask_D_BA]],800)</f>
        <v>800</v>
      </c>
      <c r="P74" s="37">
        <f>MIN(1-df_mep[[#This Row],[MEP_compra_ARS]]/MEDIAN(N:N),100%)</f>
        <v>0</v>
      </c>
      <c r="Q74" s="38">
        <f>df_mep[[#This Row],[MEP_compra_USD]]/MEDIAN(O:O)-1</f>
        <v>0</v>
      </c>
      <c r="R74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74" s="38">
        <f>ABS(df_mep[[#This Row],[bid_BA]]-df_mep[[#This Row],[ask_BA]])/AVERAGE(df_mep[[#This Row],[bid_BA]:[ask_BA]])</f>
        <v>1.6477200153276281E-2</v>
      </c>
      <c r="T74" s="36" t="e">
        <f>ABS(df_mep[[#This Row],[bid_D_BA]]-df_mep[[#This Row],[ask_D_BA]])/AVERAGE(df_mep[[#This Row],[bid_D_BA]:[ask_D_BA]])</f>
        <v>#DIV/0!</v>
      </c>
    </row>
    <row r="75" spans="1:20" hidden="1" x14ac:dyDescent="0.25">
      <c r="A75" s="41" t="s">
        <v>351</v>
      </c>
      <c r="B75" s="41" t="s">
        <v>296</v>
      </c>
      <c r="C75" s="4">
        <v>3706.5</v>
      </c>
      <c r="D75" s="4">
        <v>3964</v>
      </c>
      <c r="E75" s="4">
        <v>3924.5</v>
      </c>
      <c r="I75" s="5">
        <v>318</v>
      </c>
      <c r="J75" s="5">
        <f>df_mep[[#This Row],[volume_BA]]*df_mep[[#This Row],[open_BA]]</f>
        <v>1178667</v>
      </c>
      <c r="L75" s="5">
        <f>df_mep[[#This Row],[volume_D_BA]]*df_mep[[#This Row],[open_D_BA]]</f>
        <v>0</v>
      </c>
      <c r="N75" s="3">
        <f>IFERROR(df_mep[[#This Row],[ask_BA]]/df_mep[[#This Row],[bid_D_BA]],750)</f>
        <v>750</v>
      </c>
      <c r="O75" s="3">
        <f>IFERROR(df_mep[[#This Row],[bid_BA]]/df_mep[[#This Row],[ask_D_BA]],800)</f>
        <v>800</v>
      </c>
      <c r="P75" s="37">
        <f>MIN(1-df_mep[[#This Row],[MEP_compra_ARS]]/MEDIAN(N:N),100%)</f>
        <v>0</v>
      </c>
      <c r="Q75" s="38">
        <f>df_mep[[#This Row],[MEP_compra_USD]]/MEDIAN(O:O)-1</f>
        <v>0</v>
      </c>
      <c r="R75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75" s="38">
        <f>ABS(df_mep[[#This Row],[bid_BA]]-df_mep[[#This Row],[ask_BA]])/AVERAGE(df_mep[[#This Row],[bid_BA]:[ask_BA]])</f>
        <v>1.0014578183431577E-2</v>
      </c>
      <c r="T75" s="36" t="e">
        <f>ABS(df_mep[[#This Row],[bid_D_BA]]-df_mep[[#This Row],[ask_D_BA]])/AVERAGE(df_mep[[#This Row],[bid_D_BA]:[ask_D_BA]])</f>
        <v>#DIV/0!</v>
      </c>
    </row>
    <row r="76" spans="1:20" hidden="1" x14ac:dyDescent="0.25">
      <c r="A76" s="41" t="s">
        <v>352</v>
      </c>
      <c r="B76" s="41" t="s">
        <v>296</v>
      </c>
      <c r="C76" s="4">
        <v>7707</v>
      </c>
      <c r="D76" s="4">
        <v>7947.5</v>
      </c>
      <c r="E76" s="4">
        <v>7929.5</v>
      </c>
      <c r="I76" s="5">
        <v>108</v>
      </c>
      <c r="J76" s="5">
        <f>df_mep[[#This Row],[volume_BA]]*df_mep[[#This Row],[open_BA]]</f>
        <v>832356</v>
      </c>
      <c r="L76" s="5">
        <f>df_mep[[#This Row],[volume_D_BA]]*df_mep[[#This Row],[open_D_BA]]</f>
        <v>0</v>
      </c>
      <c r="N76" s="3">
        <f>IFERROR(df_mep[[#This Row],[ask_BA]]/df_mep[[#This Row],[bid_D_BA]],750)</f>
        <v>750</v>
      </c>
      <c r="O76" s="3">
        <f>IFERROR(df_mep[[#This Row],[bid_BA]]/df_mep[[#This Row],[ask_D_BA]],800)</f>
        <v>800</v>
      </c>
      <c r="P76" s="37">
        <f>MIN(1-df_mep[[#This Row],[MEP_compra_ARS]]/MEDIAN(N:N),100%)</f>
        <v>0</v>
      </c>
      <c r="Q76" s="38">
        <f>df_mep[[#This Row],[MEP_compra_USD]]/MEDIAN(O:O)-1</f>
        <v>0</v>
      </c>
      <c r="R76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76" s="38">
        <f>ABS(df_mep[[#This Row],[bid_BA]]-df_mep[[#This Row],[ask_BA]])/AVERAGE(df_mep[[#This Row],[bid_BA]:[ask_BA]])</f>
        <v>2.2674308748504126E-3</v>
      </c>
      <c r="T76" s="36" t="e">
        <f>ABS(df_mep[[#This Row],[bid_D_BA]]-df_mep[[#This Row],[ask_D_BA]])/AVERAGE(df_mep[[#This Row],[bid_D_BA]:[ask_D_BA]])</f>
        <v>#DIV/0!</v>
      </c>
    </row>
    <row r="77" spans="1:20" hidden="1" x14ac:dyDescent="0.25">
      <c r="A77" s="41" t="s">
        <v>126</v>
      </c>
      <c r="B77" s="41" t="s">
        <v>296</v>
      </c>
      <c r="C77" s="4">
        <v>12398.5</v>
      </c>
      <c r="D77" s="4">
        <v>12780.5</v>
      </c>
      <c r="E77" s="4">
        <v>12738.5</v>
      </c>
      <c r="I77" s="5">
        <v>1362</v>
      </c>
      <c r="J77" s="5">
        <f>df_mep[[#This Row],[volume_BA]]*df_mep[[#This Row],[open_BA]]</f>
        <v>16886757</v>
      </c>
      <c r="L77" s="5">
        <f>df_mep[[#This Row],[volume_D_BA]]*df_mep[[#This Row],[open_D_BA]]</f>
        <v>0</v>
      </c>
      <c r="N77" s="3">
        <f>IFERROR(df_mep[[#This Row],[ask_BA]]/df_mep[[#This Row],[bid_D_BA]],750)</f>
        <v>750</v>
      </c>
      <c r="O77" s="3">
        <f>IFERROR(df_mep[[#This Row],[bid_BA]]/df_mep[[#This Row],[ask_D_BA]],800)</f>
        <v>800</v>
      </c>
      <c r="P77" s="37">
        <f>MIN(1-df_mep[[#This Row],[MEP_compra_ARS]]/MEDIAN(N:N),100%)</f>
        <v>0</v>
      </c>
      <c r="Q77" s="38">
        <f>df_mep[[#This Row],[MEP_compra_USD]]/MEDIAN(O:O)-1</f>
        <v>0</v>
      </c>
      <c r="R77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77" s="38">
        <f>ABS(df_mep[[#This Row],[bid_BA]]-df_mep[[#This Row],[ask_BA]])/AVERAGE(df_mep[[#This Row],[bid_BA]:[ask_BA]])</f>
        <v>3.2916650338963124E-3</v>
      </c>
      <c r="T77" s="36" t="e">
        <f>ABS(df_mep[[#This Row],[bid_D_BA]]-df_mep[[#This Row],[ask_D_BA]])/AVERAGE(df_mep[[#This Row],[bid_D_BA]:[ask_D_BA]])</f>
        <v>#DIV/0!</v>
      </c>
    </row>
    <row r="78" spans="1:20" hidden="1" x14ac:dyDescent="0.25">
      <c r="A78" s="41" t="s">
        <v>353</v>
      </c>
      <c r="B78" s="41" t="s">
        <v>296</v>
      </c>
      <c r="C78" s="4">
        <v>17513</v>
      </c>
      <c r="D78" s="4">
        <v>18142</v>
      </c>
      <c r="E78" s="4">
        <v>18003.5</v>
      </c>
      <c r="I78" s="5">
        <v>45</v>
      </c>
      <c r="J78" s="5">
        <f>df_mep[[#This Row],[volume_BA]]*df_mep[[#This Row],[open_BA]]</f>
        <v>788085</v>
      </c>
      <c r="L78" s="5">
        <f>df_mep[[#This Row],[volume_D_BA]]*df_mep[[#This Row],[open_D_BA]]</f>
        <v>0</v>
      </c>
      <c r="N78" s="3">
        <f>IFERROR(df_mep[[#This Row],[ask_BA]]/df_mep[[#This Row],[bid_D_BA]],750)</f>
        <v>750</v>
      </c>
      <c r="O78" s="3">
        <f>IFERROR(df_mep[[#This Row],[bid_BA]]/df_mep[[#This Row],[ask_D_BA]],800)</f>
        <v>800</v>
      </c>
      <c r="P78" s="37">
        <f>MIN(1-df_mep[[#This Row],[MEP_compra_ARS]]/MEDIAN(N:N),100%)</f>
        <v>0</v>
      </c>
      <c r="Q78" s="38">
        <f>df_mep[[#This Row],[MEP_compra_USD]]/MEDIAN(O:O)-1</f>
        <v>0</v>
      </c>
      <c r="R78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78" s="38">
        <f>ABS(df_mep[[#This Row],[bid_BA]]-df_mep[[#This Row],[ask_BA]])/AVERAGE(df_mep[[#This Row],[bid_BA]:[ask_BA]])</f>
        <v>7.663471248149839E-3</v>
      </c>
      <c r="T78" s="36" t="e">
        <f>ABS(df_mep[[#This Row],[bid_D_BA]]-df_mep[[#This Row],[ask_D_BA]])/AVERAGE(df_mep[[#This Row],[bid_D_BA]:[ask_D_BA]])</f>
        <v>#DIV/0!</v>
      </c>
    </row>
    <row r="79" spans="1:20" hidden="1" x14ac:dyDescent="0.25">
      <c r="A79" s="41" t="s">
        <v>354</v>
      </c>
      <c r="B79" s="41" t="s">
        <v>296</v>
      </c>
      <c r="C79" s="4">
        <v>32664</v>
      </c>
      <c r="D79" s="4">
        <v>34310</v>
      </c>
      <c r="E79" s="4">
        <v>33975</v>
      </c>
      <c r="I79" s="5">
        <v>36</v>
      </c>
      <c r="J79" s="5">
        <f>df_mep[[#This Row],[volume_BA]]*df_mep[[#This Row],[open_BA]]</f>
        <v>1175904</v>
      </c>
      <c r="L79" s="5">
        <f>df_mep[[#This Row],[volume_D_BA]]*df_mep[[#This Row],[open_D_BA]]</f>
        <v>0</v>
      </c>
      <c r="N79" s="3">
        <f>IFERROR(df_mep[[#This Row],[ask_BA]]/df_mep[[#This Row],[bid_D_BA]],750)</f>
        <v>750</v>
      </c>
      <c r="O79" s="3">
        <f>IFERROR(df_mep[[#This Row],[bid_BA]]/df_mep[[#This Row],[ask_D_BA]],800)</f>
        <v>800</v>
      </c>
      <c r="P79" s="37">
        <f>MIN(1-df_mep[[#This Row],[MEP_compra_ARS]]/MEDIAN(N:N),100%)</f>
        <v>0</v>
      </c>
      <c r="Q79" s="38">
        <f>df_mep[[#This Row],[MEP_compra_USD]]/MEDIAN(O:O)-1</f>
        <v>0</v>
      </c>
      <c r="R79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79" s="38">
        <f>ABS(df_mep[[#This Row],[bid_BA]]-df_mep[[#This Row],[ask_BA]])/AVERAGE(df_mep[[#This Row],[bid_BA]:[ask_BA]])</f>
        <v>9.8118181152522521E-3</v>
      </c>
      <c r="T79" s="36" t="e">
        <f>ABS(df_mep[[#This Row],[bid_D_BA]]-df_mep[[#This Row],[ask_D_BA]])/AVERAGE(df_mep[[#This Row],[bid_D_BA]:[ask_D_BA]])</f>
        <v>#DIV/0!</v>
      </c>
    </row>
    <row r="80" spans="1:20" hidden="1" x14ac:dyDescent="0.25">
      <c r="A80" s="41" t="s">
        <v>63</v>
      </c>
      <c r="B80" s="41" t="s">
        <v>296</v>
      </c>
      <c r="C80" s="4">
        <v>58000</v>
      </c>
      <c r="D80" s="4">
        <v>60000</v>
      </c>
      <c r="E80" s="4">
        <v>59448.5</v>
      </c>
      <c r="I80" s="5">
        <v>182</v>
      </c>
      <c r="J80" s="5">
        <f>df_mep[[#This Row],[volume_BA]]*df_mep[[#This Row],[open_BA]]</f>
        <v>10556000</v>
      </c>
      <c r="L80" s="5">
        <f>df_mep[[#This Row],[volume_D_BA]]*df_mep[[#This Row],[open_D_BA]]</f>
        <v>0</v>
      </c>
      <c r="N80" s="3">
        <f>IFERROR(df_mep[[#This Row],[ask_BA]]/df_mep[[#This Row],[bid_D_BA]],750)</f>
        <v>750</v>
      </c>
      <c r="O80" s="3">
        <f>IFERROR(df_mep[[#This Row],[bid_BA]]/df_mep[[#This Row],[ask_D_BA]],800)</f>
        <v>800</v>
      </c>
      <c r="P80" s="37">
        <f>MIN(1-df_mep[[#This Row],[MEP_compra_ARS]]/MEDIAN(N:N),100%)</f>
        <v>0</v>
      </c>
      <c r="Q80" s="38">
        <f>df_mep[[#This Row],[MEP_compra_USD]]/MEDIAN(O:O)-1</f>
        <v>0</v>
      </c>
      <c r="R80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80" s="38">
        <f>ABS(df_mep[[#This Row],[bid_BA]]-df_mep[[#This Row],[ask_BA]])/AVERAGE(df_mep[[#This Row],[bid_BA]:[ask_BA]])</f>
        <v>9.2341050745718863E-3</v>
      </c>
      <c r="T80" s="36" t="e">
        <f>ABS(df_mep[[#This Row],[bid_D_BA]]-df_mep[[#This Row],[ask_D_BA]])/AVERAGE(df_mep[[#This Row],[bid_D_BA]:[ask_D_BA]])</f>
        <v>#DIV/0!</v>
      </c>
    </row>
    <row r="81" spans="1:20" hidden="1" x14ac:dyDescent="0.25">
      <c r="A81" s="41" t="s">
        <v>356</v>
      </c>
      <c r="B81" s="41" t="s">
        <v>296</v>
      </c>
      <c r="C81" s="4">
        <v>19316</v>
      </c>
      <c r="D81" s="4">
        <v>19874</v>
      </c>
      <c r="E81" s="4">
        <v>19816</v>
      </c>
      <c r="I81" s="5">
        <v>242</v>
      </c>
      <c r="J81" s="5">
        <f>df_mep[[#This Row],[volume_BA]]*df_mep[[#This Row],[open_BA]]</f>
        <v>4674472</v>
      </c>
      <c r="L81" s="5">
        <f>df_mep[[#This Row],[volume_D_BA]]*df_mep[[#This Row],[open_D_BA]]</f>
        <v>0</v>
      </c>
      <c r="N81" s="3">
        <f>IFERROR(df_mep[[#This Row],[ask_BA]]/df_mep[[#This Row],[bid_D_BA]],750)</f>
        <v>750</v>
      </c>
      <c r="O81" s="3">
        <f>IFERROR(df_mep[[#This Row],[bid_BA]]/df_mep[[#This Row],[ask_D_BA]],800)</f>
        <v>800</v>
      </c>
      <c r="P81" s="37">
        <f>MIN(1-df_mep[[#This Row],[MEP_compra_ARS]]/MEDIAN(N:N),100%)</f>
        <v>0</v>
      </c>
      <c r="Q81" s="38">
        <f>df_mep[[#This Row],[MEP_compra_USD]]/MEDIAN(O:O)-1</f>
        <v>0</v>
      </c>
      <c r="R81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81" s="38">
        <f>ABS(df_mep[[#This Row],[bid_BA]]-df_mep[[#This Row],[ask_BA]])/AVERAGE(df_mep[[#This Row],[bid_BA]:[ask_BA]])</f>
        <v>2.9226505416981609E-3</v>
      </c>
      <c r="T81" s="36" t="e">
        <f>ABS(df_mep[[#This Row],[bid_D_BA]]-df_mep[[#This Row],[ask_D_BA]])/AVERAGE(df_mep[[#This Row],[bid_D_BA]:[ask_D_BA]])</f>
        <v>#DIV/0!</v>
      </c>
    </row>
    <row r="82" spans="1:20" hidden="1" x14ac:dyDescent="0.25">
      <c r="A82" s="41" t="s">
        <v>357</v>
      </c>
      <c r="B82" s="41" t="s">
        <v>296</v>
      </c>
      <c r="C82" s="4">
        <v>877</v>
      </c>
      <c r="D82" s="4">
        <v>920</v>
      </c>
      <c r="E82" s="4">
        <v>900</v>
      </c>
      <c r="I82" s="5">
        <v>1773</v>
      </c>
      <c r="J82" s="5">
        <f>df_mep[[#This Row],[volume_BA]]*df_mep[[#This Row],[open_BA]]</f>
        <v>1554921</v>
      </c>
      <c r="L82" s="5">
        <f>df_mep[[#This Row],[volume_D_BA]]*df_mep[[#This Row],[open_D_BA]]</f>
        <v>0</v>
      </c>
      <c r="N82" s="3">
        <f>IFERROR(df_mep[[#This Row],[ask_BA]]/df_mep[[#This Row],[bid_D_BA]],750)</f>
        <v>750</v>
      </c>
      <c r="O82" s="3">
        <f>IFERROR(df_mep[[#This Row],[bid_BA]]/df_mep[[#This Row],[ask_D_BA]],800)</f>
        <v>800</v>
      </c>
      <c r="P82" s="37">
        <f>MIN(1-df_mep[[#This Row],[MEP_compra_ARS]]/MEDIAN(N:N),100%)</f>
        <v>0</v>
      </c>
      <c r="Q82" s="38">
        <f>df_mep[[#This Row],[MEP_compra_USD]]/MEDIAN(O:O)-1</f>
        <v>0</v>
      </c>
      <c r="R82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82" s="38">
        <f>ABS(df_mep[[#This Row],[bid_BA]]-df_mep[[#This Row],[ask_BA]])/AVERAGE(df_mep[[#This Row],[bid_BA]:[ask_BA]])</f>
        <v>2.197802197802198E-2</v>
      </c>
      <c r="T82" s="36" t="e">
        <f>ABS(df_mep[[#This Row],[bid_D_BA]]-df_mep[[#This Row],[ask_D_BA]])/AVERAGE(df_mep[[#This Row],[bid_D_BA]:[ask_D_BA]])</f>
        <v>#DIV/0!</v>
      </c>
    </row>
    <row r="83" spans="1:20" hidden="1" x14ac:dyDescent="0.25">
      <c r="A83" s="41" t="s">
        <v>358</v>
      </c>
      <c r="B83" s="41" t="s">
        <v>296</v>
      </c>
      <c r="C83" s="4">
        <v>16571.5</v>
      </c>
      <c r="D83" s="4">
        <v>17107</v>
      </c>
      <c r="E83" s="4">
        <v>17100</v>
      </c>
      <c r="I83" s="5">
        <v>84</v>
      </c>
      <c r="J83" s="5">
        <f>df_mep[[#This Row],[volume_BA]]*df_mep[[#This Row],[open_BA]]</f>
        <v>1392006</v>
      </c>
      <c r="L83" s="5">
        <f>df_mep[[#This Row],[volume_D_BA]]*df_mep[[#This Row],[open_D_BA]]</f>
        <v>0</v>
      </c>
      <c r="N83" s="3">
        <f>IFERROR(df_mep[[#This Row],[ask_BA]]/df_mep[[#This Row],[bid_D_BA]],750)</f>
        <v>750</v>
      </c>
      <c r="O83" s="3">
        <f>IFERROR(df_mep[[#This Row],[bid_BA]]/df_mep[[#This Row],[ask_D_BA]],800)</f>
        <v>800</v>
      </c>
      <c r="P83" s="37">
        <f>MIN(1-df_mep[[#This Row],[MEP_compra_ARS]]/MEDIAN(N:N),100%)</f>
        <v>0</v>
      </c>
      <c r="Q83" s="38">
        <f>df_mep[[#This Row],[MEP_compra_USD]]/MEDIAN(O:O)-1</f>
        <v>0</v>
      </c>
      <c r="R83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83" s="38">
        <f>ABS(df_mep[[#This Row],[bid_BA]]-df_mep[[#This Row],[ask_BA]])/AVERAGE(df_mep[[#This Row],[bid_BA]:[ask_BA]])</f>
        <v>4.0927295582775453E-4</v>
      </c>
      <c r="T83" s="36" t="e">
        <f>ABS(df_mep[[#This Row],[bid_D_BA]]-df_mep[[#This Row],[ask_D_BA]])/AVERAGE(df_mep[[#This Row],[bid_D_BA]:[ask_D_BA]])</f>
        <v>#DIV/0!</v>
      </c>
    </row>
    <row r="84" spans="1:20" hidden="1" x14ac:dyDescent="0.25">
      <c r="A84" s="41" t="s">
        <v>359</v>
      </c>
      <c r="B84" s="41" t="s">
        <v>296</v>
      </c>
      <c r="C84" s="4">
        <v>10150</v>
      </c>
      <c r="D84" s="4">
        <v>10830</v>
      </c>
      <c r="E84" s="4">
        <v>10624</v>
      </c>
      <c r="I84" s="5">
        <v>1</v>
      </c>
      <c r="J84" s="5">
        <f>df_mep[[#This Row],[volume_BA]]*df_mep[[#This Row],[open_BA]]</f>
        <v>10150</v>
      </c>
      <c r="L84" s="5">
        <f>df_mep[[#This Row],[volume_D_BA]]*df_mep[[#This Row],[open_D_BA]]</f>
        <v>0</v>
      </c>
      <c r="N84" s="3">
        <f>IFERROR(df_mep[[#This Row],[ask_BA]]/df_mep[[#This Row],[bid_D_BA]],750)</f>
        <v>750</v>
      </c>
      <c r="O84" s="3">
        <f>IFERROR(df_mep[[#This Row],[bid_BA]]/df_mep[[#This Row],[ask_D_BA]],800)</f>
        <v>800</v>
      </c>
      <c r="P84" s="37">
        <f>MIN(1-df_mep[[#This Row],[MEP_compra_ARS]]/MEDIAN(N:N),100%)</f>
        <v>0</v>
      </c>
      <c r="Q84" s="38">
        <f>df_mep[[#This Row],[MEP_compra_USD]]/MEDIAN(O:O)-1</f>
        <v>0</v>
      </c>
      <c r="R84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84" s="38">
        <f>ABS(df_mep[[#This Row],[bid_BA]]-df_mep[[#This Row],[ask_BA]])/AVERAGE(df_mep[[#This Row],[bid_BA]:[ask_BA]])</f>
        <v>1.9203878064696561E-2</v>
      </c>
      <c r="T84" s="36" t="e">
        <f>ABS(df_mep[[#This Row],[bid_D_BA]]-df_mep[[#This Row],[ask_D_BA]])/AVERAGE(df_mep[[#This Row],[bid_D_BA]:[ask_D_BA]])</f>
        <v>#DIV/0!</v>
      </c>
    </row>
    <row r="85" spans="1:20" hidden="1" x14ac:dyDescent="0.25">
      <c r="A85" s="41" t="s">
        <v>361</v>
      </c>
      <c r="B85" s="41" t="s">
        <v>296</v>
      </c>
      <c r="C85" s="4">
        <v>11690</v>
      </c>
      <c r="D85" s="4">
        <v>12432</v>
      </c>
      <c r="E85" s="4">
        <v>12286</v>
      </c>
      <c r="I85" s="5">
        <v>61</v>
      </c>
      <c r="J85" s="5">
        <f>df_mep[[#This Row],[volume_BA]]*df_mep[[#This Row],[open_BA]]</f>
        <v>713090</v>
      </c>
      <c r="L85" s="5">
        <f>df_mep[[#This Row],[volume_D_BA]]*df_mep[[#This Row],[open_D_BA]]</f>
        <v>0</v>
      </c>
      <c r="N85" s="3">
        <f>IFERROR(df_mep[[#This Row],[ask_BA]]/df_mep[[#This Row],[bid_D_BA]],750)</f>
        <v>750</v>
      </c>
      <c r="O85" s="3">
        <f>IFERROR(df_mep[[#This Row],[bid_BA]]/df_mep[[#This Row],[ask_D_BA]],800)</f>
        <v>800</v>
      </c>
      <c r="P85" s="37">
        <f>MIN(1-df_mep[[#This Row],[MEP_compra_ARS]]/MEDIAN(N:N),100%)</f>
        <v>0</v>
      </c>
      <c r="Q85" s="38">
        <f>df_mep[[#This Row],[MEP_compra_USD]]/MEDIAN(O:O)-1</f>
        <v>0</v>
      </c>
      <c r="R85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85" s="38">
        <f>ABS(df_mep[[#This Row],[bid_BA]]-df_mep[[#This Row],[ask_BA]])/AVERAGE(df_mep[[#This Row],[bid_BA]:[ask_BA]])</f>
        <v>1.1813253499474067E-2</v>
      </c>
      <c r="T85" s="36" t="e">
        <f>ABS(df_mep[[#This Row],[bid_D_BA]]-df_mep[[#This Row],[ask_D_BA]])/AVERAGE(df_mep[[#This Row],[bid_D_BA]:[ask_D_BA]])</f>
        <v>#DIV/0!</v>
      </c>
    </row>
    <row r="86" spans="1:20" hidden="1" x14ac:dyDescent="0.25">
      <c r="A86" s="41" t="s">
        <v>362</v>
      </c>
      <c r="B86" s="41" t="s">
        <v>296</v>
      </c>
      <c r="C86" s="4">
        <v>25144</v>
      </c>
      <c r="D86" s="4">
        <v>26186.5</v>
      </c>
      <c r="E86" s="4">
        <v>25967.5</v>
      </c>
      <c r="I86" s="5">
        <v>6</v>
      </c>
      <c r="J86" s="5">
        <f>df_mep[[#This Row],[volume_BA]]*df_mep[[#This Row],[open_BA]]</f>
        <v>150864</v>
      </c>
      <c r="L86" s="5">
        <f>df_mep[[#This Row],[volume_D_BA]]*df_mep[[#This Row],[open_D_BA]]</f>
        <v>0</v>
      </c>
      <c r="N86" s="3">
        <f>IFERROR(df_mep[[#This Row],[ask_BA]]/df_mep[[#This Row],[bid_D_BA]],750)</f>
        <v>750</v>
      </c>
      <c r="O86" s="3">
        <f>IFERROR(df_mep[[#This Row],[bid_BA]]/df_mep[[#This Row],[ask_D_BA]],800)</f>
        <v>800</v>
      </c>
      <c r="P86" s="37">
        <f>MIN(1-df_mep[[#This Row],[MEP_compra_ARS]]/MEDIAN(N:N),100%)</f>
        <v>0</v>
      </c>
      <c r="Q86" s="38">
        <f>df_mep[[#This Row],[MEP_compra_USD]]/MEDIAN(O:O)-1</f>
        <v>0</v>
      </c>
      <c r="R86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86" s="38">
        <f>ABS(df_mep[[#This Row],[bid_BA]]-df_mep[[#This Row],[ask_BA]])/AVERAGE(df_mep[[#This Row],[bid_BA]:[ask_BA]])</f>
        <v>8.3982053150285698E-3</v>
      </c>
      <c r="T86" s="36" t="e">
        <f>ABS(df_mep[[#This Row],[bid_D_BA]]-df_mep[[#This Row],[ask_D_BA]])/AVERAGE(df_mep[[#This Row],[bid_D_BA]:[ask_D_BA]])</f>
        <v>#DIV/0!</v>
      </c>
    </row>
    <row r="87" spans="1:20" hidden="1" x14ac:dyDescent="0.25">
      <c r="A87" s="41" t="s">
        <v>363</v>
      </c>
      <c r="B87" s="41" t="s">
        <v>296</v>
      </c>
      <c r="C87" s="4">
        <v>3200</v>
      </c>
      <c r="D87" s="4">
        <v>3289.5</v>
      </c>
      <c r="E87" s="4">
        <v>3252.5</v>
      </c>
      <c r="I87" s="5">
        <v>119</v>
      </c>
      <c r="J87" s="5">
        <f>df_mep[[#This Row],[volume_BA]]*df_mep[[#This Row],[open_BA]]</f>
        <v>380800</v>
      </c>
      <c r="L87" s="5">
        <f>df_mep[[#This Row],[volume_D_BA]]*df_mep[[#This Row],[open_D_BA]]</f>
        <v>0</v>
      </c>
      <c r="N87" s="3">
        <f>IFERROR(df_mep[[#This Row],[ask_BA]]/df_mep[[#This Row],[bid_D_BA]],750)</f>
        <v>750</v>
      </c>
      <c r="O87" s="3">
        <f>IFERROR(df_mep[[#This Row],[bid_BA]]/df_mep[[#This Row],[ask_D_BA]],800)</f>
        <v>800</v>
      </c>
      <c r="P87" s="37">
        <f>MIN(1-df_mep[[#This Row],[MEP_compra_ARS]]/MEDIAN(N:N),100%)</f>
        <v>0</v>
      </c>
      <c r="Q87" s="38">
        <f>df_mep[[#This Row],[MEP_compra_USD]]/MEDIAN(O:O)-1</f>
        <v>0</v>
      </c>
      <c r="R87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87" s="38">
        <f>ABS(df_mep[[#This Row],[bid_BA]]-df_mep[[#This Row],[ask_BA]])/AVERAGE(df_mep[[#This Row],[bid_BA]:[ask_BA]])</f>
        <v>1.1311525527361662E-2</v>
      </c>
      <c r="T87" s="36" t="e">
        <f>ABS(df_mep[[#This Row],[bid_D_BA]]-df_mep[[#This Row],[ask_D_BA]])/AVERAGE(df_mep[[#This Row],[bid_D_BA]:[ask_D_BA]])</f>
        <v>#DIV/0!</v>
      </c>
    </row>
    <row r="88" spans="1:20" hidden="1" x14ac:dyDescent="0.25">
      <c r="A88" s="41" t="s">
        <v>364</v>
      </c>
      <c r="B88" s="41" t="s">
        <v>296</v>
      </c>
      <c r="C88" s="4">
        <v>4756</v>
      </c>
      <c r="D88" s="4">
        <v>5134</v>
      </c>
      <c r="E88" s="4">
        <v>5113</v>
      </c>
      <c r="I88" s="5">
        <v>1325</v>
      </c>
      <c r="J88" s="5">
        <f>df_mep[[#This Row],[volume_BA]]*df_mep[[#This Row],[open_BA]]</f>
        <v>6301700</v>
      </c>
      <c r="L88" s="5">
        <f>df_mep[[#This Row],[volume_D_BA]]*df_mep[[#This Row],[open_D_BA]]</f>
        <v>0</v>
      </c>
      <c r="N88" s="3">
        <f>IFERROR(df_mep[[#This Row],[ask_BA]]/df_mep[[#This Row],[bid_D_BA]],750)</f>
        <v>750</v>
      </c>
      <c r="O88" s="3">
        <f>IFERROR(df_mep[[#This Row],[bid_BA]]/df_mep[[#This Row],[ask_D_BA]],800)</f>
        <v>800</v>
      </c>
      <c r="P88" s="37">
        <f>MIN(1-df_mep[[#This Row],[MEP_compra_ARS]]/MEDIAN(N:N),100%)</f>
        <v>0</v>
      </c>
      <c r="Q88" s="38">
        <f>df_mep[[#This Row],[MEP_compra_USD]]/MEDIAN(O:O)-1</f>
        <v>0</v>
      </c>
      <c r="R88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88" s="38">
        <f>ABS(df_mep[[#This Row],[bid_BA]]-df_mep[[#This Row],[ask_BA]])/AVERAGE(df_mep[[#This Row],[bid_BA]:[ask_BA]])</f>
        <v>4.0987606128623007E-3</v>
      </c>
      <c r="T88" s="36" t="e">
        <f>ABS(df_mep[[#This Row],[bid_D_BA]]-df_mep[[#This Row],[ask_D_BA]])/AVERAGE(df_mep[[#This Row],[bid_D_BA]:[ask_D_BA]])</f>
        <v>#DIV/0!</v>
      </c>
    </row>
    <row r="89" spans="1:20" hidden="1" x14ac:dyDescent="0.25">
      <c r="A89" s="41" t="s">
        <v>365</v>
      </c>
      <c r="B89" s="41" t="s">
        <v>296</v>
      </c>
      <c r="C89" s="4">
        <v>6060.5</v>
      </c>
      <c r="D89" s="4">
        <v>6366</v>
      </c>
      <c r="E89" s="4">
        <v>6297</v>
      </c>
      <c r="I89" s="5">
        <v>315</v>
      </c>
      <c r="J89" s="5">
        <f>df_mep[[#This Row],[volume_BA]]*df_mep[[#This Row],[open_BA]]</f>
        <v>1909057.5</v>
      </c>
      <c r="L89" s="5">
        <f>df_mep[[#This Row],[volume_D_BA]]*df_mep[[#This Row],[open_D_BA]]</f>
        <v>0</v>
      </c>
      <c r="N89" s="3">
        <f>IFERROR(df_mep[[#This Row],[ask_BA]]/df_mep[[#This Row],[bid_D_BA]],750)</f>
        <v>750</v>
      </c>
      <c r="O89" s="3">
        <f>IFERROR(df_mep[[#This Row],[bid_BA]]/df_mep[[#This Row],[ask_D_BA]],800)</f>
        <v>800</v>
      </c>
      <c r="P89" s="37">
        <f>MIN(1-df_mep[[#This Row],[MEP_compra_ARS]]/MEDIAN(N:N),100%)</f>
        <v>0</v>
      </c>
      <c r="Q89" s="38">
        <f>df_mep[[#This Row],[MEP_compra_USD]]/MEDIAN(O:O)-1</f>
        <v>0</v>
      </c>
      <c r="R89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89" s="38">
        <f>ABS(df_mep[[#This Row],[bid_BA]]-df_mep[[#This Row],[ask_BA]])/AVERAGE(df_mep[[#This Row],[bid_BA]:[ask_BA]])</f>
        <v>1.0897891494906419E-2</v>
      </c>
      <c r="T89" s="36" t="e">
        <f>ABS(df_mep[[#This Row],[bid_D_BA]]-df_mep[[#This Row],[ask_D_BA]])/AVERAGE(df_mep[[#This Row],[bid_D_BA]:[ask_D_BA]])</f>
        <v>#DIV/0!</v>
      </c>
    </row>
    <row r="90" spans="1:20" hidden="1" x14ac:dyDescent="0.25">
      <c r="A90" s="41" t="s">
        <v>366</v>
      </c>
      <c r="B90" s="41" t="s">
        <v>296</v>
      </c>
      <c r="C90" s="4">
        <v>8554</v>
      </c>
      <c r="D90" s="4">
        <v>8931</v>
      </c>
      <c r="E90" s="4">
        <v>8835.5</v>
      </c>
      <c r="I90" s="5">
        <v>209</v>
      </c>
      <c r="J90" s="5">
        <f>df_mep[[#This Row],[volume_BA]]*df_mep[[#This Row],[open_BA]]</f>
        <v>1787786</v>
      </c>
      <c r="L90" s="5">
        <f>df_mep[[#This Row],[volume_D_BA]]*df_mep[[#This Row],[open_D_BA]]</f>
        <v>0</v>
      </c>
      <c r="N90" s="3">
        <f>IFERROR(df_mep[[#This Row],[ask_BA]]/df_mep[[#This Row],[bid_D_BA]],750)</f>
        <v>750</v>
      </c>
      <c r="O90" s="3">
        <f>IFERROR(df_mep[[#This Row],[bid_BA]]/df_mep[[#This Row],[ask_D_BA]],800)</f>
        <v>800</v>
      </c>
      <c r="P90" s="37">
        <f>MIN(1-df_mep[[#This Row],[MEP_compra_ARS]]/MEDIAN(N:N),100%)</f>
        <v>0</v>
      </c>
      <c r="Q90" s="38">
        <f>df_mep[[#This Row],[MEP_compra_USD]]/MEDIAN(O:O)-1</f>
        <v>0</v>
      </c>
      <c r="R90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90" s="38">
        <f>ABS(df_mep[[#This Row],[bid_BA]]-df_mep[[#This Row],[ask_BA]])/AVERAGE(df_mep[[#This Row],[bid_BA]:[ask_BA]])</f>
        <v>1.075056989277573E-2</v>
      </c>
      <c r="T90" s="36" t="e">
        <f>ABS(df_mep[[#This Row],[bid_D_BA]]-df_mep[[#This Row],[ask_D_BA]])/AVERAGE(df_mep[[#This Row],[bid_D_BA]:[ask_D_BA]])</f>
        <v>#DIV/0!</v>
      </c>
    </row>
    <row r="91" spans="1:20" hidden="1" x14ac:dyDescent="0.25">
      <c r="A91" s="41" t="s">
        <v>367</v>
      </c>
      <c r="B91" s="41" t="s">
        <v>296</v>
      </c>
      <c r="C91" s="4">
        <v>9414</v>
      </c>
      <c r="D91" s="4">
        <v>10397.5</v>
      </c>
      <c r="E91" s="4">
        <v>10348</v>
      </c>
      <c r="I91" s="5">
        <v>0</v>
      </c>
      <c r="J91" s="5">
        <f>df_mep[[#This Row],[volume_BA]]*df_mep[[#This Row],[open_BA]]</f>
        <v>0</v>
      </c>
      <c r="L91" s="5">
        <f>df_mep[[#This Row],[volume_D_BA]]*df_mep[[#This Row],[open_D_BA]]</f>
        <v>0</v>
      </c>
      <c r="N91" s="3">
        <f>IFERROR(df_mep[[#This Row],[ask_BA]]/df_mep[[#This Row],[bid_D_BA]],750)</f>
        <v>750</v>
      </c>
      <c r="O91" s="3">
        <f>IFERROR(df_mep[[#This Row],[bid_BA]]/df_mep[[#This Row],[ask_D_BA]],800)</f>
        <v>800</v>
      </c>
      <c r="P91" s="37">
        <f>MIN(1-df_mep[[#This Row],[MEP_compra_ARS]]/MEDIAN(N:N),100%)</f>
        <v>0</v>
      </c>
      <c r="Q91" s="38">
        <f>df_mep[[#This Row],[MEP_compra_USD]]/MEDIAN(O:O)-1</f>
        <v>0</v>
      </c>
      <c r="R91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91" s="38">
        <f>ABS(df_mep[[#This Row],[bid_BA]]-df_mep[[#This Row],[ask_BA]])/AVERAGE(df_mep[[#This Row],[bid_BA]:[ask_BA]])</f>
        <v>4.7721192547781448E-3</v>
      </c>
      <c r="T91" s="36" t="e">
        <f>ABS(df_mep[[#This Row],[bid_D_BA]]-df_mep[[#This Row],[ask_D_BA]])/AVERAGE(df_mep[[#This Row],[bid_D_BA]:[ask_D_BA]])</f>
        <v>#DIV/0!</v>
      </c>
    </row>
    <row r="92" spans="1:20" hidden="1" x14ac:dyDescent="0.25">
      <c r="A92" s="41" t="s">
        <v>368</v>
      </c>
      <c r="B92" s="41" t="s">
        <v>296</v>
      </c>
      <c r="C92" s="4">
        <v>31000</v>
      </c>
      <c r="D92" s="4">
        <v>32076</v>
      </c>
      <c r="E92" s="4">
        <v>31822.5</v>
      </c>
      <c r="I92" s="5">
        <v>389</v>
      </c>
      <c r="J92" s="5">
        <f>df_mep[[#This Row],[volume_BA]]*df_mep[[#This Row],[open_BA]]</f>
        <v>12059000</v>
      </c>
      <c r="L92" s="5">
        <f>df_mep[[#This Row],[volume_D_BA]]*df_mep[[#This Row],[open_D_BA]]</f>
        <v>0</v>
      </c>
      <c r="N92" s="3">
        <f>IFERROR(df_mep[[#This Row],[ask_BA]]/df_mep[[#This Row],[bid_D_BA]],750)</f>
        <v>750</v>
      </c>
      <c r="O92" s="3">
        <f>IFERROR(df_mep[[#This Row],[bid_BA]]/df_mep[[#This Row],[ask_D_BA]],800)</f>
        <v>800</v>
      </c>
      <c r="P92" s="37">
        <f>MIN(1-df_mep[[#This Row],[MEP_compra_ARS]]/MEDIAN(N:N),100%)</f>
        <v>0</v>
      </c>
      <c r="Q92" s="38">
        <f>df_mep[[#This Row],[MEP_compra_USD]]/MEDIAN(O:O)-1</f>
        <v>0</v>
      </c>
      <c r="R92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92" s="38">
        <f>ABS(df_mep[[#This Row],[bid_BA]]-df_mep[[#This Row],[ask_BA]])/AVERAGE(df_mep[[#This Row],[bid_BA]:[ask_BA]])</f>
        <v>7.9344585553651498E-3</v>
      </c>
      <c r="T92" s="36" t="e">
        <f>ABS(df_mep[[#This Row],[bid_D_BA]]-df_mep[[#This Row],[ask_D_BA]])/AVERAGE(df_mep[[#This Row],[bid_D_BA]:[ask_D_BA]])</f>
        <v>#DIV/0!</v>
      </c>
    </row>
    <row r="93" spans="1:20" hidden="1" x14ac:dyDescent="0.25">
      <c r="A93" s="41" t="s">
        <v>369</v>
      </c>
      <c r="B93" s="41" t="s">
        <v>296</v>
      </c>
      <c r="C93" s="4">
        <v>3258</v>
      </c>
      <c r="D93" s="4">
        <v>3078.5</v>
      </c>
      <c r="E93" s="4">
        <v>3068</v>
      </c>
      <c r="I93" s="5">
        <v>2354</v>
      </c>
      <c r="J93" s="5">
        <f>df_mep[[#This Row],[volume_BA]]*df_mep[[#This Row],[open_BA]]</f>
        <v>7669332</v>
      </c>
      <c r="L93" s="5">
        <f>df_mep[[#This Row],[volume_D_BA]]*df_mep[[#This Row],[open_D_BA]]</f>
        <v>0</v>
      </c>
      <c r="N93" s="3">
        <f>IFERROR(df_mep[[#This Row],[ask_BA]]/df_mep[[#This Row],[bid_D_BA]],750)</f>
        <v>750</v>
      </c>
      <c r="O93" s="3">
        <f>IFERROR(df_mep[[#This Row],[bid_BA]]/df_mep[[#This Row],[ask_D_BA]],800)</f>
        <v>800</v>
      </c>
      <c r="P93" s="37">
        <f>MIN(1-df_mep[[#This Row],[MEP_compra_ARS]]/MEDIAN(N:N),100%)</f>
        <v>0</v>
      </c>
      <c r="Q93" s="38">
        <f>df_mep[[#This Row],[MEP_compra_USD]]/MEDIAN(O:O)-1</f>
        <v>0</v>
      </c>
      <c r="R93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93" s="38">
        <f>ABS(df_mep[[#This Row],[bid_BA]]-df_mep[[#This Row],[ask_BA]])/AVERAGE(df_mep[[#This Row],[bid_BA]:[ask_BA]])</f>
        <v>3.4165785406328805E-3</v>
      </c>
      <c r="T93" s="36" t="e">
        <f>ABS(df_mep[[#This Row],[bid_D_BA]]-df_mep[[#This Row],[ask_D_BA]])/AVERAGE(df_mep[[#This Row],[bid_D_BA]:[ask_D_BA]])</f>
        <v>#DIV/0!</v>
      </c>
    </row>
    <row r="94" spans="1:20" hidden="1" x14ac:dyDescent="0.25">
      <c r="A94" s="41" t="s">
        <v>370</v>
      </c>
      <c r="B94" s="41" t="s">
        <v>296</v>
      </c>
      <c r="C94" s="4">
        <v>3350</v>
      </c>
      <c r="D94" s="4">
        <v>3510</v>
      </c>
      <c r="E94" s="4">
        <v>3495.5</v>
      </c>
      <c r="I94" s="5">
        <v>151</v>
      </c>
      <c r="J94" s="5">
        <f>df_mep[[#This Row],[volume_BA]]*df_mep[[#This Row],[open_BA]]</f>
        <v>505850</v>
      </c>
      <c r="L94" s="5">
        <f>df_mep[[#This Row],[volume_D_BA]]*df_mep[[#This Row],[open_D_BA]]</f>
        <v>0</v>
      </c>
      <c r="N94" s="3">
        <f>IFERROR(df_mep[[#This Row],[ask_BA]]/df_mep[[#This Row],[bid_D_BA]],750)</f>
        <v>750</v>
      </c>
      <c r="O94" s="3">
        <f>IFERROR(df_mep[[#This Row],[bid_BA]]/df_mep[[#This Row],[ask_D_BA]],800)</f>
        <v>800</v>
      </c>
      <c r="P94" s="37">
        <f>MIN(1-df_mep[[#This Row],[MEP_compra_ARS]]/MEDIAN(N:N),100%)</f>
        <v>0</v>
      </c>
      <c r="Q94" s="38">
        <f>df_mep[[#This Row],[MEP_compra_USD]]/MEDIAN(O:O)-1</f>
        <v>0</v>
      </c>
      <c r="R94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94" s="38">
        <f>ABS(df_mep[[#This Row],[bid_BA]]-df_mep[[#This Row],[ask_BA]])/AVERAGE(df_mep[[#This Row],[bid_BA]:[ask_BA]])</f>
        <v>4.1396045963885521E-3</v>
      </c>
      <c r="T94" s="36" t="e">
        <f>ABS(df_mep[[#This Row],[bid_D_BA]]-df_mep[[#This Row],[ask_D_BA]])/AVERAGE(df_mep[[#This Row],[bid_D_BA]:[ask_D_BA]])</f>
        <v>#DIV/0!</v>
      </c>
    </row>
    <row r="95" spans="1:20" hidden="1" x14ac:dyDescent="0.25">
      <c r="A95" s="41" t="s">
        <v>371</v>
      </c>
      <c r="B95" s="41" t="s">
        <v>296</v>
      </c>
      <c r="C95" s="4">
        <v>27221.5</v>
      </c>
      <c r="D95" s="4">
        <v>28977.5</v>
      </c>
      <c r="E95" s="4">
        <v>28580.5</v>
      </c>
      <c r="I95" s="5">
        <v>96</v>
      </c>
      <c r="J95" s="5">
        <f>df_mep[[#This Row],[volume_BA]]*df_mep[[#This Row],[open_BA]]</f>
        <v>2613264</v>
      </c>
      <c r="L95" s="5">
        <f>df_mep[[#This Row],[volume_D_BA]]*df_mep[[#This Row],[open_D_BA]]</f>
        <v>0</v>
      </c>
      <c r="N95" s="3">
        <f>IFERROR(df_mep[[#This Row],[ask_BA]]/df_mep[[#This Row],[bid_D_BA]],750)</f>
        <v>750</v>
      </c>
      <c r="O95" s="3">
        <f>IFERROR(df_mep[[#This Row],[bid_BA]]/df_mep[[#This Row],[ask_D_BA]],800)</f>
        <v>800</v>
      </c>
      <c r="P95" s="37">
        <f>MIN(1-df_mep[[#This Row],[MEP_compra_ARS]]/MEDIAN(N:N),100%)</f>
        <v>0</v>
      </c>
      <c r="Q95" s="38">
        <f>df_mep[[#This Row],[MEP_compra_USD]]/MEDIAN(O:O)-1</f>
        <v>0</v>
      </c>
      <c r="R95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95" s="38">
        <f>ABS(df_mep[[#This Row],[bid_BA]]-df_mep[[#This Row],[ask_BA]])/AVERAGE(df_mep[[#This Row],[bid_BA]:[ask_BA]])</f>
        <v>1.3794780916640607E-2</v>
      </c>
      <c r="T95" s="36" t="e">
        <f>ABS(df_mep[[#This Row],[bid_D_BA]]-df_mep[[#This Row],[ask_D_BA]])/AVERAGE(df_mep[[#This Row],[bid_D_BA]:[ask_D_BA]])</f>
        <v>#DIV/0!</v>
      </c>
    </row>
    <row r="96" spans="1:20" hidden="1" x14ac:dyDescent="0.25">
      <c r="A96" s="41" t="s">
        <v>141</v>
      </c>
      <c r="B96" s="41" t="s">
        <v>296</v>
      </c>
      <c r="C96" s="4">
        <v>12180.5</v>
      </c>
      <c r="D96" s="4">
        <v>12592.5</v>
      </c>
      <c r="E96" s="4">
        <v>12501</v>
      </c>
      <c r="I96" s="5">
        <v>220</v>
      </c>
      <c r="J96" s="5">
        <f>df_mep[[#This Row],[volume_BA]]*df_mep[[#This Row],[open_BA]]</f>
        <v>2679710</v>
      </c>
      <c r="L96" s="5">
        <f>df_mep[[#This Row],[volume_D_BA]]*df_mep[[#This Row],[open_D_BA]]</f>
        <v>0</v>
      </c>
      <c r="N96" s="3">
        <f>IFERROR(df_mep[[#This Row],[ask_BA]]/df_mep[[#This Row],[bid_D_BA]],750)</f>
        <v>750</v>
      </c>
      <c r="O96" s="3">
        <f>IFERROR(df_mep[[#This Row],[bid_BA]]/df_mep[[#This Row],[ask_D_BA]],800)</f>
        <v>800</v>
      </c>
      <c r="P96" s="37">
        <f>MIN(1-df_mep[[#This Row],[MEP_compra_ARS]]/MEDIAN(N:N),100%)</f>
        <v>0</v>
      </c>
      <c r="Q96" s="38">
        <f>df_mep[[#This Row],[MEP_compra_USD]]/MEDIAN(O:O)-1</f>
        <v>0</v>
      </c>
      <c r="R96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96" s="38">
        <f>ABS(df_mep[[#This Row],[bid_BA]]-df_mep[[#This Row],[ask_BA]])/AVERAGE(df_mep[[#This Row],[bid_BA]:[ask_BA]])</f>
        <v>7.2927252077231155E-3</v>
      </c>
      <c r="T96" s="36" t="e">
        <f>ABS(df_mep[[#This Row],[bid_D_BA]]-df_mep[[#This Row],[ask_D_BA]])/AVERAGE(df_mep[[#This Row],[bid_D_BA]:[ask_D_BA]])</f>
        <v>#DIV/0!</v>
      </c>
    </row>
    <row r="97" spans="1:20" hidden="1" x14ac:dyDescent="0.25">
      <c r="A97" s="41" t="s">
        <v>374</v>
      </c>
      <c r="B97" s="41" t="s">
        <v>296</v>
      </c>
      <c r="C97" s="4">
        <v>12742</v>
      </c>
      <c r="D97" s="4">
        <v>13309</v>
      </c>
      <c r="E97" s="4">
        <v>13147</v>
      </c>
      <c r="I97" s="5">
        <v>65</v>
      </c>
      <c r="J97" s="5">
        <f>df_mep[[#This Row],[volume_BA]]*df_mep[[#This Row],[open_BA]]</f>
        <v>828230</v>
      </c>
      <c r="L97" s="5">
        <f>df_mep[[#This Row],[volume_D_BA]]*df_mep[[#This Row],[open_D_BA]]</f>
        <v>0</v>
      </c>
      <c r="N97" s="3">
        <f>IFERROR(df_mep[[#This Row],[ask_BA]]/df_mep[[#This Row],[bid_D_BA]],750)</f>
        <v>750</v>
      </c>
      <c r="O97" s="3">
        <f>IFERROR(df_mep[[#This Row],[bid_BA]]/df_mep[[#This Row],[ask_D_BA]],800)</f>
        <v>800</v>
      </c>
      <c r="P97" s="37">
        <f>MIN(1-df_mep[[#This Row],[MEP_compra_ARS]]/MEDIAN(N:N),100%)</f>
        <v>0</v>
      </c>
      <c r="Q97" s="38">
        <f>df_mep[[#This Row],[MEP_compra_USD]]/MEDIAN(O:O)-1</f>
        <v>0</v>
      </c>
      <c r="R97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97" s="38">
        <f>ABS(df_mep[[#This Row],[bid_BA]]-df_mep[[#This Row],[ask_BA]])/AVERAGE(df_mep[[#This Row],[bid_BA]:[ask_BA]])</f>
        <v>1.2246749319625038E-2</v>
      </c>
      <c r="T97" s="36" t="e">
        <f>ABS(df_mep[[#This Row],[bid_D_BA]]-df_mep[[#This Row],[ask_D_BA]])/AVERAGE(df_mep[[#This Row],[bid_D_BA]:[ask_D_BA]])</f>
        <v>#DIV/0!</v>
      </c>
    </row>
    <row r="98" spans="1:20" hidden="1" x14ac:dyDescent="0.25">
      <c r="A98" s="41" t="s">
        <v>375</v>
      </c>
      <c r="B98" s="41" t="s">
        <v>296</v>
      </c>
      <c r="C98" s="4">
        <v>18620.5</v>
      </c>
      <c r="D98" s="4">
        <v>19472.5</v>
      </c>
      <c r="E98" s="4">
        <v>19240</v>
      </c>
      <c r="I98" s="5">
        <v>38</v>
      </c>
      <c r="J98" s="5">
        <f>df_mep[[#This Row],[volume_BA]]*df_mep[[#This Row],[open_BA]]</f>
        <v>707579</v>
      </c>
      <c r="L98" s="5">
        <f>df_mep[[#This Row],[volume_D_BA]]*df_mep[[#This Row],[open_D_BA]]</f>
        <v>0</v>
      </c>
      <c r="N98" s="3">
        <f>IFERROR(df_mep[[#This Row],[ask_BA]]/df_mep[[#This Row],[bid_D_BA]],750)</f>
        <v>750</v>
      </c>
      <c r="O98" s="3">
        <f>IFERROR(df_mep[[#This Row],[bid_BA]]/df_mep[[#This Row],[ask_D_BA]],800)</f>
        <v>800</v>
      </c>
      <c r="P98" s="37">
        <f>MIN(1-df_mep[[#This Row],[MEP_compra_ARS]]/MEDIAN(N:N),100%)</f>
        <v>0</v>
      </c>
      <c r="Q98" s="38">
        <f>df_mep[[#This Row],[MEP_compra_USD]]/MEDIAN(O:O)-1</f>
        <v>0</v>
      </c>
      <c r="R98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98" s="38">
        <f>ABS(df_mep[[#This Row],[bid_BA]]-df_mep[[#This Row],[ask_BA]])/AVERAGE(df_mep[[#This Row],[bid_BA]:[ask_BA]])</f>
        <v>1.2011624152405554E-2</v>
      </c>
      <c r="T98" s="36" t="e">
        <f>ABS(df_mep[[#This Row],[bid_D_BA]]-df_mep[[#This Row],[ask_D_BA]])/AVERAGE(df_mep[[#This Row],[bid_D_BA]:[ask_D_BA]])</f>
        <v>#DIV/0!</v>
      </c>
    </row>
    <row r="99" spans="1:20" hidden="1" x14ac:dyDescent="0.25">
      <c r="A99" s="41" t="s">
        <v>376</v>
      </c>
      <c r="B99" s="41" t="s">
        <v>296</v>
      </c>
      <c r="C99" s="4">
        <v>20171</v>
      </c>
      <c r="D99" s="4">
        <v>21366</v>
      </c>
      <c r="E99" s="4">
        <v>21160</v>
      </c>
      <c r="I99" s="5">
        <v>2</v>
      </c>
      <c r="J99" s="5">
        <f>df_mep[[#This Row],[volume_BA]]*df_mep[[#This Row],[open_BA]]</f>
        <v>40342</v>
      </c>
      <c r="L99" s="5">
        <f>df_mep[[#This Row],[volume_D_BA]]*df_mep[[#This Row],[open_D_BA]]</f>
        <v>0</v>
      </c>
      <c r="N99" s="3">
        <f>IFERROR(df_mep[[#This Row],[ask_BA]]/df_mep[[#This Row],[bid_D_BA]],750)</f>
        <v>750</v>
      </c>
      <c r="O99" s="3">
        <f>IFERROR(df_mep[[#This Row],[bid_BA]]/df_mep[[#This Row],[ask_D_BA]],800)</f>
        <v>800</v>
      </c>
      <c r="P99" s="37">
        <f>MIN(1-df_mep[[#This Row],[MEP_compra_ARS]]/MEDIAN(N:N),100%)</f>
        <v>0</v>
      </c>
      <c r="Q99" s="38">
        <f>df_mep[[#This Row],[MEP_compra_USD]]/MEDIAN(O:O)-1</f>
        <v>0</v>
      </c>
      <c r="R99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99" s="38">
        <f>ABS(df_mep[[#This Row],[bid_BA]]-df_mep[[#This Row],[ask_BA]])/AVERAGE(df_mep[[#This Row],[bid_BA]:[ask_BA]])</f>
        <v>9.6881907538917365E-3</v>
      </c>
      <c r="T99" s="36" t="e">
        <f>ABS(df_mep[[#This Row],[bid_D_BA]]-df_mep[[#This Row],[ask_D_BA]])/AVERAGE(df_mep[[#This Row],[bid_D_BA]:[ask_D_BA]])</f>
        <v>#DIV/0!</v>
      </c>
    </row>
    <row r="100" spans="1:20" hidden="1" x14ac:dyDescent="0.25">
      <c r="A100" s="41" t="s">
        <v>377</v>
      </c>
      <c r="B100" s="41" t="s">
        <v>296</v>
      </c>
      <c r="C100" s="4">
        <v>19456</v>
      </c>
      <c r="D100" s="4">
        <v>20628.5</v>
      </c>
      <c r="E100" s="4">
        <v>19966</v>
      </c>
      <c r="I100" s="5">
        <v>157</v>
      </c>
      <c r="J100" s="5">
        <f>df_mep[[#This Row],[volume_BA]]*df_mep[[#This Row],[open_BA]]</f>
        <v>3054592</v>
      </c>
      <c r="L100" s="5">
        <f>df_mep[[#This Row],[volume_D_BA]]*df_mep[[#This Row],[open_D_BA]]</f>
        <v>0</v>
      </c>
      <c r="N100" s="3">
        <f>IFERROR(df_mep[[#This Row],[ask_BA]]/df_mep[[#This Row],[bid_D_BA]],750)</f>
        <v>750</v>
      </c>
      <c r="O100" s="3">
        <f>IFERROR(df_mep[[#This Row],[bid_BA]]/df_mep[[#This Row],[ask_D_BA]],800)</f>
        <v>800</v>
      </c>
      <c r="P100" s="37">
        <f>MIN(1-df_mep[[#This Row],[MEP_compra_ARS]]/MEDIAN(N:N),100%)</f>
        <v>0</v>
      </c>
      <c r="Q100" s="38">
        <f>df_mep[[#This Row],[MEP_compra_USD]]/MEDIAN(O:O)-1</f>
        <v>0</v>
      </c>
      <c r="R100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00" s="38">
        <f>ABS(df_mep[[#This Row],[bid_BA]]-df_mep[[#This Row],[ask_BA]])/AVERAGE(df_mep[[#This Row],[bid_BA]:[ask_BA]])</f>
        <v>3.26398896402222E-2</v>
      </c>
      <c r="T100" s="36" t="e">
        <f>ABS(df_mep[[#This Row],[bid_D_BA]]-df_mep[[#This Row],[ask_D_BA]])/AVERAGE(df_mep[[#This Row],[bid_D_BA]:[ask_D_BA]])</f>
        <v>#DIV/0!</v>
      </c>
    </row>
    <row r="101" spans="1:20" hidden="1" x14ac:dyDescent="0.25">
      <c r="A101" s="41" t="s">
        <v>378</v>
      </c>
      <c r="B101" s="41" t="s">
        <v>296</v>
      </c>
      <c r="C101" s="4">
        <v>32000</v>
      </c>
      <c r="D101" s="4">
        <v>32891</v>
      </c>
      <c r="E101" s="4">
        <v>32762.5</v>
      </c>
      <c r="I101" s="5">
        <v>6</v>
      </c>
      <c r="J101" s="5">
        <f>df_mep[[#This Row],[volume_BA]]*df_mep[[#This Row],[open_BA]]</f>
        <v>192000</v>
      </c>
      <c r="L101" s="5">
        <f>df_mep[[#This Row],[volume_D_BA]]*df_mep[[#This Row],[open_D_BA]]</f>
        <v>0</v>
      </c>
      <c r="N101" s="3">
        <f>IFERROR(df_mep[[#This Row],[ask_BA]]/df_mep[[#This Row],[bid_D_BA]],750)</f>
        <v>750</v>
      </c>
      <c r="O101" s="3">
        <f>IFERROR(df_mep[[#This Row],[bid_BA]]/df_mep[[#This Row],[ask_D_BA]],800)</f>
        <v>800</v>
      </c>
      <c r="P101" s="37">
        <f>MIN(1-df_mep[[#This Row],[MEP_compra_ARS]]/MEDIAN(N:N),100%)</f>
        <v>0</v>
      </c>
      <c r="Q101" s="38">
        <f>df_mep[[#This Row],[MEP_compra_USD]]/MEDIAN(O:O)-1</f>
        <v>0</v>
      </c>
      <c r="R101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01" s="38">
        <f>ABS(df_mep[[#This Row],[bid_BA]]-df_mep[[#This Row],[ask_BA]])/AVERAGE(df_mep[[#This Row],[bid_BA]:[ask_BA]])</f>
        <v>3.914490468901125E-3</v>
      </c>
      <c r="T101" s="36" t="e">
        <f>ABS(df_mep[[#This Row],[bid_D_BA]]-df_mep[[#This Row],[ask_D_BA]])/AVERAGE(df_mep[[#This Row],[bid_D_BA]:[ask_D_BA]])</f>
        <v>#DIV/0!</v>
      </c>
    </row>
    <row r="102" spans="1:20" hidden="1" x14ac:dyDescent="0.25">
      <c r="A102" s="41" t="s">
        <v>144</v>
      </c>
      <c r="B102" s="41" t="s">
        <v>296</v>
      </c>
      <c r="C102" s="4">
        <v>26749</v>
      </c>
      <c r="D102" s="4">
        <v>28051</v>
      </c>
      <c r="E102" s="4">
        <v>27915</v>
      </c>
      <c r="I102" s="5">
        <v>386</v>
      </c>
      <c r="J102" s="5">
        <f>df_mep[[#This Row],[volume_BA]]*df_mep[[#This Row],[open_BA]]</f>
        <v>10325114</v>
      </c>
      <c r="L102" s="5">
        <f>df_mep[[#This Row],[volume_D_BA]]*df_mep[[#This Row],[open_D_BA]]</f>
        <v>0</v>
      </c>
      <c r="N102" s="3">
        <f>IFERROR(df_mep[[#This Row],[ask_BA]]/df_mep[[#This Row],[bid_D_BA]],750)</f>
        <v>750</v>
      </c>
      <c r="O102" s="3">
        <f>IFERROR(df_mep[[#This Row],[bid_BA]]/df_mep[[#This Row],[ask_D_BA]],800)</f>
        <v>800</v>
      </c>
      <c r="P102" s="37">
        <f>MIN(1-df_mep[[#This Row],[MEP_compra_ARS]]/MEDIAN(N:N),100%)</f>
        <v>0</v>
      </c>
      <c r="Q102" s="38">
        <f>df_mep[[#This Row],[MEP_compra_USD]]/MEDIAN(O:O)-1</f>
        <v>0</v>
      </c>
      <c r="R102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02" s="38">
        <f>ABS(df_mep[[#This Row],[bid_BA]]-df_mep[[#This Row],[ask_BA]])/AVERAGE(df_mep[[#This Row],[bid_BA]:[ask_BA]])</f>
        <v>4.8600936282743095E-3</v>
      </c>
      <c r="T102" s="36" t="e">
        <f>ABS(df_mep[[#This Row],[bid_D_BA]]-df_mep[[#This Row],[ask_D_BA]])/AVERAGE(df_mep[[#This Row],[bid_D_BA]:[ask_D_BA]])</f>
        <v>#DIV/0!</v>
      </c>
    </row>
    <row r="103" spans="1:20" hidden="1" x14ac:dyDescent="0.25">
      <c r="A103" s="41" t="s">
        <v>404</v>
      </c>
      <c r="B103" s="41" t="s">
        <v>296</v>
      </c>
      <c r="C103" s="4">
        <v>0</v>
      </c>
      <c r="D103" s="4">
        <v>0</v>
      </c>
      <c r="E103" s="4">
        <v>2</v>
      </c>
      <c r="I103" s="5">
        <v>0</v>
      </c>
      <c r="J103" s="5">
        <f>df_mep[[#This Row],[volume_BA]]*df_mep[[#This Row],[open_BA]]</f>
        <v>0</v>
      </c>
      <c r="L103" s="5">
        <f>df_mep[[#This Row],[volume_D_BA]]*df_mep[[#This Row],[open_D_BA]]</f>
        <v>0</v>
      </c>
      <c r="N103" s="3">
        <f>IFERROR(df_mep[[#This Row],[ask_BA]]/df_mep[[#This Row],[bid_D_BA]],750)</f>
        <v>750</v>
      </c>
      <c r="O103" s="3">
        <f>IFERROR(df_mep[[#This Row],[bid_BA]]/df_mep[[#This Row],[ask_D_BA]],800)</f>
        <v>800</v>
      </c>
      <c r="P103" s="37">
        <f>MIN(1-df_mep[[#This Row],[MEP_compra_ARS]]/MEDIAN(N:N),100%)</f>
        <v>0</v>
      </c>
      <c r="Q103" s="38">
        <f>df_mep[[#This Row],[MEP_compra_USD]]/MEDIAN(O:O)-1</f>
        <v>0</v>
      </c>
      <c r="R103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03" s="38">
        <f>ABS(df_mep[[#This Row],[bid_BA]]-df_mep[[#This Row],[ask_BA]])/AVERAGE(df_mep[[#This Row],[bid_BA]:[ask_BA]])</f>
        <v>2</v>
      </c>
      <c r="T103" s="36" t="e">
        <f>ABS(df_mep[[#This Row],[bid_D_BA]]-df_mep[[#This Row],[ask_D_BA]])/AVERAGE(df_mep[[#This Row],[bid_D_BA]:[ask_D_BA]])</f>
        <v>#DIV/0!</v>
      </c>
    </row>
    <row r="104" spans="1:20" hidden="1" x14ac:dyDescent="0.25">
      <c r="A104" s="41" t="s">
        <v>380</v>
      </c>
      <c r="B104" s="41" t="s">
        <v>296</v>
      </c>
      <c r="C104" s="4">
        <v>37018</v>
      </c>
      <c r="D104" s="4">
        <v>38480</v>
      </c>
      <c r="E104" s="4">
        <v>38100.5</v>
      </c>
      <c r="I104" s="5">
        <v>26</v>
      </c>
      <c r="J104" s="5">
        <f>df_mep[[#This Row],[volume_BA]]*df_mep[[#This Row],[open_BA]]</f>
        <v>962468</v>
      </c>
      <c r="L104" s="5">
        <f>df_mep[[#This Row],[volume_D_BA]]*df_mep[[#This Row],[open_D_BA]]</f>
        <v>0</v>
      </c>
      <c r="N104" s="3">
        <f>IFERROR(df_mep[[#This Row],[ask_BA]]/df_mep[[#This Row],[bid_D_BA]],750)</f>
        <v>750</v>
      </c>
      <c r="O104" s="3">
        <f>IFERROR(df_mep[[#This Row],[bid_BA]]/df_mep[[#This Row],[ask_D_BA]],800)</f>
        <v>800</v>
      </c>
      <c r="P104" s="37">
        <f>MIN(1-df_mep[[#This Row],[MEP_compra_ARS]]/MEDIAN(N:N),100%)</f>
        <v>0</v>
      </c>
      <c r="Q104" s="38">
        <f>df_mep[[#This Row],[MEP_compra_USD]]/MEDIAN(O:O)-1</f>
        <v>0</v>
      </c>
      <c r="R104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04" s="38">
        <f>ABS(df_mep[[#This Row],[bid_BA]]-df_mep[[#This Row],[ask_BA]])/AVERAGE(df_mep[[#This Row],[bid_BA]:[ask_BA]])</f>
        <v>9.9111392586885699E-3</v>
      </c>
      <c r="T104" s="36" t="e">
        <f>ABS(df_mep[[#This Row],[bid_D_BA]]-df_mep[[#This Row],[ask_D_BA]])/AVERAGE(df_mep[[#This Row],[bid_D_BA]:[ask_D_BA]])</f>
        <v>#DIV/0!</v>
      </c>
    </row>
    <row r="105" spans="1:20" hidden="1" x14ac:dyDescent="0.25">
      <c r="A105" s="41" t="s">
        <v>381</v>
      </c>
      <c r="B105" s="41" t="s">
        <v>296</v>
      </c>
      <c r="C105" s="4">
        <v>7389</v>
      </c>
      <c r="D105" s="4">
        <v>7750.5</v>
      </c>
      <c r="E105" s="4">
        <v>7686.5</v>
      </c>
      <c r="I105" s="5">
        <v>99</v>
      </c>
      <c r="J105" s="5">
        <f>df_mep[[#This Row],[volume_BA]]*df_mep[[#This Row],[open_BA]]</f>
        <v>731511</v>
      </c>
      <c r="L105" s="5">
        <f>df_mep[[#This Row],[volume_D_BA]]*df_mep[[#This Row],[open_D_BA]]</f>
        <v>0</v>
      </c>
      <c r="N105" s="3">
        <f>IFERROR(df_mep[[#This Row],[ask_BA]]/df_mep[[#This Row],[bid_D_BA]],750)</f>
        <v>750</v>
      </c>
      <c r="O105" s="3">
        <f>IFERROR(df_mep[[#This Row],[bid_BA]]/df_mep[[#This Row],[ask_D_BA]],800)</f>
        <v>800</v>
      </c>
      <c r="P105" s="37">
        <f>MIN(1-df_mep[[#This Row],[MEP_compra_ARS]]/MEDIAN(N:N),100%)</f>
        <v>0</v>
      </c>
      <c r="Q105" s="38">
        <f>df_mep[[#This Row],[MEP_compra_USD]]/MEDIAN(O:O)-1</f>
        <v>0</v>
      </c>
      <c r="R105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05" s="38">
        <f>ABS(df_mep[[#This Row],[bid_BA]]-df_mep[[#This Row],[ask_BA]])/AVERAGE(df_mep[[#This Row],[bid_BA]:[ask_BA]])</f>
        <v>8.2917665349485012E-3</v>
      </c>
      <c r="T105" s="36" t="e">
        <f>ABS(df_mep[[#This Row],[bid_D_BA]]-df_mep[[#This Row],[ask_D_BA]])/AVERAGE(df_mep[[#This Row],[bid_D_BA]:[ask_D_BA]])</f>
        <v>#DIV/0!</v>
      </c>
    </row>
    <row r="106" spans="1:20" hidden="1" x14ac:dyDescent="0.25">
      <c r="A106" s="41" t="s">
        <v>382</v>
      </c>
      <c r="B106" s="41" t="s">
        <v>296</v>
      </c>
      <c r="C106" s="4">
        <v>17448</v>
      </c>
      <c r="D106" s="4">
        <v>18334</v>
      </c>
      <c r="E106" s="4">
        <v>18264</v>
      </c>
      <c r="I106" s="5">
        <v>130</v>
      </c>
      <c r="J106" s="5">
        <f>df_mep[[#This Row],[volume_BA]]*df_mep[[#This Row],[open_BA]]</f>
        <v>2268240</v>
      </c>
      <c r="L106" s="5">
        <f>df_mep[[#This Row],[volume_D_BA]]*df_mep[[#This Row],[open_D_BA]]</f>
        <v>0</v>
      </c>
      <c r="N106" s="3">
        <f>IFERROR(df_mep[[#This Row],[ask_BA]]/df_mep[[#This Row],[bid_D_BA]],750)</f>
        <v>750</v>
      </c>
      <c r="O106" s="3">
        <f>IFERROR(df_mep[[#This Row],[bid_BA]]/df_mep[[#This Row],[ask_D_BA]],800)</f>
        <v>800</v>
      </c>
      <c r="P106" s="37">
        <f>MIN(1-df_mep[[#This Row],[MEP_compra_ARS]]/MEDIAN(N:N),100%)</f>
        <v>0</v>
      </c>
      <c r="Q106" s="38">
        <f>df_mep[[#This Row],[MEP_compra_USD]]/MEDIAN(O:O)-1</f>
        <v>0</v>
      </c>
      <c r="R106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06" s="38">
        <f>ABS(df_mep[[#This Row],[bid_BA]]-df_mep[[#This Row],[ask_BA]])/AVERAGE(df_mep[[#This Row],[bid_BA]:[ask_BA]])</f>
        <v>3.8253456473031312E-3</v>
      </c>
      <c r="T106" s="36" t="e">
        <f>ABS(df_mep[[#This Row],[bid_D_BA]]-df_mep[[#This Row],[ask_D_BA]])/AVERAGE(df_mep[[#This Row],[bid_D_BA]:[ask_D_BA]])</f>
        <v>#DIV/0!</v>
      </c>
    </row>
    <row r="107" spans="1:20" hidden="1" x14ac:dyDescent="0.25">
      <c r="A107" s="41" t="s">
        <v>383</v>
      </c>
      <c r="B107" s="41" t="s">
        <v>296</v>
      </c>
      <c r="C107" s="4">
        <v>9605</v>
      </c>
      <c r="D107" s="4">
        <v>9640.5</v>
      </c>
      <c r="E107" s="4">
        <v>9560.5</v>
      </c>
      <c r="I107" s="5">
        <v>210</v>
      </c>
      <c r="J107" s="5">
        <f>df_mep[[#This Row],[volume_BA]]*df_mep[[#This Row],[open_BA]]</f>
        <v>2017050</v>
      </c>
      <c r="L107" s="5">
        <f>df_mep[[#This Row],[volume_D_BA]]*df_mep[[#This Row],[open_D_BA]]</f>
        <v>0</v>
      </c>
      <c r="N107" s="3">
        <f>IFERROR(df_mep[[#This Row],[ask_BA]]/df_mep[[#This Row],[bid_D_BA]],750)</f>
        <v>750</v>
      </c>
      <c r="O107" s="3">
        <f>IFERROR(df_mep[[#This Row],[bid_BA]]/df_mep[[#This Row],[ask_D_BA]],800)</f>
        <v>800</v>
      </c>
      <c r="P107" s="37">
        <f>MIN(1-df_mep[[#This Row],[MEP_compra_ARS]]/MEDIAN(N:N),100%)</f>
        <v>0</v>
      </c>
      <c r="Q107" s="38">
        <f>df_mep[[#This Row],[MEP_compra_USD]]/MEDIAN(O:O)-1</f>
        <v>0</v>
      </c>
      <c r="R107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07" s="38">
        <f>ABS(df_mep[[#This Row],[bid_BA]]-df_mep[[#This Row],[ask_BA]])/AVERAGE(df_mep[[#This Row],[bid_BA]:[ask_BA]])</f>
        <v>8.3328993281599918E-3</v>
      </c>
      <c r="T107" s="36" t="e">
        <f>ABS(df_mep[[#This Row],[bid_D_BA]]-df_mep[[#This Row],[ask_D_BA]])/AVERAGE(df_mep[[#This Row],[bid_D_BA]:[ask_D_BA]])</f>
        <v>#DIV/0!</v>
      </c>
    </row>
    <row r="108" spans="1:20" hidden="1" x14ac:dyDescent="0.25">
      <c r="A108" s="41" t="s">
        <v>384</v>
      </c>
      <c r="B108" s="41" t="s">
        <v>296</v>
      </c>
      <c r="C108" s="4">
        <v>7029.5</v>
      </c>
      <c r="D108" s="4">
        <v>7314</v>
      </c>
      <c r="E108" s="4">
        <v>7257.5</v>
      </c>
      <c r="I108" s="5">
        <v>69</v>
      </c>
      <c r="J108" s="5">
        <f>df_mep[[#This Row],[volume_BA]]*df_mep[[#This Row],[open_BA]]</f>
        <v>485035.5</v>
      </c>
      <c r="L108" s="5">
        <f>df_mep[[#This Row],[volume_D_BA]]*df_mep[[#This Row],[open_D_BA]]</f>
        <v>0</v>
      </c>
      <c r="N108" s="3">
        <f>IFERROR(df_mep[[#This Row],[ask_BA]]/df_mep[[#This Row],[bid_D_BA]],750)</f>
        <v>750</v>
      </c>
      <c r="O108" s="3">
        <f>IFERROR(df_mep[[#This Row],[bid_BA]]/df_mep[[#This Row],[ask_D_BA]],800)</f>
        <v>800</v>
      </c>
      <c r="P108" s="37">
        <f>MIN(1-df_mep[[#This Row],[MEP_compra_ARS]]/MEDIAN(N:N),100%)</f>
        <v>0</v>
      </c>
      <c r="Q108" s="38">
        <f>df_mep[[#This Row],[MEP_compra_USD]]/MEDIAN(O:O)-1</f>
        <v>0</v>
      </c>
      <c r="R108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08" s="38">
        <f>ABS(df_mep[[#This Row],[bid_BA]]-df_mep[[#This Row],[ask_BA]])/AVERAGE(df_mep[[#This Row],[bid_BA]:[ask_BA]])</f>
        <v>7.7548639467453591E-3</v>
      </c>
      <c r="T108" s="36" t="e">
        <f>ABS(df_mep[[#This Row],[bid_D_BA]]-df_mep[[#This Row],[ask_D_BA]])/AVERAGE(df_mep[[#This Row],[bid_D_BA]:[ask_D_BA]])</f>
        <v>#DIV/0!</v>
      </c>
    </row>
    <row r="109" spans="1:20" hidden="1" x14ac:dyDescent="0.25">
      <c r="A109" s="41" t="s">
        <v>385</v>
      </c>
      <c r="B109" s="41" t="s">
        <v>296</v>
      </c>
      <c r="C109" s="4">
        <v>14701.5</v>
      </c>
      <c r="D109" s="4">
        <v>14950</v>
      </c>
      <c r="E109" s="4">
        <v>14845</v>
      </c>
      <c r="I109" s="5">
        <v>110</v>
      </c>
      <c r="J109" s="5">
        <f>df_mep[[#This Row],[volume_BA]]*df_mep[[#This Row],[open_BA]]</f>
        <v>1617165</v>
      </c>
      <c r="L109" s="5">
        <f>df_mep[[#This Row],[volume_D_BA]]*df_mep[[#This Row],[open_D_BA]]</f>
        <v>0</v>
      </c>
      <c r="N109" s="3">
        <f>IFERROR(df_mep[[#This Row],[ask_BA]]/df_mep[[#This Row],[bid_D_BA]],750)</f>
        <v>750</v>
      </c>
      <c r="O109" s="3">
        <f>IFERROR(df_mep[[#This Row],[bid_BA]]/df_mep[[#This Row],[ask_D_BA]],800)</f>
        <v>800</v>
      </c>
      <c r="P109" s="37">
        <f>MIN(1-df_mep[[#This Row],[MEP_compra_ARS]]/MEDIAN(N:N),100%)</f>
        <v>0</v>
      </c>
      <c r="Q109" s="38">
        <f>df_mep[[#This Row],[MEP_compra_USD]]/MEDIAN(O:O)-1</f>
        <v>0</v>
      </c>
      <c r="R109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09" s="38">
        <f>ABS(df_mep[[#This Row],[bid_BA]]-df_mep[[#This Row],[ask_BA]])/AVERAGE(df_mep[[#This Row],[bid_BA]:[ask_BA]])</f>
        <v>7.0481624433629802E-3</v>
      </c>
      <c r="T109" s="36" t="e">
        <f>ABS(df_mep[[#This Row],[bid_D_BA]]-df_mep[[#This Row],[ask_D_BA]])/AVERAGE(df_mep[[#This Row],[bid_D_BA]:[ask_D_BA]])</f>
        <v>#DIV/0!</v>
      </c>
    </row>
    <row r="110" spans="1:20" hidden="1" x14ac:dyDescent="0.25">
      <c r="A110" s="41" t="s">
        <v>386</v>
      </c>
      <c r="B110" s="41" t="s">
        <v>296</v>
      </c>
      <c r="C110" s="4">
        <v>421.5</v>
      </c>
      <c r="D110" s="4">
        <v>434.5</v>
      </c>
      <c r="E110" s="4">
        <v>432</v>
      </c>
      <c r="I110" s="5">
        <v>1399</v>
      </c>
      <c r="J110" s="5">
        <f>df_mep[[#This Row],[volume_BA]]*df_mep[[#This Row],[open_BA]]</f>
        <v>589678.5</v>
      </c>
      <c r="L110" s="5">
        <f>df_mep[[#This Row],[volume_D_BA]]*df_mep[[#This Row],[open_D_BA]]</f>
        <v>0</v>
      </c>
      <c r="N110" s="3">
        <f>IFERROR(df_mep[[#This Row],[ask_BA]]/df_mep[[#This Row],[bid_D_BA]],750)</f>
        <v>750</v>
      </c>
      <c r="O110" s="3">
        <f>IFERROR(df_mep[[#This Row],[bid_BA]]/df_mep[[#This Row],[ask_D_BA]],800)</f>
        <v>800</v>
      </c>
      <c r="P110" s="37">
        <f>MIN(1-df_mep[[#This Row],[MEP_compra_ARS]]/MEDIAN(N:N),100%)</f>
        <v>0</v>
      </c>
      <c r="Q110" s="38">
        <f>df_mep[[#This Row],[MEP_compra_USD]]/MEDIAN(O:O)-1</f>
        <v>0</v>
      </c>
      <c r="R110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10" s="38">
        <f>ABS(df_mep[[#This Row],[bid_BA]]-df_mep[[#This Row],[ask_BA]])/AVERAGE(df_mep[[#This Row],[bid_BA]:[ask_BA]])</f>
        <v>5.7703404500865554E-3</v>
      </c>
      <c r="T110" s="36" t="e">
        <f>ABS(df_mep[[#This Row],[bid_D_BA]]-df_mep[[#This Row],[ask_D_BA]])/AVERAGE(df_mep[[#This Row],[bid_D_BA]:[ask_D_BA]])</f>
        <v>#DIV/0!</v>
      </c>
    </row>
    <row r="111" spans="1:20" hidden="1" x14ac:dyDescent="0.25">
      <c r="A111" s="41" t="s">
        <v>149</v>
      </c>
      <c r="B111" s="41" t="s">
        <v>296</v>
      </c>
      <c r="C111" s="4">
        <v>3857</v>
      </c>
      <c r="D111" s="4">
        <v>4026</v>
      </c>
      <c r="E111" s="4">
        <v>4000</v>
      </c>
      <c r="I111" s="5">
        <v>1222</v>
      </c>
      <c r="J111" s="5">
        <f>df_mep[[#This Row],[volume_BA]]*df_mep[[#This Row],[open_BA]]</f>
        <v>4713254</v>
      </c>
      <c r="L111" s="5">
        <f>df_mep[[#This Row],[volume_D_BA]]*df_mep[[#This Row],[open_D_BA]]</f>
        <v>0</v>
      </c>
      <c r="N111" s="3">
        <f>IFERROR(df_mep[[#This Row],[ask_BA]]/df_mep[[#This Row],[bid_D_BA]],750)</f>
        <v>750</v>
      </c>
      <c r="O111" s="3">
        <f>IFERROR(df_mep[[#This Row],[bid_BA]]/df_mep[[#This Row],[ask_D_BA]],800)</f>
        <v>800</v>
      </c>
      <c r="P111" s="37">
        <f>MIN(1-df_mep[[#This Row],[MEP_compra_ARS]]/MEDIAN(N:N),100%)</f>
        <v>0</v>
      </c>
      <c r="Q111" s="38">
        <f>df_mep[[#This Row],[MEP_compra_USD]]/MEDIAN(O:O)-1</f>
        <v>0</v>
      </c>
      <c r="R111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11" s="38">
        <f>ABS(df_mep[[#This Row],[bid_BA]]-df_mep[[#This Row],[ask_BA]])/AVERAGE(df_mep[[#This Row],[bid_BA]:[ask_BA]])</f>
        <v>6.4789434338400204E-3</v>
      </c>
      <c r="T111" s="36" t="e">
        <f>ABS(df_mep[[#This Row],[bid_D_BA]]-df_mep[[#This Row],[ask_D_BA]])/AVERAGE(df_mep[[#This Row],[bid_D_BA]:[ask_D_BA]])</f>
        <v>#DIV/0!</v>
      </c>
    </row>
    <row r="112" spans="1:20" hidden="1" x14ac:dyDescent="0.25">
      <c r="A112" s="41" t="s">
        <v>387</v>
      </c>
      <c r="B112" s="41" t="s">
        <v>296</v>
      </c>
      <c r="C112" s="4">
        <v>12606</v>
      </c>
      <c r="D112" s="4">
        <v>13131.5</v>
      </c>
      <c r="E112" s="4">
        <v>13058</v>
      </c>
      <c r="I112" s="5">
        <v>2</v>
      </c>
      <c r="J112" s="5">
        <f>df_mep[[#This Row],[volume_BA]]*df_mep[[#This Row],[open_BA]]</f>
        <v>25212</v>
      </c>
      <c r="L112" s="5">
        <f>df_mep[[#This Row],[volume_D_BA]]*df_mep[[#This Row],[open_D_BA]]</f>
        <v>0</v>
      </c>
      <c r="N112" s="3">
        <f>IFERROR(df_mep[[#This Row],[ask_BA]]/df_mep[[#This Row],[bid_D_BA]],750)</f>
        <v>750</v>
      </c>
      <c r="O112" s="3">
        <f>IFERROR(df_mep[[#This Row],[bid_BA]]/df_mep[[#This Row],[ask_D_BA]],800)</f>
        <v>800</v>
      </c>
      <c r="P112" s="37">
        <f>MIN(1-df_mep[[#This Row],[MEP_compra_ARS]]/MEDIAN(N:N),100%)</f>
        <v>0</v>
      </c>
      <c r="Q112" s="38">
        <f>df_mep[[#This Row],[MEP_compra_USD]]/MEDIAN(O:O)-1</f>
        <v>0</v>
      </c>
      <c r="R112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12" s="38">
        <f>ABS(df_mep[[#This Row],[bid_BA]]-df_mep[[#This Row],[ask_BA]])/AVERAGE(df_mep[[#This Row],[bid_BA]:[ask_BA]])</f>
        <v>5.6129364821779718E-3</v>
      </c>
      <c r="T112" s="36" t="e">
        <f>ABS(df_mep[[#This Row],[bid_D_BA]]-df_mep[[#This Row],[ask_D_BA]])/AVERAGE(df_mep[[#This Row],[bid_D_BA]:[ask_D_BA]])</f>
        <v>#DIV/0!</v>
      </c>
    </row>
    <row r="113" spans="1:20" hidden="1" x14ac:dyDescent="0.25">
      <c r="A113" s="41" t="s">
        <v>388</v>
      </c>
      <c r="B113" s="41" t="s">
        <v>296</v>
      </c>
      <c r="C113" s="4">
        <v>20327.5</v>
      </c>
      <c r="D113" s="4">
        <v>20535</v>
      </c>
      <c r="E113" s="4">
        <v>20300</v>
      </c>
      <c r="I113" s="5">
        <v>54</v>
      </c>
      <c r="J113" s="5">
        <f>df_mep[[#This Row],[volume_BA]]*df_mep[[#This Row],[open_BA]]</f>
        <v>1097685</v>
      </c>
      <c r="L113" s="5">
        <f>df_mep[[#This Row],[volume_D_BA]]*df_mep[[#This Row],[open_D_BA]]</f>
        <v>0</v>
      </c>
      <c r="N113" s="3">
        <f>IFERROR(df_mep[[#This Row],[ask_BA]]/df_mep[[#This Row],[bid_D_BA]],750)</f>
        <v>750</v>
      </c>
      <c r="O113" s="3">
        <f>IFERROR(df_mep[[#This Row],[bid_BA]]/df_mep[[#This Row],[ask_D_BA]],800)</f>
        <v>800</v>
      </c>
      <c r="P113" s="37">
        <f>MIN(1-df_mep[[#This Row],[MEP_compra_ARS]]/MEDIAN(N:N),100%)</f>
        <v>0</v>
      </c>
      <c r="Q113" s="38">
        <f>df_mep[[#This Row],[MEP_compra_USD]]/MEDIAN(O:O)-1</f>
        <v>0</v>
      </c>
      <c r="R113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13" s="38">
        <f>ABS(df_mep[[#This Row],[bid_BA]]-df_mep[[#This Row],[ask_BA]])/AVERAGE(df_mep[[#This Row],[bid_BA]:[ask_BA]])</f>
        <v>1.1509734296559325E-2</v>
      </c>
      <c r="T113" s="36" t="e">
        <f>ABS(df_mep[[#This Row],[bid_D_BA]]-df_mep[[#This Row],[ask_D_BA]])/AVERAGE(df_mep[[#This Row],[bid_D_BA]:[ask_D_BA]])</f>
        <v>#DIV/0!</v>
      </c>
    </row>
    <row r="114" spans="1:20" hidden="1" x14ac:dyDescent="0.25">
      <c r="A114" s="41" t="s">
        <v>389</v>
      </c>
      <c r="B114" s="41" t="s">
        <v>296</v>
      </c>
      <c r="C114" s="4">
        <v>7000</v>
      </c>
      <c r="D114" s="4">
        <v>7195</v>
      </c>
      <c r="E114" s="4">
        <v>7163.5</v>
      </c>
      <c r="I114" s="5">
        <v>512</v>
      </c>
      <c r="J114" s="5">
        <f>df_mep[[#This Row],[volume_BA]]*df_mep[[#This Row],[open_BA]]</f>
        <v>3584000</v>
      </c>
      <c r="L114" s="5">
        <f>df_mep[[#This Row],[volume_D_BA]]*df_mep[[#This Row],[open_D_BA]]</f>
        <v>0</v>
      </c>
      <c r="N114" s="3">
        <f>IFERROR(df_mep[[#This Row],[ask_BA]]/df_mep[[#This Row],[bid_D_BA]],750)</f>
        <v>750</v>
      </c>
      <c r="O114" s="3">
        <f>IFERROR(df_mep[[#This Row],[bid_BA]]/df_mep[[#This Row],[ask_D_BA]],800)</f>
        <v>800</v>
      </c>
      <c r="P114" s="37">
        <f>MIN(1-df_mep[[#This Row],[MEP_compra_ARS]]/MEDIAN(N:N),100%)</f>
        <v>0</v>
      </c>
      <c r="Q114" s="38">
        <f>df_mep[[#This Row],[MEP_compra_USD]]/MEDIAN(O:O)-1</f>
        <v>0</v>
      </c>
      <c r="R114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14" s="38">
        <f>ABS(df_mep[[#This Row],[bid_BA]]-df_mep[[#This Row],[ask_BA]])/AVERAGE(df_mep[[#This Row],[bid_BA]:[ask_BA]])</f>
        <v>4.3876449489849215E-3</v>
      </c>
      <c r="T114" s="36" t="e">
        <f>ABS(df_mep[[#This Row],[bid_D_BA]]-df_mep[[#This Row],[ask_D_BA]])/AVERAGE(df_mep[[#This Row],[bid_D_BA]:[ask_D_BA]])</f>
        <v>#DIV/0!</v>
      </c>
    </row>
    <row r="115" spans="1:20" hidden="1" x14ac:dyDescent="0.25">
      <c r="A115" s="41" t="s">
        <v>151</v>
      </c>
      <c r="B115" s="41" t="s">
        <v>296</v>
      </c>
      <c r="C115" s="4">
        <v>8220</v>
      </c>
      <c r="D115" s="4">
        <v>8612.5</v>
      </c>
      <c r="E115" s="4">
        <v>8594</v>
      </c>
      <c r="I115" s="5">
        <v>1047</v>
      </c>
      <c r="J115" s="5">
        <f>df_mep[[#This Row],[volume_BA]]*df_mep[[#This Row],[open_BA]]</f>
        <v>8606340</v>
      </c>
      <c r="L115" s="5">
        <f>df_mep[[#This Row],[volume_D_BA]]*df_mep[[#This Row],[open_D_BA]]</f>
        <v>0</v>
      </c>
      <c r="N115" s="3">
        <f>IFERROR(df_mep[[#This Row],[ask_BA]]/df_mep[[#This Row],[bid_D_BA]],750)</f>
        <v>750</v>
      </c>
      <c r="O115" s="3">
        <f>IFERROR(df_mep[[#This Row],[bid_BA]]/df_mep[[#This Row],[ask_D_BA]],800)</f>
        <v>800</v>
      </c>
      <c r="P115" s="37">
        <f>MIN(1-df_mep[[#This Row],[MEP_compra_ARS]]/MEDIAN(N:N),100%)</f>
        <v>0</v>
      </c>
      <c r="Q115" s="38">
        <f>df_mep[[#This Row],[MEP_compra_USD]]/MEDIAN(O:O)-1</f>
        <v>0</v>
      </c>
      <c r="R115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15" s="38">
        <f>ABS(df_mep[[#This Row],[bid_BA]]-df_mep[[#This Row],[ask_BA]])/AVERAGE(df_mep[[#This Row],[bid_BA]:[ask_BA]])</f>
        <v>2.1503501583703833E-3</v>
      </c>
      <c r="T115" s="36" t="e">
        <f>ABS(df_mep[[#This Row],[bid_D_BA]]-df_mep[[#This Row],[ask_D_BA]])/AVERAGE(df_mep[[#This Row],[bid_D_BA]:[ask_D_BA]])</f>
        <v>#DIV/0!</v>
      </c>
    </row>
    <row r="116" spans="1:20" hidden="1" x14ac:dyDescent="0.25">
      <c r="A116" s="41" t="s">
        <v>390</v>
      </c>
      <c r="B116" s="41" t="s">
        <v>296</v>
      </c>
      <c r="C116" s="4">
        <v>18182.5</v>
      </c>
      <c r="D116" s="4">
        <v>19086</v>
      </c>
      <c r="E116" s="4">
        <v>18832</v>
      </c>
      <c r="I116" s="5">
        <v>18</v>
      </c>
      <c r="J116" s="5">
        <f>df_mep[[#This Row],[volume_BA]]*df_mep[[#This Row],[open_BA]]</f>
        <v>327285</v>
      </c>
      <c r="L116" s="5">
        <f>df_mep[[#This Row],[volume_D_BA]]*df_mep[[#This Row],[open_D_BA]]</f>
        <v>0</v>
      </c>
      <c r="N116" s="3">
        <f>IFERROR(df_mep[[#This Row],[ask_BA]]/df_mep[[#This Row],[bid_D_BA]],750)</f>
        <v>750</v>
      </c>
      <c r="O116" s="3">
        <f>IFERROR(df_mep[[#This Row],[bid_BA]]/df_mep[[#This Row],[ask_D_BA]],800)</f>
        <v>800</v>
      </c>
      <c r="P116" s="37">
        <f>MIN(1-df_mep[[#This Row],[MEP_compra_ARS]]/MEDIAN(N:N),100%)</f>
        <v>0</v>
      </c>
      <c r="Q116" s="38">
        <f>df_mep[[#This Row],[MEP_compra_USD]]/MEDIAN(O:O)-1</f>
        <v>0</v>
      </c>
      <c r="R116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16" s="38">
        <f>ABS(df_mep[[#This Row],[bid_BA]]-df_mep[[#This Row],[ask_BA]])/AVERAGE(df_mep[[#This Row],[bid_BA]:[ask_BA]])</f>
        <v>1.339733108286302E-2</v>
      </c>
      <c r="T116" s="36" t="e">
        <f>ABS(df_mep[[#This Row],[bid_D_BA]]-df_mep[[#This Row],[ask_D_BA]])/AVERAGE(df_mep[[#This Row],[bid_D_BA]:[ask_D_BA]])</f>
        <v>#DIV/0!</v>
      </c>
    </row>
    <row r="117" spans="1:20" hidden="1" x14ac:dyDescent="0.25">
      <c r="A117" s="41" t="s">
        <v>391</v>
      </c>
      <c r="B117" s="41" t="s">
        <v>296</v>
      </c>
      <c r="C117" s="4">
        <v>859</v>
      </c>
      <c r="D117" s="4">
        <v>874.5</v>
      </c>
      <c r="E117" s="4">
        <v>864</v>
      </c>
      <c r="I117" s="5">
        <v>2064</v>
      </c>
      <c r="J117" s="5">
        <f>df_mep[[#This Row],[volume_BA]]*df_mep[[#This Row],[open_BA]]</f>
        <v>1772976</v>
      </c>
      <c r="L117" s="5">
        <f>df_mep[[#This Row],[volume_D_BA]]*df_mep[[#This Row],[open_D_BA]]</f>
        <v>0</v>
      </c>
      <c r="N117" s="3">
        <f>IFERROR(df_mep[[#This Row],[ask_BA]]/df_mep[[#This Row],[bid_D_BA]],750)</f>
        <v>750</v>
      </c>
      <c r="O117" s="3">
        <f>IFERROR(df_mep[[#This Row],[bid_BA]]/df_mep[[#This Row],[ask_D_BA]],800)</f>
        <v>800</v>
      </c>
      <c r="P117" s="37">
        <f>MIN(1-df_mep[[#This Row],[MEP_compra_ARS]]/MEDIAN(N:N),100%)</f>
        <v>0</v>
      </c>
      <c r="Q117" s="38">
        <f>df_mep[[#This Row],[MEP_compra_USD]]/MEDIAN(O:O)-1</f>
        <v>0</v>
      </c>
      <c r="R117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17" s="38">
        <f>ABS(df_mep[[#This Row],[bid_BA]]-df_mep[[#This Row],[ask_BA]])/AVERAGE(df_mep[[#This Row],[bid_BA]:[ask_BA]])</f>
        <v>1.2079378774805867E-2</v>
      </c>
      <c r="T117" s="36" t="e">
        <f>ABS(df_mep[[#This Row],[bid_D_BA]]-df_mep[[#This Row],[ask_D_BA]])/AVERAGE(df_mep[[#This Row],[bid_D_BA]:[ask_D_BA]])</f>
        <v>#DIV/0!</v>
      </c>
    </row>
    <row r="118" spans="1:20" hidden="1" x14ac:dyDescent="0.25">
      <c r="A118" s="41" t="s">
        <v>392</v>
      </c>
      <c r="B118" s="41" t="s">
        <v>296</v>
      </c>
      <c r="C118" s="4">
        <v>3036</v>
      </c>
      <c r="D118" s="4">
        <v>3229</v>
      </c>
      <c r="E118" s="4">
        <v>3200</v>
      </c>
      <c r="I118" s="5">
        <v>21</v>
      </c>
      <c r="J118" s="5">
        <f>df_mep[[#This Row],[volume_BA]]*df_mep[[#This Row],[open_BA]]</f>
        <v>63756</v>
      </c>
      <c r="L118" s="5">
        <f>df_mep[[#This Row],[volume_D_BA]]*df_mep[[#This Row],[open_D_BA]]</f>
        <v>0</v>
      </c>
      <c r="N118" s="3">
        <f>IFERROR(df_mep[[#This Row],[ask_BA]]/df_mep[[#This Row],[bid_D_BA]],750)</f>
        <v>750</v>
      </c>
      <c r="O118" s="3">
        <f>IFERROR(df_mep[[#This Row],[bid_BA]]/df_mep[[#This Row],[ask_D_BA]],800)</f>
        <v>800</v>
      </c>
      <c r="P118" s="37">
        <f>MIN(1-df_mep[[#This Row],[MEP_compra_ARS]]/MEDIAN(N:N),100%)</f>
        <v>0</v>
      </c>
      <c r="Q118" s="38">
        <f>df_mep[[#This Row],[MEP_compra_USD]]/MEDIAN(O:O)-1</f>
        <v>0</v>
      </c>
      <c r="R118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18" s="38">
        <f>ABS(df_mep[[#This Row],[bid_BA]]-df_mep[[#This Row],[ask_BA]])/AVERAGE(df_mep[[#This Row],[bid_BA]:[ask_BA]])</f>
        <v>9.0216207808368337E-3</v>
      </c>
      <c r="T118" s="36" t="e">
        <f>ABS(df_mep[[#This Row],[bid_D_BA]]-df_mep[[#This Row],[ask_D_BA]])/AVERAGE(df_mep[[#This Row],[bid_D_BA]:[ask_D_BA]])</f>
        <v>#DIV/0!</v>
      </c>
    </row>
    <row r="119" spans="1:20" hidden="1" x14ac:dyDescent="0.25">
      <c r="A119" s="41" t="s">
        <v>155</v>
      </c>
      <c r="B119" s="41" t="s">
        <v>296</v>
      </c>
      <c r="C119" s="4">
        <v>14100</v>
      </c>
      <c r="D119" s="4">
        <v>14637.5</v>
      </c>
      <c r="E119" s="4">
        <v>14611.5</v>
      </c>
      <c r="I119" s="5">
        <v>5590</v>
      </c>
      <c r="J119" s="5">
        <f>df_mep[[#This Row],[volume_BA]]*df_mep[[#This Row],[open_BA]]</f>
        <v>78819000</v>
      </c>
      <c r="L119" s="5">
        <f>df_mep[[#This Row],[volume_D_BA]]*df_mep[[#This Row],[open_D_BA]]</f>
        <v>0</v>
      </c>
      <c r="N119" s="3">
        <f>IFERROR(df_mep[[#This Row],[ask_BA]]/df_mep[[#This Row],[bid_D_BA]],750)</f>
        <v>750</v>
      </c>
      <c r="O119" s="3">
        <f>IFERROR(df_mep[[#This Row],[bid_BA]]/df_mep[[#This Row],[ask_D_BA]],800)</f>
        <v>800</v>
      </c>
      <c r="P119" s="37">
        <f>MIN(1-df_mep[[#This Row],[MEP_compra_ARS]]/MEDIAN(N:N),100%)</f>
        <v>0</v>
      </c>
      <c r="Q119" s="38">
        <f>df_mep[[#This Row],[MEP_compra_USD]]/MEDIAN(O:O)-1</f>
        <v>0</v>
      </c>
      <c r="R119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19" s="38">
        <f>ABS(df_mep[[#This Row],[bid_BA]]-df_mep[[#This Row],[ask_BA]])/AVERAGE(df_mep[[#This Row],[bid_BA]:[ask_BA]])</f>
        <v>1.7778385585831993E-3</v>
      </c>
      <c r="T119" s="36" t="e">
        <f>ABS(df_mep[[#This Row],[bid_D_BA]]-df_mep[[#This Row],[ask_D_BA]])/AVERAGE(df_mep[[#This Row],[bid_D_BA]:[ask_D_BA]])</f>
        <v>#DIV/0!</v>
      </c>
    </row>
    <row r="120" spans="1:20" hidden="1" x14ac:dyDescent="0.25">
      <c r="A120" s="41" t="s">
        <v>393</v>
      </c>
      <c r="B120" s="41" t="s">
        <v>296</v>
      </c>
      <c r="C120" s="4">
        <v>5346</v>
      </c>
      <c r="D120" s="4">
        <v>5610</v>
      </c>
      <c r="E120" s="4">
        <v>5584</v>
      </c>
      <c r="I120" s="5">
        <v>208</v>
      </c>
      <c r="J120" s="5">
        <f>df_mep[[#This Row],[volume_BA]]*df_mep[[#This Row],[open_BA]]</f>
        <v>1111968</v>
      </c>
      <c r="L120" s="5">
        <f>df_mep[[#This Row],[volume_D_BA]]*df_mep[[#This Row],[open_D_BA]]</f>
        <v>0</v>
      </c>
      <c r="N120" s="3">
        <f>IFERROR(df_mep[[#This Row],[ask_BA]]/df_mep[[#This Row],[bid_D_BA]],750)</f>
        <v>750</v>
      </c>
      <c r="O120" s="3">
        <f>IFERROR(df_mep[[#This Row],[bid_BA]]/df_mep[[#This Row],[ask_D_BA]],800)</f>
        <v>800</v>
      </c>
      <c r="P120" s="37">
        <f>MIN(1-df_mep[[#This Row],[MEP_compra_ARS]]/MEDIAN(N:N),100%)</f>
        <v>0</v>
      </c>
      <c r="Q120" s="38">
        <f>df_mep[[#This Row],[MEP_compra_USD]]/MEDIAN(O:O)-1</f>
        <v>0</v>
      </c>
      <c r="R120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20" s="38">
        <f>ABS(df_mep[[#This Row],[bid_BA]]-df_mep[[#This Row],[ask_BA]])/AVERAGE(df_mep[[#This Row],[bid_BA]:[ask_BA]])</f>
        <v>4.6453457209219224E-3</v>
      </c>
      <c r="T120" s="36" t="e">
        <f>ABS(df_mep[[#This Row],[bid_D_BA]]-df_mep[[#This Row],[ask_D_BA]])/AVERAGE(df_mep[[#This Row],[bid_D_BA]:[ask_D_BA]])</f>
        <v>#DIV/0!</v>
      </c>
    </row>
    <row r="121" spans="1:20" hidden="1" x14ac:dyDescent="0.25">
      <c r="A121" s="41" t="s">
        <v>394</v>
      </c>
      <c r="B121" s="41" t="s">
        <v>296</v>
      </c>
      <c r="C121" s="4">
        <v>7333.5</v>
      </c>
      <c r="D121" s="4">
        <v>7768</v>
      </c>
      <c r="E121" s="4">
        <v>7702</v>
      </c>
      <c r="I121" s="5">
        <v>18</v>
      </c>
      <c r="J121" s="5">
        <f>df_mep[[#This Row],[volume_BA]]*df_mep[[#This Row],[open_BA]]</f>
        <v>132003</v>
      </c>
      <c r="L121" s="5">
        <f>df_mep[[#This Row],[volume_D_BA]]*df_mep[[#This Row],[open_D_BA]]</f>
        <v>0</v>
      </c>
      <c r="N121" s="3">
        <f>IFERROR(df_mep[[#This Row],[ask_BA]]/df_mep[[#This Row],[bid_D_BA]],750)</f>
        <v>750</v>
      </c>
      <c r="O121" s="3">
        <f>IFERROR(df_mep[[#This Row],[bid_BA]]/df_mep[[#This Row],[ask_D_BA]],800)</f>
        <v>800</v>
      </c>
      <c r="P121" s="37">
        <f>MIN(1-df_mep[[#This Row],[MEP_compra_ARS]]/MEDIAN(N:N),100%)</f>
        <v>0</v>
      </c>
      <c r="Q121" s="38">
        <f>df_mep[[#This Row],[MEP_compra_USD]]/MEDIAN(O:O)-1</f>
        <v>0</v>
      </c>
      <c r="R121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21" s="38">
        <f>ABS(df_mep[[#This Row],[bid_BA]]-df_mep[[#This Row],[ask_BA]])/AVERAGE(df_mep[[#This Row],[bid_BA]:[ask_BA]])</f>
        <v>8.532643826761473E-3</v>
      </c>
      <c r="T121" s="36" t="e">
        <f>ABS(df_mep[[#This Row],[bid_D_BA]]-df_mep[[#This Row],[ask_D_BA]])/AVERAGE(df_mep[[#This Row],[bid_D_BA]:[ask_D_BA]])</f>
        <v>#DIV/0!</v>
      </c>
    </row>
    <row r="122" spans="1:20" hidden="1" x14ac:dyDescent="0.25">
      <c r="A122" s="41" t="s">
        <v>395</v>
      </c>
      <c r="B122" s="41" t="s">
        <v>296</v>
      </c>
      <c r="C122" s="4">
        <v>8036</v>
      </c>
      <c r="D122" s="4">
        <v>8419.5</v>
      </c>
      <c r="E122" s="4">
        <v>8290</v>
      </c>
      <c r="I122" s="5">
        <v>128</v>
      </c>
      <c r="J122" s="5">
        <f>df_mep[[#This Row],[volume_BA]]*df_mep[[#This Row],[open_BA]]</f>
        <v>1028608</v>
      </c>
      <c r="L122" s="5">
        <f>df_mep[[#This Row],[volume_D_BA]]*df_mep[[#This Row],[open_D_BA]]</f>
        <v>0</v>
      </c>
      <c r="N122" s="3">
        <f>IFERROR(df_mep[[#This Row],[ask_BA]]/df_mep[[#This Row],[bid_D_BA]],750)</f>
        <v>750</v>
      </c>
      <c r="O122" s="3">
        <f>IFERROR(df_mep[[#This Row],[bid_BA]]/df_mep[[#This Row],[ask_D_BA]],800)</f>
        <v>800</v>
      </c>
      <c r="P122" s="37">
        <f>MIN(1-df_mep[[#This Row],[MEP_compra_ARS]]/MEDIAN(N:N),100%)</f>
        <v>0</v>
      </c>
      <c r="Q122" s="38">
        <f>df_mep[[#This Row],[MEP_compra_USD]]/MEDIAN(O:O)-1</f>
        <v>0</v>
      </c>
      <c r="R122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22" s="38">
        <f>ABS(df_mep[[#This Row],[bid_BA]]-df_mep[[#This Row],[ask_BA]])/AVERAGE(df_mep[[#This Row],[bid_BA]:[ask_BA]])</f>
        <v>1.5500164577037016E-2</v>
      </c>
      <c r="T122" s="36" t="e">
        <f>ABS(df_mep[[#This Row],[bid_D_BA]]-df_mep[[#This Row],[ask_D_BA]])/AVERAGE(df_mep[[#This Row],[bid_D_BA]:[ask_D_BA]])</f>
        <v>#DIV/0!</v>
      </c>
    </row>
    <row r="123" spans="1:20" hidden="1" x14ac:dyDescent="0.25">
      <c r="A123" s="41" t="s">
        <v>396</v>
      </c>
      <c r="B123" s="41" t="s">
        <v>296</v>
      </c>
      <c r="C123" s="4">
        <v>28266.5</v>
      </c>
      <c r="D123" s="4">
        <v>30514</v>
      </c>
      <c r="E123" s="4">
        <v>30302.5</v>
      </c>
      <c r="I123" s="5">
        <v>0</v>
      </c>
      <c r="J123" s="5">
        <f>df_mep[[#This Row],[volume_BA]]*df_mep[[#This Row],[open_BA]]</f>
        <v>0</v>
      </c>
      <c r="L123" s="5">
        <f>df_mep[[#This Row],[volume_D_BA]]*df_mep[[#This Row],[open_D_BA]]</f>
        <v>0</v>
      </c>
      <c r="N123" s="3">
        <f>IFERROR(df_mep[[#This Row],[ask_BA]]/df_mep[[#This Row],[bid_D_BA]],750)</f>
        <v>750</v>
      </c>
      <c r="O123" s="3">
        <f>IFERROR(df_mep[[#This Row],[bid_BA]]/df_mep[[#This Row],[ask_D_BA]],800)</f>
        <v>800</v>
      </c>
      <c r="P123" s="37">
        <f>MIN(1-df_mep[[#This Row],[MEP_compra_ARS]]/MEDIAN(N:N),100%)</f>
        <v>0</v>
      </c>
      <c r="Q123" s="38">
        <f>df_mep[[#This Row],[MEP_compra_USD]]/MEDIAN(O:O)-1</f>
        <v>0</v>
      </c>
      <c r="R123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23" s="38">
        <f>ABS(df_mep[[#This Row],[bid_BA]]-df_mep[[#This Row],[ask_BA]])/AVERAGE(df_mep[[#This Row],[bid_BA]:[ask_BA]])</f>
        <v>6.9553492884332378E-3</v>
      </c>
      <c r="T123" s="36" t="e">
        <f>ABS(df_mep[[#This Row],[bid_D_BA]]-df_mep[[#This Row],[ask_D_BA]])/AVERAGE(df_mep[[#This Row],[bid_D_BA]:[ask_D_BA]])</f>
        <v>#DIV/0!</v>
      </c>
    </row>
    <row r="124" spans="1:20" hidden="1" x14ac:dyDescent="0.25">
      <c r="A124" s="41" t="s">
        <v>397</v>
      </c>
      <c r="B124" s="41" t="s">
        <v>296</v>
      </c>
      <c r="C124" s="4">
        <v>1730.5</v>
      </c>
      <c r="D124" s="4">
        <v>1830</v>
      </c>
      <c r="E124" s="4">
        <v>1814</v>
      </c>
      <c r="I124" s="5">
        <v>283</v>
      </c>
      <c r="J124" s="5">
        <f>df_mep[[#This Row],[volume_BA]]*df_mep[[#This Row],[open_BA]]</f>
        <v>489731.5</v>
      </c>
      <c r="L124" s="5">
        <f>df_mep[[#This Row],[volume_D_BA]]*df_mep[[#This Row],[open_D_BA]]</f>
        <v>0</v>
      </c>
      <c r="N124" s="3">
        <f>IFERROR(df_mep[[#This Row],[ask_BA]]/df_mep[[#This Row],[bid_D_BA]],750)</f>
        <v>750</v>
      </c>
      <c r="O124" s="3">
        <f>IFERROR(df_mep[[#This Row],[bid_BA]]/df_mep[[#This Row],[ask_D_BA]],800)</f>
        <v>800</v>
      </c>
      <c r="P124" s="37">
        <f>MIN(1-df_mep[[#This Row],[MEP_compra_ARS]]/MEDIAN(N:N),100%)</f>
        <v>0</v>
      </c>
      <c r="Q124" s="38">
        <f>df_mep[[#This Row],[MEP_compra_USD]]/MEDIAN(O:O)-1</f>
        <v>0</v>
      </c>
      <c r="R124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24" s="38">
        <f>ABS(df_mep[[#This Row],[bid_BA]]-df_mep[[#This Row],[ask_BA]])/AVERAGE(df_mep[[#This Row],[bid_BA]:[ask_BA]])</f>
        <v>8.7815587266739849E-3</v>
      </c>
      <c r="T124" s="36" t="e">
        <f>ABS(df_mep[[#This Row],[bid_D_BA]]-df_mep[[#This Row],[ask_D_BA]])/AVERAGE(df_mep[[#This Row],[bid_D_BA]:[ask_D_BA]])</f>
        <v>#DIV/0!</v>
      </c>
    </row>
    <row r="125" spans="1:20" hidden="1" x14ac:dyDescent="0.25">
      <c r="A125" s="41" t="s">
        <v>161</v>
      </c>
      <c r="B125" s="41" t="s">
        <v>296</v>
      </c>
      <c r="C125" s="4">
        <v>4680</v>
      </c>
      <c r="D125" s="4">
        <v>4947</v>
      </c>
      <c r="E125" s="4">
        <v>4895</v>
      </c>
      <c r="I125" s="5">
        <v>68</v>
      </c>
      <c r="J125" s="5">
        <f>df_mep[[#This Row],[volume_BA]]*df_mep[[#This Row],[open_BA]]</f>
        <v>318240</v>
      </c>
      <c r="L125" s="5">
        <f>df_mep[[#This Row],[volume_D_BA]]*df_mep[[#This Row],[open_D_BA]]</f>
        <v>0</v>
      </c>
      <c r="N125" s="3">
        <f>IFERROR(df_mep[[#This Row],[ask_BA]]/df_mep[[#This Row],[bid_D_BA]],750)</f>
        <v>750</v>
      </c>
      <c r="O125" s="3">
        <f>IFERROR(df_mep[[#This Row],[bid_BA]]/df_mep[[#This Row],[ask_D_BA]],800)</f>
        <v>800</v>
      </c>
      <c r="P125" s="37">
        <f>MIN(1-df_mep[[#This Row],[MEP_compra_ARS]]/MEDIAN(N:N),100%)</f>
        <v>0</v>
      </c>
      <c r="Q125" s="38">
        <f>df_mep[[#This Row],[MEP_compra_USD]]/MEDIAN(O:O)-1</f>
        <v>0</v>
      </c>
      <c r="R125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25" s="38">
        <f>ABS(df_mep[[#This Row],[bid_BA]]-df_mep[[#This Row],[ask_BA]])/AVERAGE(df_mep[[#This Row],[bid_BA]:[ask_BA]])</f>
        <v>1.0566957935378988E-2</v>
      </c>
      <c r="T125" s="36" t="e">
        <f>ABS(df_mep[[#This Row],[bid_D_BA]]-df_mep[[#This Row],[ask_D_BA]])/AVERAGE(df_mep[[#This Row],[bid_D_BA]:[ask_D_BA]])</f>
        <v>#DIV/0!</v>
      </c>
    </row>
    <row r="126" spans="1:20" hidden="1" x14ac:dyDescent="0.25">
      <c r="A126" s="41" t="s">
        <v>398</v>
      </c>
      <c r="B126" s="41" t="s">
        <v>296</v>
      </c>
      <c r="C126" s="4">
        <v>14086.5</v>
      </c>
      <c r="D126" s="4">
        <v>14000</v>
      </c>
      <c r="E126" s="4">
        <v>13898</v>
      </c>
      <c r="I126" s="5">
        <v>211</v>
      </c>
      <c r="J126" s="5">
        <f>df_mep[[#This Row],[volume_BA]]*df_mep[[#This Row],[open_BA]]</f>
        <v>2972251.5</v>
      </c>
      <c r="L126" s="5">
        <f>df_mep[[#This Row],[volume_D_BA]]*df_mep[[#This Row],[open_D_BA]]</f>
        <v>0</v>
      </c>
      <c r="N126" s="3">
        <f>IFERROR(df_mep[[#This Row],[ask_BA]]/df_mep[[#This Row],[bid_D_BA]],750)</f>
        <v>750</v>
      </c>
      <c r="O126" s="3">
        <f>IFERROR(df_mep[[#This Row],[bid_BA]]/df_mep[[#This Row],[ask_D_BA]],800)</f>
        <v>800</v>
      </c>
      <c r="P126" s="37">
        <f>MIN(1-df_mep[[#This Row],[MEP_compra_ARS]]/MEDIAN(N:N),100%)</f>
        <v>0</v>
      </c>
      <c r="Q126" s="38">
        <f>df_mep[[#This Row],[MEP_compra_USD]]/MEDIAN(O:O)-1</f>
        <v>0</v>
      </c>
      <c r="R126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26" s="38">
        <f>ABS(df_mep[[#This Row],[bid_BA]]-df_mep[[#This Row],[ask_BA]])/AVERAGE(df_mep[[#This Row],[bid_BA]:[ask_BA]])</f>
        <v>7.3123521399383468E-3</v>
      </c>
      <c r="T126" s="36" t="e">
        <f>ABS(df_mep[[#This Row],[bid_D_BA]]-df_mep[[#This Row],[ask_D_BA]])/AVERAGE(df_mep[[#This Row],[bid_D_BA]:[ask_D_BA]])</f>
        <v>#DIV/0!</v>
      </c>
    </row>
    <row r="127" spans="1:20" hidden="1" x14ac:dyDescent="0.25">
      <c r="A127" s="41" t="s">
        <v>399</v>
      </c>
      <c r="B127" s="41" t="s">
        <v>296</v>
      </c>
      <c r="C127" s="4">
        <v>17369.5</v>
      </c>
      <c r="D127" s="4">
        <v>19032.5</v>
      </c>
      <c r="E127" s="4">
        <v>18903.5</v>
      </c>
      <c r="I127" s="5">
        <v>0</v>
      </c>
      <c r="J127" s="5">
        <f>df_mep[[#This Row],[volume_BA]]*df_mep[[#This Row],[open_BA]]</f>
        <v>0</v>
      </c>
      <c r="L127" s="5">
        <f>df_mep[[#This Row],[volume_D_BA]]*df_mep[[#This Row],[open_D_BA]]</f>
        <v>0</v>
      </c>
      <c r="N127" s="3">
        <f>IFERROR(df_mep[[#This Row],[ask_BA]]/df_mep[[#This Row],[bid_D_BA]],750)</f>
        <v>750</v>
      </c>
      <c r="O127" s="3">
        <f>IFERROR(df_mep[[#This Row],[bid_BA]]/df_mep[[#This Row],[ask_D_BA]],800)</f>
        <v>800</v>
      </c>
      <c r="P127" s="37">
        <f>MIN(1-df_mep[[#This Row],[MEP_compra_ARS]]/MEDIAN(N:N),100%)</f>
        <v>0</v>
      </c>
      <c r="Q127" s="38">
        <f>df_mep[[#This Row],[MEP_compra_USD]]/MEDIAN(O:O)-1</f>
        <v>0</v>
      </c>
      <c r="R127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27" s="38">
        <f>ABS(df_mep[[#This Row],[bid_BA]]-df_mep[[#This Row],[ask_BA]])/AVERAGE(df_mep[[#This Row],[bid_BA]:[ask_BA]])</f>
        <v>6.8009278785322652E-3</v>
      </c>
      <c r="T127" s="36" t="e">
        <f>ABS(df_mep[[#This Row],[bid_D_BA]]-df_mep[[#This Row],[ask_D_BA]])/AVERAGE(df_mep[[#This Row],[bid_D_BA]:[ask_D_BA]])</f>
        <v>#DIV/0!</v>
      </c>
    </row>
    <row r="128" spans="1:20" hidden="1" x14ac:dyDescent="0.25">
      <c r="A128" s="41" t="s">
        <v>400</v>
      </c>
      <c r="B128" s="41" t="s">
        <v>296</v>
      </c>
      <c r="C128" s="4">
        <v>6682</v>
      </c>
      <c r="D128" s="4">
        <v>6936</v>
      </c>
      <c r="E128" s="4">
        <v>6876.5</v>
      </c>
      <c r="I128" s="5">
        <v>220</v>
      </c>
      <c r="J128" s="5">
        <f>df_mep[[#This Row],[volume_BA]]*df_mep[[#This Row],[open_BA]]</f>
        <v>1470040</v>
      </c>
      <c r="L128" s="5">
        <f>df_mep[[#This Row],[volume_D_BA]]*df_mep[[#This Row],[open_D_BA]]</f>
        <v>0</v>
      </c>
      <c r="N128" s="3">
        <f>IFERROR(df_mep[[#This Row],[ask_BA]]/df_mep[[#This Row],[bid_D_BA]],750)</f>
        <v>750</v>
      </c>
      <c r="O128" s="3">
        <f>IFERROR(df_mep[[#This Row],[bid_BA]]/df_mep[[#This Row],[ask_D_BA]],800)</f>
        <v>800</v>
      </c>
      <c r="P128" s="37">
        <f>MIN(1-df_mep[[#This Row],[MEP_compra_ARS]]/MEDIAN(N:N),100%)</f>
        <v>0</v>
      </c>
      <c r="Q128" s="38">
        <f>df_mep[[#This Row],[MEP_compra_USD]]/MEDIAN(O:O)-1</f>
        <v>0</v>
      </c>
      <c r="R128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28" s="38">
        <f>ABS(df_mep[[#This Row],[bid_BA]]-df_mep[[#This Row],[ask_BA]])/AVERAGE(df_mep[[#This Row],[bid_BA]:[ask_BA]])</f>
        <v>8.615384615384615E-3</v>
      </c>
      <c r="T128" s="36" t="e">
        <f>ABS(df_mep[[#This Row],[bid_D_BA]]-df_mep[[#This Row],[ask_D_BA]])/AVERAGE(df_mep[[#This Row],[bid_D_BA]:[ask_D_BA]])</f>
        <v>#DIV/0!</v>
      </c>
    </row>
    <row r="129" spans="1:20" hidden="1" x14ac:dyDescent="0.25">
      <c r="A129" s="41" t="s">
        <v>265</v>
      </c>
      <c r="B129" s="41" t="s">
        <v>266</v>
      </c>
      <c r="C129" s="4">
        <v>15691.5</v>
      </c>
      <c r="D129" s="4">
        <v>16268.5</v>
      </c>
      <c r="E129" s="4">
        <v>16030</v>
      </c>
      <c r="F129" s="34">
        <v>15691.5</v>
      </c>
      <c r="G129" s="34">
        <v>16268.5</v>
      </c>
      <c r="H129" s="34">
        <v>16030</v>
      </c>
      <c r="I129" s="5">
        <v>107</v>
      </c>
      <c r="J129" s="5">
        <f>df_mep[[#This Row],[volume_BA]]*df_mep[[#This Row],[open_BA]]</f>
        <v>1678990.5</v>
      </c>
      <c r="K129" s="5">
        <v>107</v>
      </c>
      <c r="L129" s="5">
        <f>df_mep[[#This Row],[volume_D_BA]]*df_mep[[#This Row],[open_D_BA]]</f>
        <v>1678990.5</v>
      </c>
      <c r="M129" s="3">
        <v>1</v>
      </c>
      <c r="N129" s="3">
        <f>IFERROR(df_mep[[#This Row],[ask_BA]]/df_mep[[#This Row],[bid_D_BA]],750)</f>
        <v>0.98533976703445303</v>
      </c>
      <c r="O129" s="3">
        <f>IFERROR(df_mep[[#This Row],[bid_BA]]/df_mep[[#This Row],[ask_D_BA]],800)</f>
        <v>1.0148783530879601</v>
      </c>
      <c r="P129" s="37">
        <f>MIN(1-df_mep[[#This Row],[MEP_compra_ARS]]/MEDIAN(N:N),100%)</f>
        <v>0.99868621364395405</v>
      </c>
      <c r="Q129" s="38">
        <f>df_mep[[#This Row],[MEP_compra_USD]]/MEDIAN(O:O)-1</f>
        <v>-0.99873140205864008</v>
      </c>
      <c r="R129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29" s="38">
        <f>ABS(df_mep[[#This Row],[bid_BA]]-df_mep[[#This Row],[ask_BA]])/AVERAGE(df_mep[[#This Row],[bid_BA]:[ask_BA]])</f>
        <v>1.4768487700667214E-2</v>
      </c>
      <c r="T129" s="36">
        <f>ABS(df_mep[[#This Row],[bid_D_BA]]-df_mep[[#This Row],[ask_D_BA]])/AVERAGE(df_mep[[#This Row],[bid_D_BA]:[ask_D_BA]])</f>
        <v>1.4768487700667214E-2</v>
      </c>
    </row>
    <row r="130" spans="1:20" hidden="1" x14ac:dyDescent="0.25">
      <c r="A130" s="41" t="s">
        <v>66</v>
      </c>
      <c r="B130" s="41" t="s">
        <v>182</v>
      </c>
      <c r="C130" s="4">
        <v>2346</v>
      </c>
      <c r="D130" s="4">
        <v>2529</v>
      </c>
      <c r="E130" s="4">
        <v>2506</v>
      </c>
      <c r="F130" s="34">
        <v>2346</v>
      </c>
      <c r="G130" s="34">
        <v>2529</v>
      </c>
      <c r="H130" s="34">
        <v>2506</v>
      </c>
      <c r="I130" s="5">
        <v>13837</v>
      </c>
      <c r="J130" s="5">
        <f>df_mep[[#This Row],[volume_BA]]*df_mep[[#This Row],[open_BA]]</f>
        <v>32461602</v>
      </c>
      <c r="K130" s="5">
        <v>13837</v>
      </c>
      <c r="L130" s="5">
        <f>df_mep[[#This Row],[volume_D_BA]]*df_mep[[#This Row],[open_D_BA]]</f>
        <v>32461602</v>
      </c>
      <c r="M130" s="3">
        <v>1</v>
      </c>
      <c r="N130" s="3">
        <f>IFERROR(df_mep[[#This Row],[ask_BA]]/df_mep[[#This Row],[bid_D_BA]],750)</f>
        <v>0.99090549624357449</v>
      </c>
      <c r="O130" s="3">
        <f>IFERROR(df_mep[[#This Row],[bid_BA]]/df_mep[[#This Row],[ask_D_BA]],800)</f>
        <v>1.0091779728651238</v>
      </c>
      <c r="P130" s="37">
        <f>MIN(1-df_mep[[#This Row],[MEP_compra_ARS]]/MEDIAN(N:N),100%)</f>
        <v>0.99867879267167525</v>
      </c>
      <c r="Q130" s="38">
        <f>df_mep[[#This Row],[MEP_compra_USD]]/MEDIAN(O:O)-1</f>
        <v>-0.99873852753391856</v>
      </c>
      <c r="R130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30" s="38">
        <f>ABS(df_mep[[#This Row],[bid_BA]]-df_mep[[#This Row],[ask_BA]])/AVERAGE(df_mep[[#This Row],[bid_BA]:[ask_BA]])</f>
        <v>9.1360476663356512E-3</v>
      </c>
      <c r="T130" s="36">
        <f>ABS(df_mep[[#This Row],[bid_D_BA]]-df_mep[[#This Row],[ask_D_BA]])/AVERAGE(df_mep[[#This Row],[bid_D_BA]:[ask_D_BA]])</f>
        <v>9.1360476663356512E-3</v>
      </c>
    </row>
    <row r="131" spans="1:20" hidden="1" x14ac:dyDescent="0.25">
      <c r="A131" s="41" t="s">
        <v>123</v>
      </c>
      <c r="B131" s="41" t="s">
        <v>124</v>
      </c>
      <c r="C131" s="4">
        <v>7852</v>
      </c>
      <c r="D131" s="4">
        <v>8365</v>
      </c>
      <c r="E131" s="4">
        <v>8251.5</v>
      </c>
      <c r="F131" s="34">
        <v>10.65</v>
      </c>
      <c r="G131" s="34">
        <v>15</v>
      </c>
      <c r="H131" s="34">
        <v>0</v>
      </c>
      <c r="I131" s="5">
        <v>483</v>
      </c>
      <c r="J131" s="5">
        <f>df_mep[[#This Row],[volume_BA]]*df_mep[[#This Row],[open_BA]]</f>
        <v>3792516</v>
      </c>
      <c r="K131" s="5">
        <v>0</v>
      </c>
      <c r="L131" s="5">
        <f>df_mep[[#This Row],[volume_D_BA]]*df_mep[[#This Row],[open_D_BA]]</f>
        <v>0</v>
      </c>
      <c r="M131" s="3">
        <v>737.27699530516429</v>
      </c>
      <c r="N131" s="3">
        <f>IFERROR(df_mep[[#This Row],[ask_BA]]/df_mep[[#This Row],[bid_D_BA]],750)</f>
        <v>550.1</v>
      </c>
      <c r="O131" s="3">
        <f>IFERROR(df_mep[[#This Row],[bid_BA]]/df_mep[[#This Row],[ask_D_BA]],800)</f>
        <v>800</v>
      </c>
      <c r="P131" s="37">
        <f>MIN(1-df_mep[[#This Row],[MEP_compra_ARS]]/MEDIAN(N:N),100%)</f>
        <v>0.26653333333333329</v>
      </c>
      <c r="Q131" s="38">
        <f>df_mep[[#This Row],[MEP_compra_USD]]/MEDIAN(O:O)-1</f>
        <v>0</v>
      </c>
      <c r="R131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31" s="38">
        <f>ABS(df_mep[[#This Row],[bid_BA]]-df_mep[[#This Row],[ask_BA]])/AVERAGE(df_mep[[#This Row],[bid_BA]:[ask_BA]])</f>
        <v>1.366111997111305E-2</v>
      </c>
      <c r="T131" s="36">
        <f>ABS(df_mep[[#This Row],[bid_D_BA]]-df_mep[[#This Row],[ask_D_BA]])/AVERAGE(df_mep[[#This Row],[bid_D_BA]:[ask_D_BA]])</f>
        <v>2</v>
      </c>
    </row>
    <row r="132" spans="1:20" hidden="1" x14ac:dyDescent="0.25">
      <c r="A132" s="41" t="s">
        <v>132</v>
      </c>
      <c r="B132" s="41" t="s">
        <v>414</v>
      </c>
      <c r="C132" s="4">
        <v>10238</v>
      </c>
      <c r="D132" s="4">
        <v>10525</v>
      </c>
      <c r="E132" s="4">
        <v>10470</v>
      </c>
      <c r="F132" s="34">
        <v>13.55</v>
      </c>
      <c r="G132" s="34">
        <v>18.3</v>
      </c>
      <c r="H132" s="34">
        <v>12.8</v>
      </c>
      <c r="I132" s="5">
        <v>54</v>
      </c>
      <c r="J132" s="5">
        <f>df_mep[[#This Row],[volume_BA]]*df_mep[[#This Row],[open_BA]]</f>
        <v>552852</v>
      </c>
      <c r="K132" s="5">
        <v>0</v>
      </c>
      <c r="L132" s="5">
        <f>df_mep[[#This Row],[volume_D_BA]]*df_mep[[#This Row],[open_D_BA]]</f>
        <v>0</v>
      </c>
      <c r="M132" s="3">
        <v>755.5719557195572</v>
      </c>
      <c r="N132" s="3">
        <f>IFERROR(df_mep[[#This Row],[ask_BA]]/df_mep[[#This Row],[bid_D_BA]],750)</f>
        <v>572.13114754098353</v>
      </c>
      <c r="O132" s="3">
        <f>IFERROR(df_mep[[#This Row],[bid_BA]]/df_mep[[#This Row],[ask_D_BA]],800)</f>
        <v>822.265625</v>
      </c>
      <c r="P132" s="37">
        <f>MIN(1-df_mep[[#This Row],[MEP_compra_ARS]]/MEDIAN(N:N),100%)</f>
        <v>0.23715846994535528</v>
      </c>
      <c r="Q132" s="38">
        <f>df_mep[[#This Row],[MEP_compra_USD]]/MEDIAN(O:O)-1</f>
        <v>2.783203125E-2</v>
      </c>
      <c r="R132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32" s="38">
        <f>ABS(df_mep[[#This Row],[bid_BA]]-df_mep[[#This Row],[ask_BA]])/AVERAGE(df_mep[[#This Row],[bid_BA]:[ask_BA]])</f>
        <v>5.2393427006430099E-3</v>
      </c>
      <c r="T132" s="36">
        <f>ABS(df_mep[[#This Row],[bid_D_BA]]-df_mep[[#This Row],[ask_D_BA]])/AVERAGE(df_mep[[#This Row],[bid_D_BA]:[ask_D_BA]])</f>
        <v>0.35369774919614144</v>
      </c>
    </row>
    <row r="133" spans="1:20" hidden="1" x14ac:dyDescent="0.25">
      <c r="A133" s="41" t="s">
        <v>157</v>
      </c>
      <c r="B133" s="41" t="s">
        <v>158</v>
      </c>
      <c r="C133" s="4">
        <v>4539</v>
      </c>
      <c r="D133" s="4">
        <v>4811.5</v>
      </c>
      <c r="E133" s="4">
        <v>4710.5</v>
      </c>
      <c r="F133" s="34">
        <v>6.33</v>
      </c>
      <c r="G133" s="34">
        <v>8</v>
      </c>
      <c r="H133" s="34">
        <v>5.51</v>
      </c>
      <c r="I133" s="5">
        <v>2400</v>
      </c>
      <c r="J133" s="5">
        <f>df_mep[[#This Row],[volume_BA]]*df_mep[[#This Row],[open_BA]]</f>
        <v>10893600</v>
      </c>
      <c r="K133" s="5">
        <v>1</v>
      </c>
      <c r="L133" s="5">
        <f>df_mep[[#This Row],[volume_D_BA]]*df_mep[[#This Row],[open_D_BA]]</f>
        <v>6.33</v>
      </c>
      <c r="M133" s="3">
        <v>717.06161137440756</v>
      </c>
      <c r="N133" s="3">
        <f>IFERROR(df_mep[[#This Row],[ask_BA]]/df_mep[[#This Row],[bid_D_BA]],750)</f>
        <v>588.8125</v>
      </c>
      <c r="O133" s="3">
        <f>IFERROR(df_mep[[#This Row],[bid_BA]]/df_mep[[#This Row],[ask_D_BA]],800)</f>
        <v>873.23049001814888</v>
      </c>
      <c r="P133" s="37">
        <f>MIN(1-df_mep[[#This Row],[MEP_compra_ARS]]/MEDIAN(N:N),100%)</f>
        <v>0.21491666666666664</v>
      </c>
      <c r="Q133" s="38">
        <f>df_mep[[#This Row],[MEP_compra_USD]]/MEDIAN(O:O)-1</f>
        <v>9.1538112522686177E-2</v>
      </c>
      <c r="R133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33" s="38">
        <f>ABS(df_mep[[#This Row],[bid_BA]]-df_mep[[#This Row],[ask_BA]])/AVERAGE(df_mep[[#This Row],[bid_BA]:[ask_BA]])</f>
        <v>2.1214030665826507E-2</v>
      </c>
      <c r="T133" s="36">
        <f>ABS(df_mep[[#This Row],[bid_D_BA]]-df_mep[[#This Row],[ask_D_BA]])/AVERAGE(df_mep[[#This Row],[bid_D_BA]:[ask_D_BA]])</f>
        <v>0.36861584011843085</v>
      </c>
    </row>
    <row r="134" spans="1:20" hidden="1" x14ac:dyDescent="0.25">
      <c r="A134" s="41" t="s">
        <v>197</v>
      </c>
      <c r="B134" s="41" t="s">
        <v>198</v>
      </c>
      <c r="C134" s="4">
        <v>1635</v>
      </c>
      <c r="D134" s="4">
        <v>1700.5</v>
      </c>
      <c r="E134" s="4">
        <v>1685.5</v>
      </c>
      <c r="F134" s="34">
        <v>2.2799999999999998</v>
      </c>
      <c r="G134" s="34">
        <v>2.8</v>
      </c>
      <c r="H134" s="34">
        <v>2.0499999999999998</v>
      </c>
      <c r="I134" s="5">
        <v>1138</v>
      </c>
      <c r="J134" s="5">
        <f>df_mep[[#This Row],[volume_BA]]*df_mep[[#This Row],[open_BA]]</f>
        <v>1860630</v>
      </c>
      <c r="K134" s="5">
        <v>0</v>
      </c>
      <c r="L134" s="5">
        <f>df_mep[[#This Row],[volume_D_BA]]*df_mep[[#This Row],[open_D_BA]]</f>
        <v>0</v>
      </c>
      <c r="M134" s="3">
        <v>717.1052631578948</v>
      </c>
      <c r="N134" s="3">
        <f>IFERROR(df_mep[[#This Row],[ask_BA]]/df_mep[[#This Row],[bid_D_BA]],750)</f>
        <v>601.96428571428578</v>
      </c>
      <c r="O134" s="3">
        <f>IFERROR(df_mep[[#This Row],[bid_BA]]/df_mep[[#This Row],[ask_D_BA]],800)</f>
        <v>829.51219512195132</v>
      </c>
      <c r="P134" s="37">
        <f>MIN(1-df_mep[[#This Row],[MEP_compra_ARS]]/MEDIAN(N:N),100%)</f>
        <v>0.19738095238095232</v>
      </c>
      <c r="Q134" s="38">
        <f>df_mep[[#This Row],[MEP_compra_USD]]/MEDIAN(O:O)-1</f>
        <v>3.6890243902439224E-2</v>
      </c>
      <c r="R134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34" s="38">
        <f>ABS(df_mep[[#This Row],[bid_BA]]-df_mep[[#This Row],[ask_BA]])/AVERAGE(df_mep[[#This Row],[bid_BA]:[ask_BA]])</f>
        <v>8.8600118133490852E-3</v>
      </c>
      <c r="T134" s="36">
        <f>ABS(df_mep[[#This Row],[bid_D_BA]]-df_mep[[#This Row],[ask_D_BA]])/AVERAGE(df_mep[[#This Row],[bid_D_BA]:[ask_D_BA]])</f>
        <v>0.30927835051546393</v>
      </c>
    </row>
    <row r="135" spans="1:20" hidden="1" x14ac:dyDescent="0.25">
      <c r="A135" s="41" t="s">
        <v>142</v>
      </c>
      <c r="B135" s="41" t="s">
        <v>143</v>
      </c>
      <c r="C135" s="4">
        <v>1010</v>
      </c>
      <c r="D135" s="4">
        <v>1047</v>
      </c>
      <c r="E135" s="4">
        <v>1046</v>
      </c>
      <c r="F135" s="34">
        <v>1.49</v>
      </c>
      <c r="G135" s="34">
        <v>1.69</v>
      </c>
      <c r="H135" s="34">
        <v>1.23</v>
      </c>
      <c r="I135" s="5">
        <v>2306</v>
      </c>
      <c r="J135" s="5">
        <f>df_mep[[#This Row],[volume_BA]]*df_mep[[#This Row],[open_BA]]</f>
        <v>2329060</v>
      </c>
      <c r="K135" s="5">
        <v>19</v>
      </c>
      <c r="L135" s="5">
        <f>df_mep[[#This Row],[volume_D_BA]]*df_mep[[#This Row],[open_D_BA]]</f>
        <v>28.31</v>
      </c>
      <c r="M135" s="3">
        <v>677.85234899328862</v>
      </c>
      <c r="N135" s="3">
        <f>IFERROR(df_mep[[#This Row],[ask_BA]]/df_mep[[#This Row],[bid_D_BA]],750)</f>
        <v>618.93491124260356</v>
      </c>
      <c r="O135" s="3">
        <f>IFERROR(df_mep[[#This Row],[bid_BA]]/df_mep[[#This Row],[ask_D_BA]],800)</f>
        <v>851.21951219512198</v>
      </c>
      <c r="P135" s="37">
        <f>MIN(1-df_mep[[#This Row],[MEP_compra_ARS]]/MEDIAN(N:N),100%)</f>
        <v>0.17475345167652856</v>
      </c>
      <c r="Q135" s="38">
        <f>df_mep[[#This Row],[MEP_compra_USD]]/MEDIAN(O:O)-1</f>
        <v>6.4024390243902385E-2</v>
      </c>
      <c r="R135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35" s="38">
        <f>ABS(df_mep[[#This Row],[bid_BA]]-df_mep[[#This Row],[ask_BA]])/AVERAGE(df_mep[[#This Row],[bid_BA]:[ask_BA]])</f>
        <v>9.5556617295747726E-4</v>
      </c>
      <c r="T135" s="36">
        <f>ABS(df_mep[[#This Row],[bid_D_BA]]-df_mep[[#This Row],[ask_D_BA]])/AVERAGE(df_mep[[#This Row],[bid_D_BA]:[ask_D_BA]])</f>
        <v>0.31506849315068491</v>
      </c>
    </row>
    <row r="136" spans="1:20" hidden="1" x14ac:dyDescent="0.25">
      <c r="A136" s="41" t="s">
        <v>135</v>
      </c>
      <c r="B136" s="41" t="s">
        <v>136</v>
      </c>
      <c r="C136" s="4">
        <v>3962.5</v>
      </c>
      <c r="D136" s="4">
        <v>4090.5</v>
      </c>
      <c r="E136" s="4">
        <v>4057.5</v>
      </c>
      <c r="F136" s="34">
        <v>5.05</v>
      </c>
      <c r="G136" s="34">
        <v>6.5</v>
      </c>
      <c r="H136" s="34">
        <v>4.8</v>
      </c>
      <c r="I136" s="5">
        <v>5009</v>
      </c>
      <c r="J136" s="5">
        <f>df_mep[[#This Row],[volume_BA]]*df_mep[[#This Row],[open_BA]]</f>
        <v>19848162.5</v>
      </c>
      <c r="K136" s="5">
        <v>2</v>
      </c>
      <c r="L136" s="5">
        <f>df_mep[[#This Row],[volume_D_BA]]*df_mep[[#This Row],[open_D_BA]]</f>
        <v>10.1</v>
      </c>
      <c r="M136" s="3">
        <v>784.65346534653463</v>
      </c>
      <c r="N136" s="3">
        <f>IFERROR(df_mep[[#This Row],[ask_BA]]/df_mep[[#This Row],[bid_D_BA]],750)</f>
        <v>624.23076923076928</v>
      </c>
      <c r="O136" s="3">
        <f>IFERROR(df_mep[[#This Row],[bid_BA]]/df_mep[[#This Row],[ask_D_BA]],800)</f>
        <v>852.1875</v>
      </c>
      <c r="P136" s="37">
        <f>MIN(1-df_mep[[#This Row],[MEP_compra_ARS]]/MEDIAN(N:N),100%)</f>
        <v>0.16769230769230759</v>
      </c>
      <c r="Q136" s="38">
        <f>df_mep[[#This Row],[MEP_compra_USD]]/MEDIAN(O:O)-1</f>
        <v>6.5234374999999956E-2</v>
      </c>
      <c r="R136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36" s="38">
        <f>ABS(df_mep[[#This Row],[bid_BA]]-df_mep[[#This Row],[ask_BA]])/AVERAGE(df_mep[[#This Row],[bid_BA]:[ask_BA]])</f>
        <v>8.1001472754050081E-3</v>
      </c>
      <c r="T136" s="36">
        <f>ABS(df_mep[[#This Row],[bid_D_BA]]-df_mep[[#This Row],[ask_D_BA]])/AVERAGE(df_mep[[#This Row],[bid_D_BA]:[ask_D_BA]])</f>
        <v>0.30088495575221241</v>
      </c>
    </row>
    <row r="137" spans="1:20" hidden="1" x14ac:dyDescent="0.25">
      <c r="A137" s="41" t="s">
        <v>105</v>
      </c>
      <c r="B137" s="41" t="s">
        <v>106</v>
      </c>
      <c r="C137" s="4">
        <v>4285</v>
      </c>
      <c r="D137" s="4">
        <v>4407</v>
      </c>
      <c r="E137" s="4">
        <v>4352</v>
      </c>
      <c r="F137" s="34">
        <v>5.13</v>
      </c>
      <c r="G137" s="34">
        <v>6.9</v>
      </c>
      <c r="H137" s="34">
        <v>5.29</v>
      </c>
      <c r="I137" s="5">
        <v>3083</v>
      </c>
      <c r="J137" s="5">
        <f>df_mep[[#This Row],[volume_BA]]*df_mep[[#This Row],[open_BA]]</f>
        <v>13210655</v>
      </c>
      <c r="K137" s="5">
        <v>1</v>
      </c>
      <c r="L137" s="5">
        <f>df_mep[[#This Row],[volume_D_BA]]*df_mep[[#This Row],[open_D_BA]]</f>
        <v>5.13</v>
      </c>
      <c r="M137" s="3">
        <v>835.28265107212474</v>
      </c>
      <c r="N137" s="3">
        <f>IFERROR(df_mep[[#This Row],[ask_BA]]/df_mep[[#This Row],[bid_D_BA]],750)</f>
        <v>630.72463768115938</v>
      </c>
      <c r="O137" s="3">
        <f>IFERROR(df_mep[[#This Row],[bid_BA]]/df_mep[[#This Row],[ask_D_BA]],800)</f>
        <v>833.08128544423437</v>
      </c>
      <c r="P137" s="37">
        <f>MIN(1-df_mep[[#This Row],[MEP_compra_ARS]]/MEDIAN(N:N),100%)</f>
        <v>0.15903381642512082</v>
      </c>
      <c r="Q137" s="38">
        <f>df_mep[[#This Row],[MEP_compra_USD]]/MEDIAN(O:O)-1</f>
        <v>4.135160680529304E-2</v>
      </c>
      <c r="R137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37" s="38">
        <f>ABS(df_mep[[#This Row],[bid_BA]]-df_mep[[#This Row],[ask_BA]])/AVERAGE(df_mep[[#This Row],[bid_BA]:[ask_BA]])</f>
        <v>1.2558511245575979E-2</v>
      </c>
      <c r="T137" s="36">
        <f>ABS(df_mep[[#This Row],[bid_D_BA]]-df_mep[[#This Row],[ask_D_BA]])/AVERAGE(df_mep[[#This Row],[bid_D_BA]:[ask_D_BA]])</f>
        <v>0.26415094339622647</v>
      </c>
    </row>
    <row r="138" spans="1:20" hidden="1" x14ac:dyDescent="0.25">
      <c r="A138" s="41" t="s">
        <v>275</v>
      </c>
      <c r="B138" s="41" t="s">
        <v>276</v>
      </c>
      <c r="C138" s="4">
        <v>1366</v>
      </c>
      <c r="D138" s="4">
        <v>1410</v>
      </c>
      <c r="E138" s="4">
        <v>1387</v>
      </c>
      <c r="F138" s="34">
        <v>2</v>
      </c>
      <c r="G138" s="34">
        <v>2.1800000000000002</v>
      </c>
      <c r="H138" s="34">
        <v>1.31</v>
      </c>
      <c r="I138" s="5">
        <v>1876</v>
      </c>
      <c r="J138" s="5">
        <f>df_mep[[#This Row],[volume_BA]]*df_mep[[#This Row],[open_BA]]</f>
        <v>2562616</v>
      </c>
      <c r="K138" s="5">
        <v>0</v>
      </c>
      <c r="L138" s="5">
        <f>df_mep[[#This Row],[volume_D_BA]]*df_mep[[#This Row],[open_D_BA]]</f>
        <v>0</v>
      </c>
      <c r="M138" s="3">
        <v>683</v>
      </c>
      <c r="N138" s="3">
        <f>IFERROR(df_mep[[#This Row],[ask_BA]]/df_mep[[#This Row],[bid_D_BA]],750)</f>
        <v>636.23853211009168</v>
      </c>
      <c r="O138" s="3">
        <f>IFERROR(df_mep[[#This Row],[bid_BA]]/df_mep[[#This Row],[ask_D_BA]],800)</f>
        <v>1076.3358778625955</v>
      </c>
      <c r="P138" s="37">
        <f>MIN(1-df_mep[[#This Row],[MEP_compra_ARS]]/MEDIAN(N:N),100%)</f>
        <v>0.15168195718654442</v>
      </c>
      <c r="Q138" s="38">
        <f>df_mep[[#This Row],[MEP_compra_USD]]/MEDIAN(O:O)-1</f>
        <v>0.34541984732824438</v>
      </c>
      <c r="R138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38" s="38">
        <f>ABS(df_mep[[#This Row],[bid_BA]]-df_mep[[#This Row],[ask_BA]])/AVERAGE(df_mep[[#This Row],[bid_BA]:[ask_BA]])</f>
        <v>1.6446192348945298E-2</v>
      </c>
      <c r="T138" s="36">
        <f>ABS(df_mep[[#This Row],[bid_D_BA]]-df_mep[[#This Row],[ask_D_BA]])/AVERAGE(df_mep[[#This Row],[bid_D_BA]:[ask_D_BA]])</f>
        <v>0.49856733524355301</v>
      </c>
    </row>
    <row r="139" spans="1:20" hidden="1" x14ac:dyDescent="0.25">
      <c r="A139" s="41" t="s">
        <v>242</v>
      </c>
      <c r="B139" s="41" t="s">
        <v>243</v>
      </c>
      <c r="C139" s="4">
        <v>13266</v>
      </c>
      <c r="D139" s="4">
        <v>14415</v>
      </c>
      <c r="E139" s="4">
        <v>14232</v>
      </c>
      <c r="F139" s="34">
        <v>19.899999999999999</v>
      </c>
      <c r="G139" s="34">
        <v>21.95</v>
      </c>
      <c r="H139" s="34">
        <v>12.55</v>
      </c>
      <c r="I139" s="5">
        <v>7482</v>
      </c>
      <c r="J139" s="5">
        <f>df_mep[[#This Row],[volume_BA]]*df_mep[[#This Row],[open_BA]]</f>
        <v>99256212</v>
      </c>
      <c r="K139" s="5">
        <v>0</v>
      </c>
      <c r="L139" s="5">
        <f>df_mep[[#This Row],[volume_D_BA]]*df_mep[[#This Row],[open_D_BA]]</f>
        <v>0</v>
      </c>
      <c r="M139" s="3">
        <v>666.63316582914581</v>
      </c>
      <c r="N139" s="3">
        <f>IFERROR(df_mep[[#This Row],[ask_BA]]/df_mep[[#This Row],[bid_D_BA]],750)</f>
        <v>648.3826879271071</v>
      </c>
      <c r="O139" s="3">
        <f>IFERROR(df_mep[[#This Row],[bid_BA]]/df_mep[[#This Row],[ask_D_BA]],800)</f>
        <v>1148.6055776892429</v>
      </c>
      <c r="P139" s="37">
        <f>MIN(1-df_mep[[#This Row],[MEP_compra_ARS]]/MEDIAN(N:N),100%)</f>
        <v>0.13548974943052383</v>
      </c>
      <c r="Q139" s="38">
        <f>df_mep[[#This Row],[MEP_compra_USD]]/MEDIAN(O:O)-1</f>
        <v>0.43575697211155351</v>
      </c>
      <c r="R139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39" s="38">
        <f>ABS(df_mep[[#This Row],[bid_BA]]-df_mep[[#This Row],[ask_BA]])/AVERAGE(df_mep[[#This Row],[bid_BA]:[ask_BA]])</f>
        <v>1.2776206932663106E-2</v>
      </c>
      <c r="T139" s="36">
        <f>ABS(df_mep[[#This Row],[bid_D_BA]]-df_mep[[#This Row],[ask_D_BA]])/AVERAGE(df_mep[[#This Row],[bid_D_BA]:[ask_D_BA]])</f>
        <v>0.54492753623188395</v>
      </c>
    </row>
    <row r="140" spans="1:20" hidden="1" x14ac:dyDescent="0.25">
      <c r="A140" s="41" t="s">
        <v>93</v>
      </c>
      <c r="B140" s="41" t="s">
        <v>94</v>
      </c>
      <c r="C140" s="4">
        <v>21000</v>
      </c>
      <c r="D140" s="4">
        <v>21500</v>
      </c>
      <c r="E140" s="4">
        <v>21665.5</v>
      </c>
      <c r="F140" s="34">
        <v>27</v>
      </c>
      <c r="G140" s="34">
        <v>33</v>
      </c>
      <c r="H140" s="34">
        <v>0</v>
      </c>
      <c r="I140" s="5">
        <v>76</v>
      </c>
      <c r="J140" s="5">
        <f>df_mep[[#This Row],[volume_BA]]*df_mep[[#This Row],[open_BA]]</f>
        <v>1596000</v>
      </c>
      <c r="K140" s="5">
        <v>0</v>
      </c>
      <c r="L140" s="5">
        <f>df_mep[[#This Row],[volume_D_BA]]*df_mep[[#This Row],[open_D_BA]]</f>
        <v>0</v>
      </c>
      <c r="M140" s="3">
        <v>777.77777777777783</v>
      </c>
      <c r="N140" s="3">
        <f>IFERROR(df_mep[[#This Row],[ask_BA]]/df_mep[[#This Row],[bid_D_BA]],750)</f>
        <v>656.530303030303</v>
      </c>
      <c r="O140" s="3">
        <f>IFERROR(df_mep[[#This Row],[bid_BA]]/df_mep[[#This Row],[ask_D_BA]],800)</f>
        <v>800</v>
      </c>
      <c r="P140" s="37">
        <f>MIN(1-df_mep[[#This Row],[MEP_compra_ARS]]/MEDIAN(N:N),100%)</f>
        <v>0.12462626262626264</v>
      </c>
      <c r="Q140" s="38">
        <f>df_mep[[#This Row],[MEP_compra_USD]]/MEDIAN(O:O)-1</f>
        <v>0</v>
      </c>
      <c r="R140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40" s="38">
        <f>ABS(df_mep[[#This Row],[bid_BA]]-df_mep[[#This Row],[ask_BA]])/AVERAGE(df_mep[[#This Row],[bid_BA]:[ask_BA]])</f>
        <v>7.6681609155459804E-3</v>
      </c>
      <c r="T140" s="36">
        <f>ABS(df_mep[[#This Row],[bid_D_BA]]-df_mep[[#This Row],[ask_D_BA]])/AVERAGE(df_mep[[#This Row],[bid_D_BA]:[ask_D_BA]])</f>
        <v>2</v>
      </c>
    </row>
    <row r="141" spans="1:20" hidden="1" x14ac:dyDescent="0.25">
      <c r="A141" s="41" t="s">
        <v>305</v>
      </c>
      <c r="B141" s="41" t="s">
        <v>410</v>
      </c>
      <c r="C141" s="4">
        <v>14425</v>
      </c>
      <c r="D141" s="4">
        <v>15180</v>
      </c>
      <c r="E141" s="4">
        <v>15030</v>
      </c>
      <c r="F141" s="34">
        <v>20.7</v>
      </c>
      <c r="G141" s="34">
        <v>21.95</v>
      </c>
      <c r="H141" s="34">
        <v>0</v>
      </c>
      <c r="I141" s="5">
        <v>9</v>
      </c>
      <c r="J141" s="5">
        <f>df_mep[[#This Row],[volume_BA]]*df_mep[[#This Row],[open_BA]]</f>
        <v>129825</v>
      </c>
      <c r="K141" s="5">
        <v>0</v>
      </c>
      <c r="L141" s="5">
        <f>df_mep[[#This Row],[volume_D_BA]]*df_mep[[#This Row],[open_D_BA]]</f>
        <v>0</v>
      </c>
      <c r="M141" s="3">
        <v>696.85990338164254</v>
      </c>
      <c r="N141" s="3">
        <f>IFERROR(df_mep[[#This Row],[ask_BA]]/df_mep[[#This Row],[bid_D_BA]],750)</f>
        <v>684.7380410022779</v>
      </c>
      <c r="O141" s="3">
        <f>IFERROR(df_mep[[#This Row],[bid_BA]]/df_mep[[#This Row],[ask_D_BA]],800)</f>
        <v>800</v>
      </c>
      <c r="P141" s="37">
        <f>MIN(1-df_mep[[#This Row],[MEP_compra_ARS]]/MEDIAN(N:N),100%)</f>
        <v>8.7015945330296107E-2</v>
      </c>
      <c r="Q141" s="38">
        <f>df_mep[[#This Row],[MEP_compra_USD]]/MEDIAN(O:O)-1</f>
        <v>0</v>
      </c>
      <c r="R141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41" s="38">
        <f>ABS(df_mep[[#This Row],[bid_BA]]-df_mep[[#This Row],[ask_BA]])/AVERAGE(df_mep[[#This Row],[bid_BA]:[ask_BA]])</f>
        <v>9.9304865938430985E-3</v>
      </c>
      <c r="T141" s="36">
        <f>ABS(df_mep[[#This Row],[bid_D_BA]]-df_mep[[#This Row],[ask_D_BA]])/AVERAGE(df_mep[[#This Row],[bid_D_BA]:[ask_D_BA]])</f>
        <v>2</v>
      </c>
    </row>
    <row r="142" spans="1:20" hidden="1" x14ac:dyDescent="0.25">
      <c r="A142" s="41" t="s">
        <v>121</v>
      </c>
      <c r="B142" s="41" t="s">
        <v>212</v>
      </c>
      <c r="C142" s="4">
        <v>4556.5</v>
      </c>
      <c r="D142" s="4">
        <v>4649.5</v>
      </c>
      <c r="E142" s="4">
        <v>4611.5</v>
      </c>
      <c r="F142" s="34">
        <v>6</v>
      </c>
      <c r="G142" s="34">
        <v>6.7</v>
      </c>
      <c r="H142" s="34">
        <v>5.5</v>
      </c>
      <c r="I142" s="5">
        <v>1726</v>
      </c>
      <c r="J142" s="5">
        <f>df_mep[[#This Row],[volume_BA]]*df_mep[[#This Row],[open_BA]]</f>
        <v>7864519</v>
      </c>
      <c r="K142" s="5">
        <v>0</v>
      </c>
      <c r="L142" s="5">
        <f>df_mep[[#This Row],[volume_D_BA]]*df_mep[[#This Row],[open_D_BA]]</f>
        <v>0</v>
      </c>
      <c r="M142" s="3">
        <v>759.41666666666663</v>
      </c>
      <c r="N142" s="3">
        <f>IFERROR(df_mep[[#This Row],[ask_BA]]/df_mep[[#This Row],[bid_D_BA]],750)</f>
        <v>688.28358208955217</v>
      </c>
      <c r="O142" s="3">
        <f>IFERROR(df_mep[[#This Row],[bid_BA]]/df_mep[[#This Row],[ask_D_BA]],800)</f>
        <v>845.36363636363637</v>
      </c>
      <c r="P142" s="37">
        <f>MIN(1-df_mep[[#This Row],[MEP_compra_ARS]]/MEDIAN(N:N),100%)</f>
        <v>8.2288557213930469E-2</v>
      </c>
      <c r="Q142" s="38">
        <f>df_mep[[#This Row],[MEP_compra_USD]]/MEDIAN(O:O)-1</f>
        <v>5.6704545454545396E-2</v>
      </c>
      <c r="R142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42" s="38">
        <f>ABS(df_mep[[#This Row],[bid_BA]]-df_mep[[#This Row],[ask_BA]])/AVERAGE(df_mep[[#This Row],[bid_BA]:[ask_BA]])</f>
        <v>8.206457186049022E-3</v>
      </c>
      <c r="T142" s="36">
        <f>ABS(df_mep[[#This Row],[bid_D_BA]]-df_mep[[#This Row],[ask_D_BA]])/AVERAGE(df_mep[[#This Row],[bid_D_BA]:[ask_D_BA]])</f>
        <v>0.19672131147540989</v>
      </c>
    </row>
    <row r="143" spans="1:20" hidden="1" x14ac:dyDescent="0.25">
      <c r="A143" s="41" t="s">
        <v>78</v>
      </c>
      <c r="B143" s="41" t="s">
        <v>292</v>
      </c>
      <c r="C143" s="4">
        <v>37743</v>
      </c>
      <c r="D143" s="4">
        <v>38500</v>
      </c>
      <c r="E143" s="4">
        <v>38457.5</v>
      </c>
      <c r="F143" s="34">
        <v>54.1</v>
      </c>
      <c r="G143" s="34">
        <v>54.9</v>
      </c>
      <c r="H143" s="34">
        <v>42</v>
      </c>
      <c r="I143" s="5">
        <v>6290</v>
      </c>
      <c r="J143" s="5">
        <f>df_mep[[#This Row],[volume_BA]]*df_mep[[#This Row],[open_BA]]</f>
        <v>237403470</v>
      </c>
      <c r="K143" s="5">
        <v>16</v>
      </c>
      <c r="L143" s="5">
        <f>df_mep[[#This Row],[volume_D_BA]]*df_mep[[#This Row],[open_D_BA]]</f>
        <v>865.6</v>
      </c>
      <c r="M143" s="3">
        <v>697.65249537892794</v>
      </c>
      <c r="N143" s="3">
        <f>IFERROR(df_mep[[#This Row],[ask_BA]]/df_mep[[#This Row],[bid_D_BA]],750)</f>
        <v>700.50091074681245</v>
      </c>
      <c r="O143" s="3">
        <f>IFERROR(df_mep[[#This Row],[bid_BA]]/df_mep[[#This Row],[ask_D_BA]],800)</f>
        <v>916.66666666666663</v>
      </c>
      <c r="P143" s="37">
        <f>MIN(1-df_mep[[#This Row],[MEP_compra_ARS]]/MEDIAN(N:N),100%)</f>
        <v>6.5998785670916771E-2</v>
      </c>
      <c r="Q143" s="38">
        <f>df_mep[[#This Row],[MEP_compra_USD]]/MEDIAN(O:O)-1</f>
        <v>0.14583333333333326</v>
      </c>
      <c r="R143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43" s="38">
        <f>ABS(df_mep[[#This Row],[bid_BA]]-df_mep[[#This Row],[ask_BA]])/AVERAGE(df_mep[[#This Row],[bid_BA]:[ask_BA]])</f>
        <v>1.1045057336841763E-3</v>
      </c>
      <c r="T143" s="36">
        <f>ABS(df_mep[[#This Row],[bid_D_BA]]-df_mep[[#This Row],[ask_D_BA]])/AVERAGE(df_mep[[#This Row],[bid_D_BA]:[ask_D_BA]])</f>
        <v>0.26625386996904021</v>
      </c>
    </row>
    <row r="144" spans="1:20" hidden="1" x14ac:dyDescent="0.25">
      <c r="A144" s="41" t="s">
        <v>217</v>
      </c>
      <c r="B144" s="41" t="s">
        <v>218</v>
      </c>
      <c r="C144" s="4">
        <v>20274</v>
      </c>
      <c r="D144" s="4">
        <v>21167.5</v>
      </c>
      <c r="E144" s="4">
        <v>21100</v>
      </c>
      <c r="F144" s="34">
        <v>28.7</v>
      </c>
      <c r="G144" s="34">
        <v>30.1</v>
      </c>
      <c r="H144" s="34">
        <v>24</v>
      </c>
      <c r="I144" s="5">
        <v>669</v>
      </c>
      <c r="J144" s="5">
        <f>df_mep[[#This Row],[volume_BA]]*df_mep[[#This Row],[open_BA]]</f>
        <v>13563306</v>
      </c>
      <c r="K144" s="5">
        <v>0</v>
      </c>
      <c r="L144" s="5">
        <f>df_mep[[#This Row],[volume_D_BA]]*df_mep[[#This Row],[open_D_BA]]</f>
        <v>0</v>
      </c>
      <c r="M144" s="3">
        <v>706.41114982578404</v>
      </c>
      <c r="N144" s="3">
        <f>IFERROR(df_mep[[#This Row],[ask_BA]]/df_mep[[#This Row],[bid_D_BA]],750)</f>
        <v>700.99667774086379</v>
      </c>
      <c r="O144" s="3">
        <f>IFERROR(df_mep[[#This Row],[bid_BA]]/df_mep[[#This Row],[ask_D_BA]],800)</f>
        <v>881.97916666666663</v>
      </c>
      <c r="P144" s="37">
        <f>MIN(1-df_mep[[#This Row],[MEP_compra_ARS]]/MEDIAN(N:N),100%)</f>
        <v>6.5337763012181638E-2</v>
      </c>
      <c r="Q144" s="38">
        <f>df_mep[[#This Row],[MEP_compra_USD]]/MEDIAN(O:O)-1</f>
        <v>0.10247395833333339</v>
      </c>
      <c r="R144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44" s="38">
        <f>ABS(df_mep[[#This Row],[bid_BA]]-df_mep[[#This Row],[ask_BA]])/AVERAGE(df_mep[[#This Row],[bid_BA]:[ask_BA]])</f>
        <v>3.1939433370793162E-3</v>
      </c>
      <c r="T144" s="36">
        <f>ABS(df_mep[[#This Row],[bid_D_BA]]-df_mep[[#This Row],[ask_D_BA]])/AVERAGE(df_mep[[#This Row],[bid_D_BA]:[ask_D_BA]])</f>
        <v>0.22550831792975976</v>
      </c>
    </row>
    <row r="145" spans="1:20" hidden="1" x14ac:dyDescent="0.25">
      <c r="A145" s="41" t="s">
        <v>120</v>
      </c>
      <c r="B145" s="41" t="s">
        <v>206</v>
      </c>
      <c r="C145" s="4">
        <v>22447</v>
      </c>
      <c r="D145" s="4">
        <v>23372.5</v>
      </c>
      <c r="E145" s="4">
        <v>23164</v>
      </c>
      <c r="F145" s="34">
        <v>31.5</v>
      </c>
      <c r="G145" s="34">
        <v>32.950000000000003</v>
      </c>
      <c r="H145" s="34">
        <v>14.2</v>
      </c>
      <c r="I145" s="5">
        <v>222</v>
      </c>
      <c r="J145" s="5">
        <f>df_mep[[#This Row],[volume_BA]]*df_mep[[#This Row],[open_BA]]</f>
        <v>4983234</v>
      </c>
      <c r="K145" s="5">
        <v>0</v>
      </c>
      <c r="L145" s="5">
        <f>df_mep[[#This Row],[volume_D_BA]]*df_mep[[#This Row],[open_D_BA]]</f>
        <v>0</v>
      </c>
      <c r="M145" s="3">
        <v>712.60317460317458</v>
      </c>
      <c r="N145" s="3">
        <f>IFERROR(df_mep[[#This Row],[ask_BA]]/df_mep[[#This Row],[bid_D_BA]],750)</f>
        <v>703.00455235204845</v>
      </c>
      <c r="O145" s="3">
        <f>IFERROR(df_mep[[#This Row],[bid_BA]]/df_mep[[#This Row],[ask_D_BA]],800)</f>
        <v>1645.9507042253522</v>
      </c>
      <c r="P145" s="37">
        <f>MIN(1-df_mep[[#This Row],[MEP_compra_ARS]]/MEDIAN(N:N),100%)</f>
        <v>6.2660596863935436E-2</v>
      </c>
      <c r="Q145" s="38">
        <f>df_mep[[#This Row],[MEP_compra_USD]]/MEDIAN(O:O)-1</f>
        <v>1.05743838028169</v>
      </c>
      <c r="R145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45" s="38">
        <f>ABS(df_mep[[#This Row],[bid_BA]]-df_mep[[#This Row],[ask_BA]])/AVERAGE(df_mep[[#This Row],[bid_BA]:[ask_BA]])</f>
        <v>8.9607082612572931E-3</v>
      </c>
      <c r="T145" s="36">
        <f>ABS(df_mep[[#This Row],[bid_D_BA]]-df_mep[[#This Row],[ask_D_BA]])/AVERAGE(df_mep[[#This Row],[bid_D_BA]:[ask_D_BA]])</f>
        <v>0.79533404029692478</v>
      </c>
    </row>
    <row r="146" spans="1:20" hidden="1" x14ac:dyDescent="0.25">
      <c r="A146" s="41" t="s">
        <v>215</v>
      </c>
      <c r="B146" s="41" t="s">
        <v>216</v>
      </c>
      <c r="C146" s="4">
        <v>8999</v>
      </c>
      <c r="D146" s="4">
        <v>8913</v>
      </c>
      <c r="E146" s="4">
        <v>8800</v>
      </c>
      <c r="F146" s="34">
        <v>10.95</v>
      </c>
      <c r="G146" s="34">
        <v>12.5</v>
      </c>
      <c r="H146" s="34">
        <v>0</v>
      </c>
      <c r="I146" s="5">
        <v>348</v>
      </c>
      <c r="J146" s="5">
        <f>df_mep[[#This Row],[volume_BA]]*df_mep[[#This Row],[open_BA]]</f>
        <v>3131652</v>
      </c>
      <c r="K146" s="5">
        <v>0</v>
      </c>
      <c r="L146" s="5">
        <f>df_mep[[#This Row],[volume_D_BA]]*df_mep[[#This Row],[open_D_BA]]</f>
        <v>0</v>
      </c>
      <c r="M146" s="3">
        <v>821.82648401826486</v>
      </c>
      <c r="N146" s="3">
        <f>IFERROR(df_mep[[#This Row],[ask_BA]]/df_mep[[#This Row],[bid_D_BA]],750)</f>
        <v>704</v>
      </c>
      <c r="O146" s="3">
        <f>IFERROR(df_mep[[#This Row],[bid_BA]]/df_mep[[#This Row],[ask_D_BA]],800)</f>
        <v>800</v>
      </c>
      <c r="P146" s="37">
        <f>MIN(1-df_mep[[#This Row],[MEP_compra_ARS]]/MEDIAN(N:N),100%)</f>
        <v>6.1333333333333351E-2</v>
      </c>
      <c r="Q146" s="38">
        <f>df_mep[[#This Row],[MEP_compra_USD]]/MEDIAN(O:O)-1</f>
        <v>0</v>
      </c>
      <c r="R146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46" s="38">
        <f>ABS(df_mep[[#This Row],[bid_BA]]-df_mep[[#This Row],[ask_BA]])/AVERAGE(df_mep[[#This Row],[bid_BA]:[ask_BA]])</f>
        <v>1.2758990571896348E-2</v>
      </c>
      <c r="T146" s="36">
        <f>ABS(df_mep[[#This Row],[bid_D_BA]]-df_mep[[#This Row],[ask_D_BA]])/AVERAGE(df_mep[[#This Row],[bid_D_BA]:[ask_D_BA]])</f>
        <v>2</v>
      </c>
    </row>
    <row r="147" spans="1:20" hidden="1" x14ac:dyDescent="0.25">
      <c r="A147" s="41" t="s">
        <v>101</v>
      </c>
      <c r="B147" s="41" t="s">
        <v>181</v>
      </c>
      <c r="C147" s="4">
        <v>27560</v>
      </c>
      <c r="D147" s="4">
        <v>27957</v>
      </c>
      <c r="E147" s="4">
        <v>27883</v>
      </c>
      <c r="F147" s="34">
        <v>35</v>
      </c>
      <c r="G147" s="34">
        <v>39.5</v>
      </c>
      <c r="H147" s="34">
        <v>32.200000000000003</v>
      </c>
      <c r="I147" s="5">
        <v>463</v>
      </c>
      <c r="J147" s="5">
        <f>df_mep[[#This Row],[volume_BA]]*df_mep[[#This Row],[open_BA]]</f>
        <v>12760280</v>
      </c>
      <c r="K147" s="5">
        <v>0</v>
      </c>
      <c r="L147" s="5">
        <f>df_mep[[#This Row],[volume_D_BA]]*df_mep[[#This Row],[open_D_BA]]</f>
        <v>0</v>
      </c>
      <c r="M147" s="3">
        <v>787.42857142857144</v>
      </c>
      <c r="N147" s="3">
        <f>IFERROR(df_mep[[#This Row],[ask_BA]]/df_mep[[#This Row],[bid_D_BA]],750)</f>
        <v>705.89873417721515</v>
      </c>
      <c r="O147" s="3">
        <f>IFERROR(df_mep[[#This Row],[bid_BA]]/df_mep[[#This Row],[ask_D_BA]],800)</f>
        <v>868.22981366459624</v>
      </c>
      <c r="P147" s="37">
        <f>MIN(1-df_mep[[#This Row],[MEP_compra_ARS]]/MEDIAN(N:N),100%)</f>
        <v>5.8801687763713084E-2</v>
      </c>
      <c r="Q147" s="38">
        <f>df_mep[[#This Row],[MEP_compra_USD]]/MEDIAN(O:O)-1</f>
        <v>8.5287267080745188E-2</v>
      </c>
      <c r="R147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47" s="38">
        <f>ABS(df_mep[[#This Row],[bid_BA]]-df_mep[[#This Row],[ask_BA]])/AVERAGE(df_mep[[#This Row],[bid_BA]:[ask_BA]])</f>
        <v>2.6504297994269341E-3</v>
      </c>
      <c r="T147" s="36">
        <f>ABS(df_mep[[#This Row],[bid_D_BA]]-df_mep[[#This Row],[ask_D_BA]])/AVERAGE(df_mep[[#This Row],[bid_D_BA]:[ask_D_BA]])</f>
        <v>0.20362622036262196</v>
      </c>
    </row>
    <row r="148" spans="1:20" hidden="1" x14ac:dyDescent="0.25">
      <c r="A148" s="41" t="s">
        <v>118</v>
      </c>
      <c r="B148" s="41" t="s">
        <v>204</v>
      </c>
      <c r="C148" s="4">
        <v>3428</v>
      </c>
      <c r="D148" s="4">
        <v>3586</v>
      </c>
      <c r="E148" s="4">
        <v>3557</v>
      </c>
      <c r="F148" s="34">
        <v>4.1500000000000004</v>
      </c>
      <c r="G148" s="34">
        <v>5</v>
      </c>
      <c r="H148" s="34">
        <v>2.4</v>
      </c>
      <c r="I148" s="5">
        <v>1228</v>
      </c>
      <c r="J148" s="5">
        <f>df_mep[[#This Row],[volume_BA]]*df_mep[[#This Row],[open_BA]]</f>
        <v>4209584</v>
      </c>
      <c r="K148" s="5">
        <v>0</v>
      </c>
      <c r="L148" s="5">
        <f>df_mep[[#This Row],[volume_D_BA]]*df_mep[[#This Row],[open_D_BA]]</f>
        <v>0</v>
      </c>
      <c r="M148" s="3">
        <v>826.02409638554207</v>
      </c>
      <c r="N148" s="3">
        <f>IFERROR(df_mep[[#This Row],[ask_BA]]/df_mep[[#This Row],[bid_D_BA]],750)</f>
        <v>711.4</v>
      </c>
      <c r="O148" s="3">
        <f>IFERROR(df_mep[[#This Row],[bid_BA]]/df_mep[[#This Row],[ask_D_BA]],800)</f>
        <v>1494.1666666666667</v>
      </c>
      <c r="P148" s="37">
        <f>MIN(1-df_mep[[#This Row],[MEP_compra_ARS]]/MEDIAN(N:N),100%)</f>
        <v>5.1466666666666661E-2</v>
      </c>
      <c r="Q148" s="38">
        <f>df_mep[[#This Row],[MEP_compra_USD]]/MEDIAN(O:O)-1</f>
        <v>0.86770833333333353</v>
      </c>
      <c r="R148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48" s="38">
        <f>ABS(df_mep[[#This Row],[bid_BA]]-df_mep[[#This Row],[ask_BA]])/AVERAGE(df_mep[[#This Row],[bid_BA]:[ask_BA]])</f>
        <v>8.1198376032479355E-3</v>
      </c>
      <c r="T148" s="36">
        <f>ABS(df_mep[[#This Row],[bid_D_BA]]-df_mep[[#This Row],[ask_D_BA]])/AVERAGE(df_mep[[#This Row],[bid_D_BA]:[ask_D_BA]])</f>
        <v>0.70270270270270274</v>
      </c>
    </row>
    <row r="149" spans="1:20" hidden="1" x14ac:dyDescent="0.25">
      <c r="A149" s="41" t="s">
        <v>129</v>
      </c>
      <c r="B149" s="41" t="s">
        <v>231</v>
      </c>
      <c r="C149" s="4">
        <v>17448.5</v>
      </c>
      <c r="D149" s="4">
        <v>18005</v>
      </c>
      <c r="E149" s="4">
        <v>17905</v>
      </c>
      <c r="F149" s="34">
        <v>21</v>
      </c>
      <c r="G149" s="34">
        <v>24.9</v>
      </c>
      <c r="H149" s="34">
        <v>19.5</v>
      </c>
      <c r="I149" s="5">
        <v>277</v>
      </c>
      <c r="J149" s="5">
        <f>df_mep[[#This Row],[volume_BA]]*df_mep[[#This Row],[open_BA]]</f>
        <v>4833234.5</v>
      </c>
      <c r="K149" s="5">
        <v>7</v>
      </c>
      <c r="L149" s="5">
        <f>df_mep[[#This Row],[volume_D_BA]]*df_mep[[#This Row],[open_D_BA]]</f>
        <v>147</v>
      </c>
      <c r="M149" s="3">
        <v>830.88095238095241</v>
      </c>
      <c r="N149" s="3">
        <f>IFERROR(df_mep[[#This Row],[ask_BA]]/df_mep[[#This Row],[bid_D_BA]],750)</f>
        <v>719.07630522088357</v>
      </c>
      <c r="O149" s="3">
        <f>IFERROR(df_mep[[#This Row],[bid_BA]]/df_mep[[#This Row],[ask_D_BA]],800)</f>
        <v>923.33333333333337</v>
      </c>
      <c r="P149" s="37">
        <f>MIN(1-df_mep[[#This Row],[MEP_compra_ARS]]/MEDIAN(N:N),100%)</f>
        <v>4.1231593038821956E-2</v>
      </c>
      <c r="Q149" s="38">
        <f>df_mep[[#This Row],[MEP_compra_USD]]/MEDIAN(O:O)-1</f>
        <v>0.15416666666666679</v>
      </c>
      <c r="R149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49" s="38">
        <f>ABS(df_mep[[#This Row],[bid_BA]]-df_mep[[#This Row],[ask_BA]])/AVERAGE(df_mep[[#This Row],[bid_BA]:[ask_BA]])</f>
        <v>5.5694792536897797E-3</v>
      </c>
      <c r="T149" s="36">
        <f>ABS(df_mep[[#This Row],[bid_D_BA]]-df_mep[[#This Row],[ask_D_BA]])/AVERAGE(df_mep[[#This Row],[bid_D_BA]:[ask_D_BA]])</f>
        <v>0.24324324324324317</v>
      </c>
    </row>
    <row r="150" spans="1:20" hidden="1" x14ac:dyDescent="0.25">
      <c r="A150" s="41" t="s">
        <v>115</v>
      </c>
      <c r="B150" s="41" t="s">
        <v>116</v>
      </c>
      <c r="C150" s="4">
        <v>7392</v>
      </c>
      <c r="D150" s="4">
        <v>7764.5</v>
      </c>
      <c r="E150" s="4">
        <v>7700</v>
      </c>
      <c r="F150" s="34">
        <v>10</v>
      </c>
      <c r="G150" s="34">
        <v>10.6</v>
      </c>
      <c r="H150" s="34">
        <v>9</v>
      </c>
      <c r="I150" s="5">
        <v>522</v>
      </c>
      <c r="J150" s="5">
        <f>df_mep[[#This Row],[volume_BA]]*df_mep[[#This Row],[open_BA]]</f>
        <v>3858624</v>
      </c>
      <c r="K150" s="5">
        <v>0</v>
      </c>
      <c r="L150" s="5">
        <f>df_mep[[#This Row],[volume_D_BA]]*df_mep[[#This Row],[open_D_BA]]</f>
        <v>0</v>
      </c>
      <c r="M150" s="3">
        <v>739.2</v>
      </c>
      <c r="N150" s="3">
        <f>IFERROR(df_mep[[#This Row],[ask_BA]]/df_mep[[#This Row],[bid_D_BA]],750)</f>
        <v>726.41509433962267</v>
      </c>
      <c r="O150" s="3">
        <f>IFERROR(df_mep[[#This Row],[bid_BA]]/df_mep[[#This Row],[ask_D_BA]],800)</f>
        <v>862.72222222222217</v>
      </c>
      <c r="P150" s="37">
        <f>MIN(1-df_mep[[#This Row],[MEP_compra_ARS]]/MEDIAN(N:N),100%)</f>
        <v>3.1446540880503138E-2</v>
      </c>
      <c r="Q150" s="38">
        <f>df_mep[[#This Row],[MEP_compra_USD]]/MEDIAN(O:O)-1</f>
        <v>7.8402777777777821E-2</v>
      </c>
      <c r="R150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50" s="38">
        <f>ABS(df_mep[[#This Row],[bid_BA]]-df_mep[[#This Row],[ask_BA]])/AVERAGE(df_mep[[#This Row],[bid_BA]:[ask_BA]])</f>
        <v>8.3416857965016647E-3</v>
      </c>
      <c r="T150" s="36">
        <f>ABS(df_mep[[#This Row],[bid_D_BA]]-df_mep[[#This Row],[ask_D_BA]])/AVERAGE(df_mep[[#This Row],[bid_D_BA]:[ask_D_BA]])</f>
        <v>0.16326530612244894</v>
      </c>
    </row>
    <row r="151" spans="1:20" hidden="1" x14ac:dyDescent="0.25">
      <c r="A151" s="41" t="s">
        <v>239</v>
      </c>
      <c r="B151" s="41" t="s">
        <v>240</v>
      </c>
      <c r="C151" s="4">
        <v>17657</v>
      </c>
      <c r="D151" s="4">
        <v>18432.5</v>
      </c>
      <c r="E151" s="4">
        <v>18236.5</v>
      </c>
      <c r="F151" s="34">
        <v>22.7</v>
      </c>
      <c r="G151" s="34">
        <v>25</v>
      </c>
      <c r="H151" s="34">
        <v>16.100000000000001</v>
      </c>
      <c r="I151" s="5">
        <v>569</v>
      </c>
      <c r="J151" s="5">
        <f>df_mep[[#This Row],[volume_BA]]*df_mep[[#This Row],[open_BA]]</f>
        <v>10046833</v>
      </c>
      <c r="K151" s="5">
        <v>0</v>
      </c>
      <c r="L151" s="5">
        <f>df_mep[[#This Row],[volume_D_BA]]*df_mep[[#This Row],[open_D_BA]]</f>
        <v>0</v>
      </c>
      <c r="M151" s="3">
        <v>777.84140969163002</v>
      </c>
      <c r="N151" s="3">
        <f>IFERROR(df_mep[[#This Row],[ask_BA]]/df_mep[[#This Row],[bid_D_BA]],750)</f>
        <v>729.46</v>
      </c>
      <c r="O151" s="3">
        <f>IFERROR(df_mep[[#This Row],[bid_BA]]/df_mep[[#This Row],[ask_D_BA]],800)</f>
        <v>1144.8757763975154</v>
      </c>
      <c r="P151" s="37">
        <f>MIN(1-df_mep[[#This Row],[MEP_compra_ARS]]/MEDIAN(N:N),100%)</f>
        <v>2.738666666666667E-2</v>
      </c>
      <c r="Q151" s="38">
        <f>df_mep[[#This Row],[MEP_compra_USD]]/MEDIAN(O:O)-1</f>
        <v>0.43109472049689423</v>
      </c>
      <c r="R151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51" s="38">
        <f>ABS(df_mep[[#This Row],[bid_BA]]-df_mep[[#This Row],[ask_BA]])/AVERAGE(df_mep[[#This Row],[bid_BA]:[ask_BA]])</f>
        <v>1.0690228803621587E-2</v>
      </c>
      <c r="T151" s="36">
        <f>ABS(df_mep[[#This Row],[bid_D_BA]]-df_mep[[#This Row],[ask_D_BA]])/AVERAGE(df_mep[[#This Row],[bid_D_BA]:[ask_D_BA]])</f>
        <v>0.43309002433090016</v>
      </c>
    </row>
    <row r="152" spans="1:20" hidden="1" x14ac:dyDescent="0.25">
      <c r="A152" s="41" t="s">
        <v>75</v>
      </c>
      <c r="B152" s="41" t="s">
        <v>294</v>
      </c>
      <c r="C152" s="4">
        <v>19791.5</v>
      </c>
      <c r="D152" s="4">
        <v>20126.5</v>
      </c>
      <c r="E152" s="4">
        <v>20100</v>
      </c>
      <c r="F152" s="34">
        <v>24.85</v>
      </c>
      <c r="G152" s="34">
        <v>27.5</v>
      </c>
      <c r="H152" s="34">
        <v>23.1</v>
      </c>
      <c r="I152" s="5">
        <v>11476</v>
      </c>
      <c r="J152" s="5">
        <f>df_mep[[#This Row],[volume_BA]]*df_mep[[#This Row],[open_BA]]</f>
        <v>227127254</v>
      </c>
      <c r="K152" s="5">
        <v>25</v>
      </c>
      <c r="L152" s="5">
        <f>df_mep[[#This Row],[volume_D_BA]]*df_mep[[#This Row],[open_D_BA]]</f>
        <v>621.25</v>
      </c>
      <c r="M152" s="3">
        <v>796.43863179074447</v>
      </c>
      <c r="N152" s="3">
        <f>IFERROR(df_mep[[#This Row],[ask_BA]]/df_mep[[#This Row],[bid_D_BA]],750)</f>
        <v>730.90909090909088</v>
      </c>
      <c r="O152" s="3">
        <f>IFERROR(df_mep[[#This Row],[bid_BA]]/df_mep[[#This Row],[ask_D_BA]],800)</f>
        <v>871.2770562770562</v>
      </c>
      <c r="P152" s="37">
        <f>MIN(1-df_mep[[#This Row],[MEP_compra_ARS]]/MEDIAN(N:N),100%)</f>
        <v>2.5454545454545507E-2</v>
      </c>
      <c r="Q152" s="38">
        <f>df_mep[[#This Row],[MEP_compra_USD]]/MEDIAN(O:O)-1</f>
        <v>8.9096320346320201E-2</v>
      </c>
      <c r="R152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52" s="38">
        <f>ABS(df_mep[[#This Row],[bid_BA]]-df_mep[[#This Row],[ask_BA]])/AVERAGE(df_mep[[#This Row],[bid_BA]:[ask_BA]])</f>
        <v>1.3175394329608592E-3</v>
      </c>
      <c r="T152" s="36">
        <f>ABS(df_mep[[#This Row],[bid_D_BA]]-df_mep[[#This Row],[ask_D_BA]])/AVERAGE(df_mep[[#This Row],[bid_D_BA]:[ask_D_BA]])</f>
        <v>0.17391304347826081</v>
      </c>
    </row>
    <row r="153" spans="1:20" hidden="1" x14ac:dyDescent="0.25">
      <c r="A153" s="41" t="s">
        <v>192</v>
      </c>
      <c r="B153" s="41" t="s">
        <v>193</v>
      </c>
      <c r="C153" s="4">
        <v>7998</v>
      </c>
      <c r="D153" s="4">
        <v>8514.5</v>
      </c>
      <c r="E153" s="4">
        <v>8440</v>
      </c>
      <c r="F153" s="34">
        <v>10.65</v>
      </c>
      <c r="G153" s="34">
        <v>11.5</v>
      </c>
      <c r="H153" s="34">
        <v>9.5</v>
      </c>
      <c r="I153" s="5">
        <v>1304</v>
      </c>
      <c r="J153" s="5">
        <f>df_mep[[#This Row],[volume_BA]]*df_mep[[#This Row],[open_BA]]</f>
        <v>10429392</v>
      </c>
      <c r="K153" s="5">
        <v>0</v>
      </c>
      <c r="L153" s="5">
        <f>df_mep[[#This Row],[volume_D_BA]]*df_mep[[#This Row],[open_D_BA]]</f>
        <v>0</v>
      </c>
      <c r="M153" s="3">
        <v>750.9859154929577</v>
      </c>
      <c r="N153" s="3">
        <f>IFERROR(df_mep[[#This Row],[ask_BA]]/df_mep[[#This Row],[bid_D_BA]],750)</f>
        <v>733.91304347826087</v>
      </c>
      <c r="O153" s="3">
        <f>IFERROR(df_mep[[#This Row],[bid_BA]]/df_mep[[#This Row],[ask_D_BA]],800)</f>
        <v>896.26315789473688</v>
      </c>
      <c r="P153" s="37">
        <f>MIN(1-df_mep[[#This Row],[MEP_compra_ARS]]/MEDIAN(N:N),100%)</f>
        <v>2.1449275362318887E-2</v>
      </c>
      <c r="Q153" s="38">
        <f>df_mep[[#This Row],[MEP_compra_USD]]/MEDIAN(O:O)-1</f>
        <v>0.12032894736842104</v>
      </c>
      <c r="R153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53" s="38">
        <f>ABS(df_mep[[#This Row],[bid_BA]]-df_mep[[#This Row],[ask_BA]])/AVERAGE(df_mep[[#This Row],[bid_BA]:[ask_BA]])</f>
        <v>8.7882273142823441E-3</v>
      </c>
      <c r="T153" s="36">
        <f>ABS(df_mep[[#This Row],[bid_D_BA]]-df_mep[[#This Row],[ask_D_BA]])/AVERAGE(df_mep[[#This Row],[bid_D_BA]:[ask_D_BA]])</f>
        <v>0.19047619047619047</v>
      </c>
    </row>
    <row r="154" spans="1:20" hidden="1" x14ac:dyDescent="0.25">
      <c r="A154" s="41" t="s">
        <v>271</v>
      </c>
      <c r="B154" s="41" t="s">
        <v>272</v>
      </c>
      <c r="C154" s="4">
        <v>26122</v>
      </c>
      <c r="D154" s="4">
        <v>27039.5</v>
      </c>
      <c r="E154" s="4">
        <v>26991.5</v>
      </c>
      <c r="F154" s="34">
        <v>36.4</v>
      </c>
      <c r="G154" s="34">
        <v>36.5</v>
      </c>
      <c r="H154" s="34">
        <v>23.5</v>
      </c>
      <c r="I154" s="5">
        <v>1813</v>
      </c>
      <c r="J154" s="5">
        <f>df_mep[[#This Row],[volume_BA]]*df_mep[[#This Row],[open_BA]]</f>
        <v>47359186</v>
      </c>
      <c r="K154" s="5">
        <v>0</v>
      </c>
      <c r="L154" s="5">
        <f>df_mep[[#This Row],[volume_D_BA]]*df_mep[[#This Row],[open_D_BA]]</f>
        <v>0</v>
      </c>
      <c r="M154" s="3">
        <v>717.63736263736268</v>
      </c>
      <c r="N154" s="3">
        <f>IFERROR(df_mep[[#This Row],[ask_BA]]/df_mep[[#This Row],[bid_D_BA]],750)</f>
        <v>739.49315068493149</v>
      </c>
      <c r="O154" s="3">
        <f>IFERROR(df_mep[[#This Row],[bid_BA]]/df_mep[[#This Row],[ask_D_BA]],800)</f>
        <v>1150.6170212765958</v>
      </c>
      <c r="P154" s="37">
        <f>MIN(1-df_mep[[#This Row],[MEP_compra_ARS]]/MEDIAN(N:N),100%)</f>
        <v>1.4009132420091386E-2</v>
      </c>
      <c r="Q154" s="38">
        <f>df_mep[[#This Row],[MEP_compra_USD]]/MEDIAN(O:O)-1</f>
        <v>0.43827127659574483</v>
      </c>
      <c r="R154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54" s="38">
        <f>ABS(df_mep[[#This Row],[bid_BA]]-df_mep[[#This Row],[ask_BA]])/AVERAGE(df_mep[[#This Row],[bid_BA]:[ask_BA]])</f>
        <v>1.7767577871962393E-3</v>
      </c>
      <c r="T154" s="36">
        <f>ABS(df_mep[[#This Row],[bid_D_BA]]-df_mep[[#This Row],[ask_D_BA]])/AVERAGE(df_mep[[#This Row],[bid_D_BA]:[ask_D_BA]])</f>
        <v>0.43333333333333335</v>
      </c>
    </row>
    <row r="155" spans="1:20" hidden="1" x14ac:dyDescent="0.25">
      <c r="A155" s="41" t="s">
        <v>139</v>
      </c>
      <c r="B155" s="41" t="s">
        <v>260</v>
      </c>
      <c r="C155" s="4">
        <v>8944.5</v>
      </c>
      <c r="D155" s="4">
        <v>8951</v>
      </c>
      <c r="E155" s="4">
        <v>8909.5</v>
      </c>
      <c r="F155" s="34">
        <v>10.5</v>
      </c>
      <c r="G155" s="34">
        <v>12</v>
      </c>
      <c r="H155" s="34">
        <v>10.15</v>
      </c>
      <c r="I155" s="5">
        <v>2697</v>
      </c>
      <c r="J155" s="5">
        <f>df_mep[[#This Row],[volume_BA]]*df_mep[[#This Row],[open_BA]]</f>
        <v>24123316.5</v>
      </c>
      <c r="K155" s="5">
        <v>41</v>
      </c>
      <c r="L155" s="5">
        <f>df_mep[[#This Row],[volume_D_BA]]*df_mep[[#This Row],[open_D_BA]]</f>
        <v>430.5</v>
      </c>
      <c r="M155" s="3">
        <v>851.85714285714289</v>
      </c>
      <c r="N155" s="3">
        <f>IFERROR(df_mep[[#This Row],[ask_BA]]/df_mep[[#This Row],[bid_D_BA]],750)</f>
        <v>742.45833333333337</v>
      </c>
      <c r="O155" s="3">
        <f>IFERROR(df_mep[[#This Row],[bid_BA]]/df_mep[[#This Row],[ask_D_BA]],800)</f>
        <v>881.87192118226596</v>
      </c>
      <c r="P155" s="37">
        <f>MIN(1-df_mep[[#This Row],[MEP_compra_ARS]]/MEDIAN(N:N),100%)</f>
        <v>1.0055555555555484E-2</v>
      </c>
      <c r="Q155" s="38">
        <f>df_mep[[#This Row],[MEP_compra_USD]]/MEDIAN(O:O)-1</f>
        <v>0.10233990147783256</v>
      </c>
      <c r="R155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55" s="38">
        <f>ABS(df_mep[[#This Row],[bid_BA]]-df_mep[[#This Row],[ask_BA]])/AVERAGE(df_mep[[#This Row],[bid_BA]:[ask_BA]])</f>
        <v>4.6471263402480334E-3</v>
      </c>
      <c r="T155" s="36">
        <f>ABS(df_mep[[#This Row],[bid_D_BA]]-df_mep[[#This Row],[ask_D_BA]])/AVERAGE(df_mep[[#This Row],[bid_D_BA]:[ask_D_BA]])</f>
        <v>0.16704288939051917</v>
      </c>
    </row>
    <row r="156" spans="1:20" hidden="1" x14ac:dyDescent="0.25">
      <c r="A156" s="41" t="s">
        <v>104</v>
      </c>
      <c r="B156" s="41" t="s">
        <v>185</v>
      </c>
      <c r="C156" s="4">
        <v>18002</v>
      </c>
      <c r="D156" s="4">
        <v>18629</v>
      </c>
      <c r="E156" s="4">
        <v>18620</v>
      </c>
      <c r="F156" s="34">
        <v>23.8</v>
      </c>
      <c r="G156" s="34">
        <v>24.95</v>
      </c>
      <c r="H156" s="34">
        <v>20.7</v>
      </c>
      <c r="I156" s="5">
        <v>813</v>
      </c>
      <c r="J156" s="5">
        <f>df_mep[[#This Row],[volume_BA]]*df_mep[[#This Row],[open_BA]]</f>
        <v>14635626</v>
      </c>
      <c r="K156" s="5">
        <v>0</v>
      </c>
      <c r="L156" s="5">
        <f>df_mep[[#This Row],[volume_D_BA]]*df_mep[[#This Row],[open_D_BA]]</f>
        <v>0</v>
      </c>
      <c r="M156" s="3">
        <v>756.38655462184875</v>
      </c>
      <c r="N156" s="3">
        <f>IFERROR(df_mep[[#This Row],[ask_BA]]/df_mep[[#This Row],[bid_D_BA]],750)</f>
        <v>746.29258517034066</v>
      </c>
      <c r="O156" s="3">
        <f>IFERROR(df_mep[[#This Row],[bid_BA]]/df_mep[[#This Row],[ask_D_BA]],800)</f>
        <v>899.95169082125608</v>
      </c>
      <c r="P156" s="37">
        <f>MIN(1-df_mep[[#This Row],[MEP_compra_ARS]]/MEDIAN(N:N),100%)</f>
        <v>4.9432197728791483E-3</v>
      </c>
      <c r="Q156" s="38">
        <f>df_mep[[#This Row],[MEP_compra_USD]]/MEDIAN(O:O)-1</f>
        <v>0.12493961352657013</v>
      </c>
      <c r="R156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56" s="38">
        <f>ABS(df_mep[[#This Row],[bid_BA]]-df_mep[[#This Row],[ask_BA]])/AVERAGE(df_mep[[#This Row],[bid_BA]:[ask_BA]])</f>
        <v>4.8323444924695965E-4</v>
      </c>
      <c r="T156" s="36">
        <f>ABS(df_mep[[#This Row],[bid_D_BA]]-df_mep[[#This Row],[ask_D_BA]])/AVERAGE(df_mep[[#This Row],[bid_D_BA]:[ask_D_BA]])</f>
        <v>0.18619934282584885</v>
      </c>
    </row>
    <row r="157" spans="1:20" hidden="1" x14ac:dyDescent="0.25">
      <c r="A157" s="41" t="s">
        <v>250</v>
      </c>
      <c r="B157" s="41" t="s">
        <v>251</v>
      </c>
      <c r="C157" s="4">
        <v>20816.5</v>
      </c>
      <c r="D157" s="4">
        <v>21842</v>
      </c>
      <c r="E157" s="4">
        <v>21444.5</v>
      </c>
      <c r="F157" s="34">
        <v>27.5</v>
      </c>
      <c r="G157" s="34">
        <v>28.5</v>
      </c>
      <c r="H157" s="34">
        <v>20.100000000000001</v>
      </c>
      <c r="I157" s="5">
        <v>13</v>
      </c>
      <c r="J157" s="5">
        <f>df_mep[[#This Row],[volume_BA]]*df_mep[[#This Row],[open_BA]]</f>
        <v>270614.5</v>
      </c>
      <c r="K157" s="5">
        <v>0</v>
      </c>
      <c r="L157" s="5">
        <f>df_mep[[#This Row],[volume_D_BA]]*df_mep[[#This Row],[open_D_BA]]</f>
        <v>0</v>
      </c>
      <c r="M157" s="3">
        <v>756.9636363636364</v>
      </c>
      <c r="N157" s="3">
        <f>IFERROR(df_mep[[#This Row],[ask_BA]]/df_mep[[#This Row],[bid_D_BA]],750)</f>
        <v>752.43859649122805</v>
      </c>
      <c r="O157" s="3">
        <f>IFERROR(df_mep[[#This Row],[bid_BA]]/df_mep[[#This Row],[ask_D_BA]],800)</f>
        <v>1086.6666666666665</v>
      </c>
      <c r="P157" s="37">
        <f>MIN(1-df_mep[[#This Row],[MEP_compra_ARS]]/MEDIAN(N:N),100%)</f>
        <v>-3.2514619883041718E-3</v>
      </c>
      <c r="Q157" s="38">
        <f>df_mep[[#This Row],[MEP_compra_USD]]/MEDIAN(O:O)-1</f>
        <v>0.35833333333333317</v>
      </c>
      <c r="R157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57" s="38">
        <f>ABS(df_mep[[#This Row],[bid_BA]]-df_mep[[#This Row],[ask_BA]])/AVERAGE(df_mep[[#This Row],[bid_BA]:[ask_BA]])</f>
        <v>1.8366003257366616E-2</v>
      </c>
      <c r="T157" s="36">
        <f>ABS(df_mep[[#This Row],[bid_D_BA]]-df_mep[[#This Row],[ask_D_BA]])/AVERAGE(df_mep[[#This Row],[bid_D_BA]:[ask_D_BA]])</f>
        <v>0.34567901234567894</v>
      </c>
    </row>
    <row r="158" spans="1:20" hidden="1" x14ac:dyDescent="0.25">
      <c r="A158" s="41" t="s">
        <v>100</v>
      </c>
      <c r="B158" s="41" t="s">
        <v>179</v>
      </c>
      <c r="C158" s="4">
        <v>28800</v>
      </c>
      <c r="D158" s="4">
        <v>30226</v>
      </c>
      <c r="E158" s="4">
        <v>29754</v>
      </c>
      <c r="F158" s="34">
        <v>36.549999999999997</v>
      </c>
      <c r="G158" s="34">
        <v>39.5</v>
      </c>
      <c r="H158" s="34">
        <v>23.5</v>
      </c>
      <c r="I158" s="5">
        <v>23</v>
      </c>
      <c r="J158" s="5">
        <f>df_mep[[#This Row],[volume_BA]]*df_mep[[#This Row],[open_BA]]</f>
        <v>662400</v>
      </c>
      <c r="K158" s="5">
        <v>0</v>
      </c>
      <c r="L158" s="5">
        <f>df_mep[[#This Row],[volume_D_BA]]*df_mep[[#This Row],[open_D_BA]]</f>
        <v>0</v>
      </c>
      <c r="M158" s="3">
        <v>787.96169630642964</v>
      </c>
      <c r="N158" s="3">
        <f>IFERROR(df_mep[[#This Row],[ask_BA]]/df_mep[[#This Row],[bid_D_BA]],750)</f>
        <v>753.2658227848101</v>
      </c>
      <c r="O158" s="3">
        <f>IFERROR(df_mep[[#This Row],[bid_BA]]/df_mep[[#This Row],[ask_D_BA]],800)</f>
        <v>1286.2127659574469</v>
      </c>
      <c r="P158" s="37">
        <f>MIN(1-df_mep[[#This Row],[MEP_compra_ARS]]/MEDIAN(N:N),100%)</f>
        <v>-4.3544303797466988E-3</v>
      </c>
      <c r="Q158" s="38">
        <f>df_mep[[#This Row],[MEP_compra_USD]]/MEDIAN(O:O)-1</f>
        <v>0.60776595744680861</v>
      </c>
      <c r="R158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58" s="38">
        <f>ABS(df_mep[[#This Row],[bid_BA]]-df_mep[[#This Row],[ask_BA]])/AVERAGE(df_mep[[#This Row],[bid_BA]:[ask_BA]])</f>
        <v>1.5738579526508836E-2</v>
      </c>
      <c r="T158" s="36">
        <f>ABS(df_mep[[#This Row],[bid_D_BA]]-df_mep[[#This Row],[ask_D_BA]])/AVERAGE(df_mep[[#This Row],[bid_D_BA]:[ask_D_BA]])</f>
        <v>0.50793650793650791</v>
      </c>
    </row>
    <row r="159" spans="1:20" hidden="1" x14ac:dyDescent="0.25">
      <c r="A159" s="41" t="s">
        <v>130</v>
      </c>
      <c r="B159" s="41" t="s">
        <v>232</v>
      </c>
      <c r="C159" s="4">
        <v>10326.5</v>
      </c>
      <c r="D159" s="4">
        <v>10740</v>
      </c>
      <c r="E159" s="4">
        <v>10662</v>
      </c>
      <c r="F159" s="34">
        <v>14.15</v>
      </c>
      <c r="G159" s="34">
        <v>14.15</v>
      </c>
      <c r="H159" s="34">
        <v>11</v>
      </c>
      <c r="I159" s="5">
        <v>554</v>
      </c>
      <c r="J159" s="5">
        <f>df_mep[[#This Row],[volume_BA]]*df_mep[[#This Row],[open_BA]]</f>
        <v>5720881</v>
      </c>
      <c r="K159" s="5">
        <v>0</v>
      </c>
      <c r="L159" s="5">
        <f>df_mep[[#This Row],[volume_D_BA]]*df_mep[[#This Row],[open_D_BA]]</f>
        <v>0</v>
      </c>
      <c r="M159" s="3">
        <v>729.78798586572441</v>
      </c>
      <c r="N159" s="3">
        <f>IFERROR(df_mep[[#This Row],[ask_BA]]/df_mep[[#This Row],[bid_D_BA]],750)</f>
        <v>753.49823321554766</v>
      </c>
      <c r="O159" s="3">
        <f>IFERROR(df_mep[[#This Row],[bid_BA]]/df_mep[[#This Row],[ask_D_BA]],800)</f>
        <v>976.36363636363637</v>
      </c>
      <c r="P159" s="37">
        <f>MIN(1-df_mep[[#This Row],[MEP_compra_ARS]]/MEDIAN(N:N),100%)</f>
        <v>-4.6643109540636107E-3</v>
      </c>
      <c r="Q159" s="38">
        <f>df_mep[[#This Row],[MEP_compra_USD]]/MEDIAN(O:O)-1</f>
        <v>0.22045454545454546</v>
      </c>
      <c r="R159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59" s="38">
        <f>ABS(df_mep[[#This Row],[bid_BA]]-df_mep[[#This Row],[ask_BA]])/AVERAGE(df_mep[[#This Row],[bid_BA]:[ask_BA]])</f>
        <v>7.2890384076254554E-3</v>
      </c>
      <c r="T159" s="36">
        <f>ABS(df_mep[[#This Row],[bid_D_BA]]-df_mep[[#This Row],[ask_D_BA]])/AVERAGE(df_mep[[#This Row],[bid_D_BA]:[ask_D_BA]])</f>
        <v>0.25049701789264417</v>
      </c>
    </row>
    <row r="160" spans="1:20" hidden="1" x14ac:dyDescent="0.25">
      <c r="A160" s="41" t="s">
        <v>91</v>
      </c>
      <c r="B160" s="41" t="s">
        <v>172</v>
      </c>
      <c r="C160" s="4">
        <v>12776</v>
      </c>
      <c r="D160" s="4">
        <v>13295</v>
      </c>
      <c r="E160" s="4">
        <v>13160.5</v>
      </c>
      <c r="F160" s="34">
        <v>16</v>
      </c>
      <c r="G160" s="34">
        <v>17.45</v>
      </c>
      <c r="H160" s="34">
        <v>13.6</v>
      </c>
      <c r="I160" s="5">
        <v>293</v>
      </c>
      <c r="J160" s="5">
        <f>df_mep[[#This Row],[volume_BA]]*df_mep[[#This Row],[open_BA]]</f>
        <v>3743368</v>
      </c>
      <c r="K160" s="5">
        <v>0</v>
      </c>
      <c r="L160" s="5">
        <f>df_mep[[#This Row],[volume_D_BA]]*df_mep[[#This Row],[open_D_BA]]</f>
        <v>0</v>
      </c>
      <c r="M160" s="3">
        <v>798.5</v>
      </c>
      <c r="N160" s="3">
        <f>IFERROR(df_mep[[#This Row],[ask_BA]]/df_mep[[#This Row],[bid_D_BA]],750)</f>
        <v>754.18338108882529</v>
      </c>
      <c r="O160" s="3">
        <f>IFERROR(df_mep[[#This Row],[bid_BA]]/df_mep[[#This Row],[ask_D_BA]],800)</f>
        <v>977.57352941176475</v>
      </c>
      <c r="P160" s="37">
        <f>MIN(1-df_mep[[#This Row],[MEP_compra_ARS]]/MEDIAN(N:N),100%)</f>
        <v>-5.577841451767096E-3</v>
      </c>
      <c r="Q160" s="38">
        <f>df_mep[[#This Row],[MEP_compra_USD]]/MEDIAN(O:O)-1</f>
        <v>0.22196691176470584</v>
      </c>
      <c r="R160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60" s="38">
        <f>ABS(df_mep[[#This Row],[bid_BA]]-df_mep[[#This Row],[ask_BA]])/AVERAGE(df_mep[[#This Row],[bid_BA]:[ask_BA]])</f>
        <v>1.0168017992477935E-2</v>
      </c>
      <c r="T160" s="36">
        <f>ABS(df_mep[[#This Row],[bid_D_BA]]-df_mep[[#This Row],[ask_D_BA]])/AVERAGE(df_mep[[#This Row],[bid_D_BA]:[ask_D_BA]])</f>
        <v>0.24798711755233493</v>
      </c>
    </row>
    <row r="161" spans="1:20" hidden="1" x14ac:dyDescent="0.25">
      <c r="A161" s="41" t="s">
        <v>209</v>
      </c>
      <c r="B161" s="41" t="s">
        <v>210</v>
      </c>
      <c r="C161" s="4">
        <v>15800</v>
      </c>
      <c r="D161" s="4">
        <v>16713.5</v>
      </c>
      <c r="E161" s="4">
        <v>16601.5</v>
      </c>
      <c r="F161" s="34">
        <v>19.649999999999999</v>
      </c>
      <c r="G161" s="34">
        <v>22</v>
      </c>
      <c r="H161" s="34">
        <v>18.649999999999999</v>
      </c>
      <c r="I161" s="5">
        <v>116</v>
      </c>
      <c r="J161" s="5">
        <f>df_mep[[#This Row],[volume_BA]]*df_mep[[#This Row],[open_BA]]</f>
        <v>1832800</v>
      </c>
      <c r="K161" s="5">
        <v>0</v>
      </c>
      <c r="L161" s="5">
        <f>df_mep[[#This Row],[volume_D_BA]]*df_mep[[#This Row],[open_D_BA]]</f>
        <v>0</v>
      </c>
      <c r="M161" s="3">
        <v>804.07124681933851</v>
      </c>
      <c r="N161" s="3">
        <f>IFERROR(df_mep[[#This Row],[ask_BA]]/df_mep[[#This Row],[bid_D_BA]],750)</f>
        <v>754.61363636363637</v>
      </c>
      <c r="O161" s="3">
        <f>IFERROR(df_mep[[#This Row],[bid_BA]]/df_mep[[#This Row],[ask_D_BA]],800)</f>
        <v>896.16621983914217</v>
      </c>
      <c r="P161" s="37">
        <f>MIN(1-df_mep[[#This Row],[MEP_compra_ARS]]/MEDIAN(N:N),100%)</f>
        <v>-6.1515151515152411E-3</v>
      </c>
      <c r="Q161" s="38">
        <f>df_mep[[#This Row],[MEP_compra_USD]]/MEDIAN(O:O)-1</f>
        <v>0.12020777479892764</v>
      </c>
      <c r="R161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61" s="38">
        <f>ABS(df_mep[[#This Row],[bid_BA]]-df_mep[[#This Row],[ask_BA]])/AVERAGE(df_mep[[#This Row],[bid_BA]:[ask_BA]])</f>
        <v>6.7236980339186554E-3</v>
      </c>
      <c r="T161" s="36">
        <f>ABS(df_mep[[#This Row],[bid_D_BA]]-df_mep[[#This Row],[ask_D_BA]])/AVERAGE(df_mep[[#This Row],[bid_D_BA]:[ask_D_BA]])</f>
        <v>0.16482164821648224</v>
      </c>
    </row>
    <row r="162" spans="1:20" x14ac:dyDescent="0.25">
      <c r="A162" s="41" t="s">
        <v>52</v>
      </c>
      <c r="B162" s="41" t="s">
        <v>238</v>
      </c>
      <c r="C162" s="4">
        <v>9200</v>
      </c>
      <c r="D162" s="4">
        <v>9281</v>
      </c>
      <c r="E162" s="4">
        <v>9253</v>
      </c>
      <c r="F162" s="34">
        <v>10.9</v>
      </c>
      <c r="G162" s="34">
        <v>12.25</v>
      </c>
      <c r="H162" s="34">
        <v>10.8</v>
      </c>
      <c r="I162" s="5">
        <v>1573</v>
      </c>
      <c r="J162" s="5">
        <f>df_mep[[#This Row],[volume_BA]]*df_mep[[#This Row],[open_BA]]</f>
        <v>14471600</v>
      </c>
      <c r="K162" s="5">
        <v>184</v>
      </c>
      <c r="L162" s="5">
        <f>df_mep[[#This Row],[volume_D_BA]]*df_mep[[#This Row],[open_D_BA]]</f>
        <v>2005.6000000000001</v>
      </c>
      <c r="M162" s="3">
        <v>844.03669724770634</v>
      </c>
      <c r="N162" s="3">
        <f>IFERROR(df_mep[[#This Row],[ask_BA]]/df_mep[[#This Row],[bid_D_BA]],750)</f>
        <v>755.34693877551024</v>
      </c>
      <c r="O162" s="3">
        <f>IFERROR(df_mep[[#This Row],[bid_BA]]/df_mep[[#This Row],[ask_D_BA]],800)</f>
        <v>859.35185185185185</v>
      </c>
      <c r="P162" s="37">
        <f>MIN(1-df_mep[[#This Row],[MEP_compra_ARS]]/MEDIAN(N:N),100%)</f>
        <v>-7.1292517006802392E-3</v>
      </c>
      <c r="Q162" s="38">
        <f>df_mep[[#This Row],[MEP_compra_USD]]/MEDIAN(O:O)-1</f>
        <v>7.4189814814814792E-2</v>
      </c>
      <c r="R162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162" s="38">
        <f>ABS(df_mep[[#This Row],[bid_BA]]-df_mep[[#This Row],[ask_BA]])/AVERAGE(df_mep[[#This Row],[bid_BA]:[ask_BA]])</f>
        <v>3.0214740476961262E-3</v>
      </c>
      <c r="T162" s="36">
        <f>ABS(df_mep[[#This Row],[bid_D_BA]]-df_mep[[#This Row],[ask_D_BA]])/AVERAGE(df_mep[[#This Row],[bid_D_BA]:[ask_D_BA]])</f>
        <v>0.1258134490238611</v>
      </c>
    </row>
    <row r="163" spans="1:20" hidden="1" x14ac:dyDescent="0.25">
      <c r="A163" s="41" t="s">
        <v>70</v>
      </c>
      <c r="B163" s="41" t="s">
        <v>247</v>
      </c>
      <c r="C163" s="4">
        <v>1877</v>
      </c>
      <c r="D163" s="4">
        <v>1963</v>
      </c>
      <c r="E163" s="4">
        <v>1956.5</v>
      </c>
      <c r="F163" s="34">
        <v>2.36</v>
      </c>
      <c r="G163" s="34">
        <v>2.59</v>
      </c>
      <c r="H163" s="34">
        <v>2.1</v>
      </c>
      <c r="I163" s="5">
        <v>43901</v>
      </c>
      <c r="J163" s="5">
        <f>df_mep[[#This Row],[volume_BA]]*df_mep[[#This Row],[open_BA]]</f>
        <v>82402177</v>
      </c>
      <c r="K163" s="5">
        <v>197</v>
      </c>
      <c r="L163" s="5">
        <f>df_mep[[#This Row],[volume_D_BA]]*df_mep[[#This Row],[open_D_BA]]</f>
        <v>464.91999999999996</v>
      </c>
      <c r="M163" s="3">
        <v>795.33898305084745</v>
      </c>
      <c r="N163" s="3">
        <f>IFERROR(df_mep[[#This Row],[ask_BA]]/df_mep[[#This Row],[bid_D_BA]],750)</f>
        <v>755.40540540540542</v>
      </c>
      <c r="O163" s="3">
        <f>IFERROR(df_mep[[#This Row],[bid_BA]]/df_mep[[#This Row],[ask_D_BA]],800)</f>
        <v>934.7619047619047</v>
      </c>
      <c r="P163" s="37">
        <f>MIN(1-df_mep[[#This Row],[MEP_compra_ARS]]/MEDIAN(N:N),100%)</f>
        <v>-7.2072072072071336E-3</v>
      </c>
      <c r="Q163" s="38">
        <f>df_mep[[#This Row],[MEP_compra_USD]]/MEDIAN(O:O)-1</f>
        <v>0.1684523809523808</v>
      </c>
      <c r="R163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63" s="38">
        <f>ABS(df_mep[[#This Row],[bid_BA]]-df_mep[[#This Row],[ask_BA]])/AVERAGE(df_mep[[#This Row],[bid_BA]:[ask_BA]])</f>
        <v>3.3167495854063019E-3</v>
      </c>
      <c r="T163" s="36">
        <f>ABS(df_mep[[#This Row],[bid_D_BA]]-df_mep[[#This Row],[ask_D_BA]])/AVERAGE(df_mep[[#This Row],[bid_D_BA]:[ask_D_BA]])</f>
        <v>0.20895522388059695</v>
      </c>
    </row>
    <row r="164" spans="1:20" hidden="1" x14ac:dyDescent="0.25">
      <c r="A164" s="41" t="s">
        <v>140</v>
      </c>
      <c r="B164" s="41" t="s">
        <v>262</v>
      </c>
      <c r="C164" s="4">
        <v>13202</v>
      </c>
      <c r="D164" s="4">
        <v>13715</v>
      </c>
      <c r="E164" s="4">
        <v>13650</v>
      </c>
      <c r="F164" s="34">
        <v>15.7</v>
      </c>
      <c r="G164" s="34">
        <v>18</v>
      </c>
      <c r="H164" s="34">
        <v>16</v>
      </c>
      <c r="I164" s="5">
        <v>777</v>
      </c>
      <c r="J164" s="5">
        <f>df_mep[[#This Row],[volume_BA]]*df_mep[[#This Row],[open_BA]]</f>
        <v>10257954</v>
      </c>
      <c r="K164" s="5">
        <v>32</v>
      </c>
      <c r="L164" s="5">
        <f>df_mep[[#This Row],[volume_D_BA]]*df_mep[[#This Row],[open_D_BA]]</f>
        <v>502.4</v>
      </c>
      <c r="M164" s="3">
        <v>840.89171974522299</v>
      </c>
      <c r="N164" s="3">
        <f>IFERROR(df_mep[[#This Row],[ask_BA]]/df_mep[[#This Row],[bid_D_BA]],750)</f>
        <v>758.33333333333337</v>
      </c>
      <c r="O164" s="3">
        <f>IFERROR(df_mep[[#This Row],[bid_BA]]/df_mep[[#This Row],[ask_D_BA]],800)</f>
        <v>857.1875</v>
      </c>
      <c r="P164" s="37">
        <f>MIN(1-df_mep[[#This Row],[MEP_compra_ARS]]/MEDIAN(N:N),100%)</f>
        <v>-1.1111111111111072E-2</v>
      </c>
      <c r="Q164" s="38">
        <f>df_mep[[#This Row],[MEP_compra_USD]]/MEDIAN(O:O)-1</f>
        <v>7.1484375000000044E-2</v>
      </c>
      <c r="R164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64" s="38">
        <f>ABS(df_mep[[#This Row],[bid_BA]]-df_mep[[#This Row],[ask_BA]])/AVERAGE(df_mep[[#This Row],[bid_BA]:[ask_BA]])</f>
        <v>4.7505938242280287E-3</v>
      </c>
      <c r="T164" s="36">
        <f>ABS(df_mep[[#This Row],[bid_D_BA]]-df_mep[[#This Row],[ask_D_BA]])/AVERAGE(df_mep[[#This Row],[bid_D_BA]:[ask_D_BA]])</f>
        <v>0.11764705882352941</v>
      </c>
    </row>
    <row r="165" spans="1:20" hidden="1" x14ac:dyDescent="0.25">
      <c r="A165" s="41" t="s">
        <v>263</v>
      </c>
      <c r="B165" s="41" t="s">
        <v>264</v>
      </c>
      <c r="C165" s="4">
        <v>1148.5</v>
      </c>
      <c r="D165" s="4">
        <v>1172.5</v>
      </c>
      <c r="E165" s="4">
        <v>1156</v>
      </c>
      <c r="F165" s="34">
        <v>1.25</v>
      </c>
      <c r="G165" s="34">
        <v>1.52</v>
      </c>
      <c r="H165" s="34">
        <v>0</v>
      </c>
      <c r="I165" s="5">
        <v>14709</v>
      </c>
      <c r="J165" s="5">
        <f>df_mep[[#This Row],[volume_BA]]*df_mep[[#This Row],[open_BA]]</f>
        <v>16893286.5</v>
      </c>
      <c r="K165" s="5">
        <v>0</v>
      </c>
      <c r="L165" s="5">
        <f>df_mep[[#This Row],[volume_D_BA]]*df_mep[[#This Row],[open_D_BA]]</f>
        <v>0</v>
      </c>
      <c r="M165" s="3">
        <v>918.8</v>
      </c>
      <c r="N165" s="3">
        <f>IFERROR(df_mep[[#This Row],[ask_BA]]/df_mep[[#This Row],[bid_D_BA]],750)</f>
        <v>760.52631578947364</v>
      </c>
      <c r="O165" s="3">
        <f>IFERROR(df_mep[[#This Row],[bid_BA]]/df_mep[[#This Row],[ask_D_BA]],800)</f>
        <v>800</v>
      </c>
      <c r="P165" s="37">
        <f>MIN(1-df_mep[[#This Row],[MEP_compra_ARS]]/MEDIAN(N:N),100%)</f>
        <v>-1.4035087719298289E-2</v>
      </c>
      <c r="Q165" s="38">
        <f>df_mep[[#This Row],[MEP_compra_USD]]/MEDIAN(O:O)-1</f>
        <v>0</v>
      </c>
      <c r="R165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65" s="38">
        <f>ABS(df_mep[[#This Row],[bid_BA]]-df_mep[[#This Row],[ask_BA]])/AVERAGE(df_mep[[#This Row],[bid_BA]:[ask_BA]])</f>
        <v>1.4172213871591153E-2</v>
      </c>
      <c r="T165" s="36">
        <f>ABS(df_mep[[#This Row],[bid_D_BA]]-df_mep[[#This Row],[ask_D_BA]])/AVERAGE(df_mep[[#This Row],[bid_D_BA]:[ask_D_BA]])</f>
        <v>2</v>
      </c>
    </row>
    <row r="166" spans="1:20" hidden="1" x14ac:dyDescent="0.25">
      <c r="A166" s="41" t="s">
        <v>67</v>
      </c>
      <c r="B166" s="41" t="s">
        <v>87</v>
      </c>
      <c r="C166" s="4">
        <v>10370</v>
      </c>
      <c r="D166" s="4">
        <v>10742.5</v>
      </c>
      <c r="E166" s="4">
        <v>10710</v>
      </c>
      <c r="F166" s="34">
        <v>14.1</v>
      </c>
      <c r="G166" s="34">
        <v>14.05</v>
      </c>
      <c r="H166" s="34">
        <v>12.5</v>
      </c>
      <c r="I166" s="5">
        <v>3033</v>
      </c>
      <c r="J166" s="5">
        <f>df_mep[[#This Row],[volume_BA]]*df_mep[[#This Row],[open_BA]]</f>
        <v>31452210</v>
      </c>
      <c r="K166" s="5">
        <v>1</v>
      </c>
      <c r="L166" s="5">
        <f>df_mep[[#This Row],[volume_D_BA]]*df_mep[[#This Row],[open_D_BA]]</f>
        <v>14.1</v>
      </c>
      <c r="M166" s="3">
        <v>735.46099290780148</v>
      </c>
      <c r="N166" s="3">
        <f>IFERROR(df_mep[[#This Row],[ask_BA]]/df_mep[[#This Row],[bid_D_BA]],750)</f>
        <v>762.27758007117438</v>
      </c>
      <c r="O166" s="3">
        <f>IFERROR(df_mep[[#This Row],[bid_BA]]/df_mep[[#This Row],[ask_D_BA]],800)</f>
        <v>859.4</v>
      </c>
      <c r="P166" s="37">
        <f>MIN(1-df_mep[[#This Row],[MEP_compra_ARS]]/MEDIAN(N:N),100%)</f>
        <v>-1.6370106761565806E-2</v>
      </c>
      <c r="Q166" s="38">
        <f>df_mep[[#This Row],[MEP_compra_USD]]/MEDIAN(O:O)-1</f>
        <v>7.4249999999999927E-2</v>
      </c>
      <c r="R166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66" s="38">
        <f>ABS(df_mep[[#This Row],[bid_BA]]-df_mep[[#This Row],[ask_BA]])/AVERAGE(df_mep[[#This Row],[bid_BA]:[ask_BA]])</f>
        <v>3.0299498892902925E-3</v>
      </c>
      <c r="T166" s="36">
        <f>ABS(df_mep[[#This Row],[bid_D_BA]]-df_mep[[#This Row],[ask_D_BA]])/AVERAGE(df_mep[[#This Row],[bid_D_BA]:[ask_D_BA]])</f>
        <v>0.11676082862523546</v>
      </c>
    </row>
    <row r="167" spans="1:20" hidden="1" x14ac:dyDescent="0.25">
      <c r="A167" s="41" t="s">
        <v>76</v>
      </c>
      <c r="B167" s="41" t="s">
        <v>189</v>
      </c>
      <c r="C167" s="4">
        <v>2306</v>
      </c>
      <c r="D167" s="4">
        <v>2398.5</v>
      </c>
      <c r="E167" s="4">
        <v>2395</v>
      </c>
      <c r="F167" s="34">
        <v>3.16</v>
      </c>
      <c r="G167" s="34">
        <v>3.14</v>
      </c>
      <c r="H167" s="34">
        <v>2.48</v>
      </c>
      <c r="I167" s="5">
        <v>24633</v>
      </c>
      <c r="J167" s="5">
        <f>df_mep[[#This Row],[volume_BA]]*df_mep[[#This Row],[open_BA]]</f>
        <v>56803698</v>
      </c>
      <c r="K167" s="5">
        <v>91</v>
      </c>
      <c r="L167" s="5">
        <f>df_mep[[#This Row],[volume_D_BA]]*df_mep[[#This Row],[open_D_BA]]</f>
        <v>287.56</v>
      </c>
      <c r="M167" s="3">
        <v>729.74683544303798</v>
      </c>
      <c r="N167" s="3">
        <f>IFERROR(df_mep[[#This Row],[ask_BA]]/df_mep[[#This Row],[bid_D_BA]],750)</f>
        <v>762.73885350318471</v>
      </c>
      <c r="O167" s="3">
        <f>IFERROR(df_mep[[#This Row],[bid_BA]]/df_mep[[#This Row],[ask_D_BA]],800)</f>
        <v>967.13709677419354</v>
      </c>
      <c r="P167" s="37">
        <f>MIN(1-df_mep[[#This Row],[MEP_compra_ARS]]/MEDIAN(N:N),100%)</f>
        <v>-1.6985138004246281E-2</v>
      </c>
      <c r="Q167" s="38">
        <f>df_mep[[#This Row],[MEP_compra_USD]]/MEDIAN(O:O)-1</f>
        <v>0.20892137096774199</v>
      </c>
      <c r="R167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67" s="38">
        <f>ABS(df_mep[[#This Row],[bid_BA]]-df_mep[[#This Row],[ask_BA]])/AVERAGE(df_mep[[#This Row],[bid_BA]:[ask_BA]])</f>
        <v>1.4603108375925732E-3</v>
      </c>
      <c r="T167" s="36">
        <f>ABS(df_mep[[#This Row],[bid_D_BA]]-df_mep[[#This Row],[ask_D_BA]])/AVERAGE(df_mep[[#This Row],[bid_D_BA]:[ask_D_BA]])</f>
        <v>0.2348754448398577</v>
      </c>
    </row>
    <row r="168" spans="1:20" hidden="1" x14ac:dyDescent="0.25">
      <c r="A168" s="41" t="s">
        <v>162</v>
      </c>
      <c r="B168" s="41" t="s">
        <v>295</v>
      </c>
      <c r="C168" s="4">
        <v>1229</v>
      </c>
      <c r="D168" s="4">
        <v>1270.5</v>
      </c>
      <c r="E168" s="4">
        <v>1259.5</v>
      </c>
      <c r="F168" s="34">
        <v>1.69</v>
      </c>
      <c r="G168" s="34">
        <v>1.65</v>
      </c>
      <c r="H168" s="34">
        <v>1.6</v>
      </c>
      <c r="I168" s="5">
        <v>1532</v>
      </c>
      <c r="J168" s="5">
        <f>df_mep[[#This Row],[volume_BA]]*df_mep[[#This Row],[open_BA]]</f>
        <v>1882828</v>
      </c>
      <c r="K168" s="5">
        <v>0</v>
      </c>
      <c r="L168" s="5">
        <f>df_mep[[#This Row],[volume_D_BA]]*df_mep[[#This Row],[open_D_BA]]</f>
        <v>0</v>
      </c>
      <c r="M168" s="3">
        <v>727.21893491124263</v>
      </c>
      <c r="N168" s="3">
        <f>IFERROR(df_mep[[#This Row],[ask_BA]]/df_mep[[#This Row],[bid_D_BA]],750)</f>
        <v>763.33333333333337</v>
      </c>
      <c r="O168" s="3">
        <f>IFERROR(df_mep[[#This Row],[bid_BA]]/df_mep[[#This Row],[ask_D_BA]],800)</f>
        <v>794.0625</v>
      </c>
      <c r="P168" s="37">
        <f>MIN(1-df_mep[[#This Row],[MEP_compra_ARS]]/MEDIAN(N:N),100%)</f>
        <v>-1.7777777777777892E-2</v>
      </c>
      <c r="Q168" s="38">
        <f>df_mep[[#This Row],[MEP_compra_USD]]/MEDIAN(O:O)-1</f>
        <v>-7.4218750000000222E-3</v>
      </c>
      <c r="R168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68" s="38">
        <f>ABS(df_mep[[#This Row],[bid_BA]]-df_mep[[#This Row],[ask_BA]])/AVERAGE(df_mep[[#This Row],[bid_BA]:[ask_BA]])</f>
        <v>8.6956521739130436E-3</v>
      </c>
      <c r="T168" s="36">
        <f>ABS(df_mep[[#This Row],[bid_D_BA]]-df_mep[[#This Row],[ask_D_BA]])/AVERAGE(df_mep[[#This Row],[bid_D_BA]:[ask_D_BA]])</f>
        <v>3.076923076923066E-2</v>
      </c>
    </row>
    <row r="169" spans="1:20" hidden="1" x14ac:dyDescent="0.25">
      <c r="A169" s="41" t="s">
        <v>65</v>
      </c>
      <c r="B169" s="41" t="s">
        <v>170</v>
      </c>
      <c r="C169" s="4">
        <v>5335.5</v>
      </c>
      <c r="D169" s="4">
        <v>5718.5</v>
      </c>
      <c r="E169" s="4">
        <v>5647.5</v>
      </c>
      <c r="F169" s="34">
        <v>6.45</v>
      </c>
      <c r="G169" s="34">
        <v>7.39</v>
      </c>
      <c r="H169" s="34">
        <v>6.1</v>
      </c>
      <c r="I169" s="5">
        <v>3776</v>
      </c>
      <c r="J169" s="5">
        <f>df_mep[[#This Row],[volume_BA]]*df_mep[[#This Row],[open_BA]]</f>
        <v>20146848</v>
      </c>
      <c r="K169" s="5">
        <v>0</v>
      </c>
      <c r="L169" s="5">
        <f>df_mep[[#This Row],[volume_D_BA]]*df_mep[[#This Row],[open_D_BA]]</f>
        <v>0</v>
      </c>
      <c r="M169" s="3">
        <v>827.20930232558135</v>
      </c>
      <c r="N169" s="3">
        <f>IFERROR(df_mep[[#This Row],[ask_BA]]/df_mep[[#This Row],[bid_D_BA]],750)</f>
        <v>764.20838971583225</v>
      </c>
      <c r="O169" s="3">
        <f>IFERROR(df_mep[[#This Row],[bid_BA]]/df_mep[[#This Row],[ask_D_BA]],800)</f>
        <v>937.45901639344265</v>
      </c>
      <c r="P169" s="37">
        <f>MIN(1-df_mep[[#This Row],[MEP_compra_ARS]]/MEDIAN(N:N),100%)</f>
        <v>-1.8944519621109768E-2</v>
      </c>
      <c r="Q169" s="38">
        <f>df_mep[[#This Row],[MEP_compra_USD]]/MEDIAN(O:O)-1</f>
        <v>0.17182377049180331</v>
      </c>
      <c r="R169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69" s="38">
        <f>ABS(df_mep[[#This Row],[bid_BA]]-df_mep[[#This Row],[ask_BA]])/AVERAGE(df_mep[[#This Row],[bid_BA]:[ask_BA]])</f>
        <v>1.2493401372514517E-2</v>
      </c>
      <c r="T169" s="36">
        <f>ABS(df_mep[[#This Row],[bid_D_BA]]-df_mep[[#This Row],[ask_D_BA]])/AVERAGE(df_mep[[#This Row],[bid_D_BA]:[ask_D_BA]])</f>
        <v>0.19125277983691627</v>
      </c>
    </row>
    <row r="170" spans="1:20" hidden="1" x14ac:dyDescent="0.25">
      <c r="A170" s="41" t="s">
        <v>28</v>
      </c>
      <c r="B170" s="41" t="s">
        <v>89</v>
      </c>
      <c r="C170" s="4">
        <v>423.5</v>
      </c>
      <c r="D170" s="4">
        <v>439</v>
      </c>
      <c r="E170" s="4">
        <v>435</v>
      </c>
      <c r="F170" s="34">
        <v>0.49099999999999999</v>
      </c>
      <c r="G170" s="34">
        <v>0.56899999999999995</v>
      </c>
      <c r="H170" s="34">
        <v>0.5</v>
      </c>
      <c r="I170" s="5">
        <v>32187</v>
      </c>
      <c r="J170" s="5">
        <f>df_mep[[#This Row],[volume_BA]]*df_mep[[#This Row],[open_BA]]</f>
        <v>13631194.5</v>
      </c>
      <c r="K170" s="5">
        <v>10</v>
      </c>
      <c r="L170" s="5">
        <f>df_mep[[#This Row],[volume_D_BA]]*df_mep[[#This Row],[open_D_BA]]</f>
        <v>4.91</v>
      </c>
      <c r="M170" s="3">
        <v>862.52545824847255</v>
      </c>
      <c r="N170" s="3">
        <f>IFERROR(df_mep[[#This Row],[ask_BA]]/df_mep[[#This Row],[bid_D_BA]],750)</f>
        <v>764.49912126537788</v>
      </c>
      <c r="O170" s="3">
        <f>IFERROR(df_mep[[#This Row],[bid_BA]]/df_mep[[#This Row],[ask_D_BA]],800)</f>
        <v>878</v>
      </c>
      <c r="P170" s="37">
        <f>MIN(1-df_mep[[#This Row],[MEP_compra_ARS]]/MEDIAN(N:N),100%)</f>
        <v>-1.9332161687170446E-2</v>
      </c>
      <c r="Q170" s="38">
        <f>df_mep[[#This Row],[MEP_compra_USD]]/MEDIAN(O:O)-1</f>
        <v>9.749999999999992E-2</v>
      </c>
      <c r="R170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70" s="38">
        <f>ABS(df_mep[[#This Row],[bid_BA]]-df_mep[[#This Row],[ask_BA]])/AVERAGE(df_mep[[#This Row],[bid_BA]:[ask_BA]])</f>
        <v>9.1533180778032037E-3</v>
      </c>
      <c r="T170" s="36">
        <f>ABS(df_mep[[#This Row],[bid_D_BA]]-df_mep[[#This Row],[ask_D_BA]])/AVERAGE(df_mep[[#This Row],[bid_D_BA]:[ask_D_BA]])</f>
        <v>0.12909260991580909</v>
      </c>
    </row>
    <row r="171" spans="1:20" x14ac:dyDescent="0.25">
      <c r="A171" s="41" t="s">
        <v>137</v>
      </c>
      <c r="B171" s="41" t="s">
        <v>256</v>
      </c>
      <c r="C171" s="4">
        <v>25024</v>
      </c>
      <c r="D171" s="4">
        <v>25196</v>
      </c>
      <c r="E171" s="4">
        <v>25180</v>
      </c>
      <c r="F171" s="34">
        <v>33.5</v>
      </c>
      <c r="G171" s="34">
        <v>32.950000000000003</v>
      </c>
      <c r="H171" s="34">
        <v>29.8</v>
      </c>
      <c r="I171" s="5">
        <v>2183</v>
      </c>
      <c r="J171" s="5">
        <f>df_mep[[#This Row],[volume_BA]]*df_mep[[#This Row],[open_BA]]</f>
        <v>54627392</v>
      </c>
      <c r="K171" s="5">
        <v>73</v>
      </c>
      <c r="L171" s="5">
        <f>df_mep[[#This Row],[volume_D_BA]]*df_mep[[#This Row],[open_D_BA]]</f>
        <v>2445.5</v>
      </c>
      <c r="M171" s="3">
        <v>746.98507462686564</v>
      </c>
      <c r="N171" s="3">
        <f>IFERROR(df_mep[[#This Row],[ask_BA]]/df_mep[[#This Row],[bid_D_BA]],750)</f>
        <v>764.18816388467371</v>
      </c>
      <c r="O171" s="3">
        <f>IFERROR(df_mep[[#This Row],[bid_BA]]/df_mep[[#This Row],[ask_D_BA]],800)</f>
        <v>845.50335570469792</v>
      </c>
      <c r="P171" s="37">
        <f>MIN(1-df_mep[[#This Row],[MEP_compra_ARS]]/MEDIAN(N:N),100%)</f>
        <v>-1.8917551846231673E-2</v>
      </c>
      <c r="Q171" s="38">
        <f>df_mep[[#This Row],[MEP_compra_USD]]/MEDIAN(O:O)-1</f>
        <v>5.6879194630872432E-2</v>
      </c>
      <c r="R171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171" s="38">
        <f>ABS(df_mep[[#This Row],[bid_BA]]-df_mep[[#This Row],[ask_BA]])/AVERAGE(df_mep[[#This Row],[bid_BA]:[ask_BA]])</f>
        <v>6.3522312212164523E-4</v>
      </c>
      <c r="T171" s="36">
        <f>ABS(df_mep[[#This Row],[bid_D_BA]]-df_mep[[#This Row],[ask_D_BA]])/AVERAGE(df_mep[[#This Row],[bid_D_BA]:[ask_D_BA]])</f>
        <v>0.10039840637450206</v>
      </c>
    </row>
    <row r="172" spans="1:20" hidden="1" x14ac:dyDescent="0.25">
      <c r="A172" s="41" t="s">
        <v>166</v>
      </c>
      <c r="B172" s="41" t="s">
        <v>188</v>
      </c>
      <c r="C172" s="4">
        <v>11716</v>
      </c>
      <c r="D172" s="4">
        <v>12013</v>
      </c>
      <c r="E172" s="4">
        <v>11898.5</v>
      </c>
      <c r="F172" s="34">
        <v>15.4</v>
      </c>
      <c r="G172" s="34">
        <v>15.55</v>
      </c>
      <c r="H172" s="34">
        <v>13.8</v>
      </c>
      <c r="I172" s="5">
        <v>1683</v>
      </c>
      <c r="J172" s="5">
        <f>df_mep[[#This Row],[volume_BA]]*df_mep[[#This Row],[open_BA]]</f>
        <v>19718028</v>
      </c>
      <c r="K172" s="5">
        <v>27</v>
      </c>
      <c r="L172" s="5">
        <f>df_mep[[#This Row],[volume_D_BA]]*df_mep[[#This Row],[open_D_BA]]</f>
        <v>415.8</v>
      </c>
      <c r="M172" s="3">
        <v>760.77922077922074</v>
      </c>
      <c r="N172" s="3">
        <f>IFERROR(df_mep[[#This Row],[ask_BA]]/df_mep[[#This Row],[bid_D_BA]],750)</f>
        <v>765.17684887459802</v>
      </c>
      <c r="O172" s="3">
        <f>IFERROR(df_mep[[#This Row],[bid_BA]]/df_mep[[#This Row],[ask_D_BA]],800)</f>
        <v>870.50724637681151</v>
      </c>
      <c r="P172" s="37">
        <f>MIN(1-df_mep[[#This Row],[MEP_compra_ARS]]/MEDIAN(N:N),100%)</f>
        <v>-2.0235798499464108E-2</v>
      </c>
      <c r="Q172" s="38">
        <f>df_mep[[#This Row],[MEP_compra_USD]]/MEDIAN(O:O)-1</f>
        <v>8.8134057971014368E-2</v>
      </c>
      <c r="R172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72" s="38">
        <f>ABS(df_mep[[#This Row],[bid_BA]]-df_mep[[#This Row],[ask_BA]])/AVERAGE(df_mep[[#This Row],[bid_BA]:[ask_BA]])</f>
        <v>9.5769817870062519E-3</v>
      </c>
      <c r="T172" s="36">
        <f>ABS(df_mep[[#This Row],[bid_D_BA]]-df_mep[[#This Row],[ask_D_BA]])/AVERAGE(df_mep[[#This Row],[bid_D_BA]:[ask_D_BA]])</f>
        <v>0.11925042589437819</v>
      </c>
    </row>
    <row r="173" spans="1:20" hidden="1" x14ac:dyDescent="0.25">
      <c r="A173" s="41" t="s">
        <v>173</v>
      </c>
      <c r="B173" s="41" t="s">
        <v>174</v>
      </c>
      <c r="C173" s="4">
        <v>6591.5</v>
      </c>
      <c r="D173" s="4">
        <v>6899.5</v>
      </c>
      <c r="E173" s="4">
        <v>6829.5</v>
      </c>
      <c r="F173" s="34">
        <v>9.0500000000000007</v>
      </c>
      <c r="G173" s="34">
        <v>8.9</v>
      </c>
      <c r="H173" s="34">
        <v>0</v>
      </c>
      <c r="I173" s="5">
        <v>342</v>
      </c>
      <c r="J173" s="5">
        <f>df_mep[[#This Row],[volume_BA]]*df_mep[[#This Row],[open_BA]]</f>
        <v>2254293</v>
      </c>
      <c r="K173" s="5">
        <v>0</v>
      </c>
      <c r="L173" s="5">
        <f>df_mep[[#This Row],[volume_D_BA]]*df_mep[[#This Row],[open_D_BA]]</f>
        <v>0</v>
      </c>
      <c r="M173" s="3">
        <v>728.34254143646399</v>
      </c>
      <c r="N173" s="3">
        <f>IFERROR(df_mep[[#This Row],[ask_BA]]/df_mep[[#This Row],[bid_D_BA]],750)</f>
        <v>767.35955056179773</v>
      </c>
      <c r="O173" s="3">
        <f>IFERROR(df_mep[[#This Row],[bid_BA]]/df_mep[[#This Row],[ask_D_BA]],800)</f>
        <v>800</v>
      </c>
      <c r="P173" s="37">
        <f>MIN(1-df_mep[[#This Row],[MEP_compra_ARS]]/MEDIAN(N:N),100%)</f>
        <v>-2.314606741573022E-2</v>
      </c>
      <c r="Q173" s="38">
        <f>df_mep[[#This Row],[MEP_compra_USD]]/MEDIAN(O:O)-1</f>
        <v>0</v>
      </c>
      <c r="R173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73" s="38">
        <f>ABS(df_mep[[#This Row],[bid_BA]]-df_mep[[#This Row],[ask_BA]])/AVERAGE(df_mep[[#This Row],[bid_BA]:[ask_BA]])</f>
        <v>1.0197392381091122E-2</v>
      </c>
      <c r="T173" s="36">
        <f>ABS(df_mep[[#This Row],[bid_D_BA]]-df_mep[[#This Row],[ask_D_BA]])/AVERAGE(df_mep[[#This Row],[bid_D_BA]:[ask_D_BA]])</f>
        <v>2</v>
      </c>
    </row>
    <row r="174" spans="1:20" x14ac:dyDescent="0.25">
      <c r="A174" s="41" t="s">
        <v>73</v>
      </c>
      <c r="B174" s="41" t="s">
        <v>287</v>
      </c>
      <c r="C174" s="4">
        <v>13800</v>
      </c>
      <c r="D174" s="4">
        <v>14157</v>
      </c>
      <c r="E174" s="4">
        <v>14095.5</v>
      </c>
      <c r="F174" s="34">
        <v>17.149999999999999</v>
      </c>
      <c r="G174" s="34">
        <v>18</v>
      </c>
      <c r="H174" s="34">
        <v>16.600000000000001</v>
      </c>
      <c r="I174" s="5">
        <v>2665</v>
      </c>
      <c r="J174" s="5">
        <f>df_mep[[#This Row],[volume_BA]]*df_mep[[#This Row],[open_BA]]</f>
        <v>36777000</v>
      </c>
      <c r="K174" s="5">
        <v>80</v>
      </c>
      <c r="L174" s="5">
        <f>df_mep[[#This Row],[volume_D_BA]]*df_mep[[#This Row],[open_D_BA]]</f>
        <v>1372</v>
      </c>
      <c r="M174" s="3">
        <v>804.66472303207001</v>
      </c>
      <c r="N174" s="3">
        <f>IFERROR(df_mep[[#This Row],[ask_BA]]/df_mep[[#This Row],[bid_D_BA]],750)</f>
        <v>783.08333333333337</v>
      </c>
      <c r="O174" s="3">
        <f>IFERROR(df_mep[[#This Row],[bid_BA]]/df_mep[[#This Row],[ask_D_BA]],800)</f>
        <v>852.83132530120474</v>
      </c>
      <c r="P174" s="37">
        <f>MIN(1-df_mep[[#This Row],[MEP_compra_ARS]]/MEDIAN(N:N),100%)</f>
        <v>-4.4111111111111212E-2</v>
      </c>
      <c r="Q174" s="38">
        <f>df_mep[[#This Row],[MEP_compra_USD]]/MEDIAN(O:O)-1</f>
        <v>6.6039156626505946E-2</v>
      </c>
      <c r="R174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174" s="38">
        <f>ABS(df_mep[[#This Row],[bid_BA]]-df_mep[[#This Row],[ask_BA]])/AVERAGE(df_mep[[#This Row],[bid_BA]:[ask_BA]])</f>
        <v>4.3535970268117861E-3</v>
      </c>
      <c r="T174" s="36">
        <f>ABS(df_mep[[#This Row],[bid_D_BA]]-df_mep[[#This Row],[ask_D_BA]])/AVERAGE(df_mep[[#This Row],[bid_D_BA]:[ask_D_BA]])</f>
        <v>8.0924855491329398E-2</v>
      </c>
    </row>
    <row r="175" spans="1:20" hidden="1" x14ac:dyDescent="0.25">
      <c r="A175" s="41" t="s">
        <v>99</v>
      </c>
      <c r="B175" s="41" t="s">
        <v>178</v>
      </c>
      <c r="C175" s="4">
        <v>8420</v>
      </c>
      <c r="D175" s="4">
        <v>8765.5</v>
      </c>
      <c r="E175" s="4">
        <v>8760</v>
      </c>
      <c r="F175" s="34">
        <v>10.25</v>
      </c>
      <c r="G175" s="34">
        <v>11.3</v>
      </c>
      <c r="H175" s="34">
        <v>9.82</v>
      </c>
      <c r="I175" s="5">
        <v>1969</v>
      </c>
      <c r="J175" s="5">
        <f>df_mep[[#This Row],[volume_BA]]*df_mep[[#This Row],[open_BA]]</f>
        <v>16578980</v>
      </c>
      <c r="K175" s="5">
        <v>4</v>
      </c>
      <c r="L175" s="5">
        <f>df_mep[[#This Row],[volume_D_BA]]*df_mep[[#This Row],[open_D_BA]]</f>
        <v>41</v>
      </c>
      <c r="M175" s="3">
        <v>821.46341463414637</v>
      </c>
      <c r="N175" s="3">
        <f>IFERROR(df_mep[[#This Row],[ask_BA]]/df_mep[[#This Row],[bid_D_BA]],750)</f>
        <v>775.22123893805303</v>
      </c>
      <c r="O175" s="3">
        <f>IFERROR(df_mep[[#This Row],[bid_BA]]/df_mep[[#This Row],[ask_D_BA]],800)</f>
        <v>892.61710794297346</v>
      </c>
      <c r="P175" s="37">
        <f>MIN(1-df_mep[[#This Row],[MEP_compra_ARS]]/MEDIAN(N:N),100%)</f>
        <v>-3.3628318584070671E-2</v>
      </c>
      <c r="Q175" s="38">
        <f>df_mep[[#This Row],[MEP_compra_USD]]/MEDIAN(O:O)-1</f>
        <v>0.11577138492871675</v>
      </c>
      <c r="R175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75" s="38">
        <f>ABS(df_mep[[#This Row],[bid_BA]]-df_mep[[#This Row],[ask_BA]])/AVERAGE(df_mep[[#This Row],[bid_BA]:[ask_BA]])</f>
        <v>6.2765684288608025E-4</v>
      </c>
      <c r="T175" s="36">
        <f>ABS(df_mep[[#This Row],[bid_D_BA]]-df_mep[[#This Row],[ask_D_BA]])/AVERAGE(df_mep[[#This Row],[bid_D_BA]:[ask_D_BA]])</f>
        <v>0.14015151515151519</v>
      </c>
    </row>
    <row r="176" spans="1:20" hidden="1" x14ac:dyDescent="0.25">
      <c r="A176" s="41" t="s">
        <v>53</v>
      </c>
      <c r="B176" s="41" t="s">
        <v>270</v>
      </c>
      <c r="C176" s="4">
        <v>4241</v>
      </c>
      <c r="D176" s="4">
        <v>4368.5</v>
      </c>
      <c r="E176" s="4">
        <v>4357.5</v>
      </c>
      <c r="F176" s="34">
        <v>5.72</v>
      </c>
      <c r="G176" s="34">
        <v>5.6</v>
      </c>
      <c r="H176" s="34">
        <v>5.3</v>
      </c>
      <c r="I176" s="5">
        <v>18048</v>
      </c>
      <c r="J176" s="5">
        <f>df_mep[[#This Row],[volume_BA]]*df_mep[[#This Row],[open_BA]]</f>
        <v>76541568</v>
      </c>
      <c r="K176" s="5">
        <v>138</v>
      </c>
      <c r="L176" s="5">
        <f>df_mep[[#This Row],[volume_D_BA]]*df_mep[[#This Row],[open_D_BA]]</f>
        <v>789.36</v>
      </c>
      <c r="M176" s="3">
        <v>741.43356643356651</v>
      </c>
      <c r="N176" s="3">
        <f>IFERROR(df_mep[[#This Row],[ask_BA]]/df_mep[[#This Row],[bid_D_BA]],750)</f>
        <v>778.125</v>
      </c>
      <c r="O176" s="3">
        <f>IFERROR(df_mep[[#This Row],[bid_BA]]/df_mep[[#This Row],[ask_D_BA]],800)</f>
        <v>824.24528301886801</v>
      </c>
      <c r="P176" s="37">
        <f>MIN(1-df_mep[[#This Row],[MEP_compra_ARS]]/MEDIAN(N:N),100%)</f>
        <v>-3.7500000000000089E-2</v>
      </c>
      <c r="Q176" s="38">
        <f>df_mep[[#This Row],[MEP_compra_USD]]/MEDIAN(O:O)-1</f>
        <v>3.0306603773585072E-2</v>
      </c>
      <c r="R176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76" s="38">
        <f>ABS(df_mep[[#This Row],[bid_BA]]-df_mep[[#This Row],[ask_BA]])/AVERAGE(df_mep[[#This Row],[bid_BA]:[ask_BA]])</f>
        <v>2.5212010084804033E-3</v>
      </c>
      <c r="T176" s="36">
        <f>ABS(df_mep[[#This Row],[bid_D_BA]]-df_mep[[#This Row],[ask_D_BA]])/AVERAGE(df_mep[[#This Row],[bid_D_BA]:[ask_D_BA]])</f>
        <v>5.5045871559633003E-2</v>
      </c>
    </row>
    <row r="177" spans="1:20" hidden="1" x14ac:dyDescent="0.25">
      <c r="A177" s="41" t="s">
        <v>277</v>
      </c>
      <c r="B177" s="41" t="s">
        <v>278</v>
      </c>
      <c r="C177" s="4">
        <v>16340</v>
      </c>
      <c r="D177" s="4">
        <v>16817</v>
      </c>
      <c r="E177" s="4">
        <v>16652</v>
      </c>
      <c r="F177" s="34">
        <v>21.05</v>
      </c>
      <c r="G177" s="34">
        <v>21.35</v>
      </c>
      <c r="H177" s="34">
        <v>18.7</v>
      </c>
      <c r="I177" s="5">
        <v>611</v>
      </c>
      <c r="J177" s="5">
        <f>df_mep[[#This Row],[volume_BA]]*df_mep[[#This Row],[open_BA]]</f>
        <v>9983740</v>
      </c>
      <c r="K177" s="5">
        <v>0</v>
      </c>
      <c r="L177" s="5">
        <f>df_mep[[#This Row],[volume_D_BA]]*df_mep[[#This Row],[open_D_BA]]</f>
        <v>0</v>
      </c>
      <c r="M177" s="3">
        <v>776.24703087885985</v>
      </c>
      <c r="N177" s="3">
        <f>IFERROR(df_mep[[#This Row],[ask_BA]]/df_mep[[#This Row],[bid_D_BA]],750)</f>
        <v>779.95316159250581</v>
      </c>
      <c r="O177" s="3">
        <f>IFERROR(df_mep[[#This Row],[bid_BA]]/df_mep[[#This Row],[ask_D_BA]],800)</f>
        <v>899.30481283422466</v>
      </c>
      <c r="P177" s="37">
        <f>MIN(1-df_mep[[#This Row],[MEP_compra_ARS]]/MEDIAN(N:N),100%)</f>
        <v>-3.9937548790007771E-2</v>
      </c>
      <c r="Q177" s="38">
        <f>df_mep[[#This Row],[MEP_compra_USD]]/MEDIAN(O:O)-1</f>
        <v>0.12413101604278087</v>
      </c>
      <c r="R177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77" s="38">
        <f>ABS(df_mep[[#This Row],[bid_BA]]-df_mep[[#This Row],[ask_BA]])/AVERAGE(df_mep[[#This Row],[bid_BA]:[ask_BA]])</f>
        <v>9.8598703277659929E-3</v>
      </c>
      <c r="T177" s="36">
        <f>ABS(df_mep[[#This Row],[bid_D_BA]]-df_mep[[#This Row],[ask_D_BA]])/AVERAGE(df_mep[[#This Row],[bid_D_BA]:[ask_D_BA]])</f>
        <v>0.13233458177278415</v>
      </c>
    </row>
    <row r="178" spans="1:20" x14ac:dyDescent="0.25">
      <c r="A178" s="41" t="s">
        <v>33</v>
      </c>
      <c r="B178" s="41" t="s">
        <v>284</v>
      </c>
      <c r="C178" s="4">
        <v>5583</v>
      </c>
      <c r="D178" s="4">
        <v>5750</v>
      </c>
      <c r="E178" s="4">
        <v>5741.5</v>
      </c>
      <c r="F178" s="34">
        <v>6.38</v>
      </c>
      <c r="G178" s="34">
        <v>7.3</v>
      </c>
      <c r="H178" s="34">
        <v>6.32</v>
      </c>
      <c r="I178" s="5">
        <v>17071</v>
      </c>
      <c r="J178" s="5">
        <f>df_mep[[#This Row],[volume_BA]]*df_mep[[#This Row],[open_BA]]</f>
        <v>95307393</v>
      </c>
      <c r="K178" s="5">
        <v>375</v>
      </c>
      <c r="L178" s="5">
        <f>df_mep[[#This Row],[volume_D_BA]]*df_mep[[#This Row],[open_D_BA]]</f>
        <v>2392.5</v>
      </c>
      <c r="M178" s="3">
        <v>875.07836990595615</v>
      </c>
      <c r="N178" s="3">
        <f>IFERROR(df_mep[[#This Row],[ask_BA]]/df_mep[[#This Row],[bid_D_BA]],750)</f>
        <v>786.50684931506851</v>
      </c>
      <c r="O178" s="3">
        <f>IFERROR(df_mep[[#This Row],[bid_BA]]/df_mep[[#This Row],[ask_D_BA]],800)</f>
        <v>909.81012658227849</v>
      </c>
      <c r="P178" s="37">
        <f>MIN(1-df_mep[[#This Row],[MEP_compra_ARS]]/MEDIAN(N:N),100%)</f>
        <v>-4.867579908675812E-2</v>
      </c>
      <c r="Q178" s="38">
        <f>df_mep[[#This Row],[MEP_compra_USD]]/MEDIAN(O:O)-1</f>
        <v>0.137262658227848</v>
      </c>
      <c r="R178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178" s="38">
        <f>ABS(df_mep[[#This Row],[bid_BA]]-df_mep[[#This Row],[ask_BA]])/AVERAGE(df_mep[[#This Row],[bid_BA]:[ask_BA]])</f>
        <v>1.4793543053561327E-3</v>
      </c>
      <c r="T178" s="36">
        <f>ABS(df_mep[[#This Row],[bid_D_BA]]-df_mep[[#This Row],[ask_D_BA]])/AVERAGE(df_mep[[#This Row],[bid_D_BA]:[ask_D_BA]])</f>
        <v>0.14390602055800286</v>
      </c>
    </row>
    <row r="179" spans="1:20" hidden="1" x14ac:dyDescent="0.25">
      <c r="A179" s="41" t="s">
        <v>163</v>
      </c>
      <c r="B179" s="41" t="s">
        <v>227</v>
      </c>
      <c r="C179" s="4">
        <v>14840.5</v>
      </c>
      <c r="D179" s="4">
        <v>15361</v>
      </c>
      <c r="E179" s="4">
        <v>15340</v>
      </c>
      <c r="F179" s="34">
        <v>19.649999999999999</v>
      </c>
      <c r="G179" s="34">
        <v>19.649999999999999</v>
      </c>
      <c r="H179" s="34">
        <v>18.5</v>
      </c>
      <c r="I179" s="5">
        <v>3738</v>
      </c>
      <c r="J179" s="5">
        <f>df_mep[[#This Row],[volume_BA]]*df_mep[[#This Row],[open_BA]]</f>
        <v>55473789</v>
      </c>
      <c r="K179" s="5">
        <v>42</v>
      </c>
      <c r="L179" s="5">
        <f>df_mep[[#This Row],[volume_D_BA]]*df_mep[[#This Row],[open_D_BA]]</f>
        <v>825.3</v>
      </c>
      <c r="M179" s="3">
        <v>755.24173027989832</v>
      </c>
      <c r="N179" s="3">
        <f>IFERROR(df_mep[[#This Row],[ask_BA]]/df_mep[[#This Row],[bid_D_BA]],750)</f>
        <v>780.66157760814258</v>
      </c>
      <c r="O179" s="3">
        <f>IFERROR(df_mep[[#This Row],[bid_BA]]/df_mep[[#This Row],[ask_D_BA]],800)</f>
        <v>830.32432432432438</v>
      </c>
      <c r="P179" s="37">
        <f>MIN(1-df_mep[[#This Row],[MEP_compra_ARS]]/MEDIAN(N:N),100%)</f>
        <v>-4.0882103477523524E-2</v>
      </c>
      <c r="Q179" s="38">
        <f>df_mep[[#This Row],[MEP_compra_USD]]/MEDIAN(O:O)-1</f>
        <v>3.7905405405405546E-2</v>
      </c>
      <c r="R179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79" s="38">
        <f>ABS(df_mep[[#This Row],[bid_BA]]-df_mep[[#This Row],[ask_BA]])/AVERAGE(df_mep[[#This Row],[bid_BA]:[ask_BA]])</f>
        <v>1.368033614540243E-3</v>
      </c>
      <c r="T179" s="36">
        <f>ABS(df_mep[[#This Row],[bid_D_BA]]-df_mep[[#This Row],[ask_D_BA]])/AVERAGE(df_mep[[#This Row],[bid_D_BA]:[ask_D_BA]])</f>
        <v>6.0288335517693241E-2</v>
      </c>
    </row>
    <row r="180" spans="1:20" hidden="1" x14ac:dyDescent="0.25">
      <c r="A180" s="41" t="s">
        <v>207</v>
      </c>
      <c r="B180" s="41" t="s">
        <v>208</v>
      </c>
      <c r="C180" s="4">
        <v>11770.5</v>
      </c>
      <c r="D180" s="4">
        <v>12235</v>
      </c>
      <c r="E180" s="4">
        <v>12214.5</v>
      </c>
      <c r="F180" s="34">
        <v>14.8</v>
      </c>
      <c r="G180" s="34">
        <v>15.6</v>
      </c>
      <c r="H180" s="34">
        <v>0</v>
      </c>
      <c r="I180" s="5">
        <v>5555</v>
      </c>
      <c r="J180" s="5">
        <f>df_mep[[#This Row],[volume_BA]]*df_mep[[#This Row],[open_BA]]</f>
        <v>65385127.5</v>
      </c>
      <c r="K180" s="5">
        <v>0</v>
      </c>
      <c r="L180" s="5">
        <f>df_mep[[#This Row],[volume_D_BA]]*df_mep[[#This Row],[open_D_BA]]</f>
        <v>0</v>
      </c>
      <c r="M180" s="3">
        <v>795.30405405405406</v>
      </c>
      <c r="N180" s="3">
        <f>IFERROR(df_mep[[#This Row],[ask_BA]]/df_mep[[#This Row],[bid_D_BA]],750)</f>
        <v>782.98076923076928</v>
      </c>
      <c r="O180" s="3">
        <f>IFERROR(df_mep[[#This Row],[bid_BA]]/df_mep[[#This Row],[ask_D_BA]],800)</f>
        <v>800</v>
      </c>
      <c r="P180" s="37">
        <f>MIN(1-df_mep[[#This Row],[MEP_compra_ARS]]/MEDIAN(N:N),100%)</f>
        <v>-4.3974358974359085E-2</v>
      </c>
      <c r="Q180" s="38">
        <f>df_mep[[#This Row],[MEP_compra_USD]]/MEDIAN(O:O)-1</f>
        <v>0</v>
      </c>
      <c r="R180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80" s="38">
        <f>ABS(df_mep[[#This Row],[bid_BA]]-df_mep[[#This Row],[ask_BA]])/AVERAGE(df_mep[[#This Row],[bid_BA]:[ask_BA]])</f>
        <v>1.6769259085052863E-3</v>
      </c>
      <c r="T180" s="36">
        <f>ABS(df_mep[[#This Row],[bid_D_BA]]-df_mep[[#This Row],[ask_D_BA]])/AVERAGE(df_mep[[#This Row],[bid_D_BA]:[ask_D_BA]])</f>
        <v>2</v>
      </c>
    </row>
    <row r="181" spans="1:20" x14ac:dyDescent="0.25">
      <c r="A181" s="41" t="s">
        <v>235</v>
      </c>
      <c r="B181" s="41" t="s">
        <v>236</v>
      </c>
      <c r="C181" s="4">
        <v>10893.5</v>
      </c>
      <c r="D181" s="4">
        <v>11417</v>
      </c>
      <c r="E181" s="4">
        <v>11400</v>
      </c>
      <c r="F181" s="34">
        <v>13.6</v>
      </c>
      <c r="G181" s="34">
        <v>14.3</v>
      </c>
      <c r="H181" s="34">
        <v>13.35</v>
      </c>
      <c r="I181" s="5">
        <v>10386</v>
      </c>
      <c r="J181" s="5">
        <f>df_mep[[#This Row],[volume_BA]]*df_mep[[#This Row],[open_BA]]</f>
        <v>113139891</v>
      </c>
      <c r="K181" s="5">
        <v>707</v>
      </c>
      <c r="L181" s="5">
        <f>df_mep[[#This Row],[volume_D_BA]]*df_mep[[#This Row],[open_D_BA]]</f>
        <v>9615.1999999999989</v>
      </c>
      <c r="M181" s="3">
        <v>800.99264705882354</v>
      </c>
      <c r="N181" s="3">
        <f>IFERROR(df_mep[[#This Row],[ask_BA]]/df_mep[[#This Row],[bid_D_BA]],750)</f>
        <v>797.20279720279711</v>
      </c>
      <c r="O181" s="3">
        <f>IFERROR(df_mep[[#This Row],[bid_BA]]/df_mep[[#This Row],[ask_D_BA]],800)</f>
        <v>855.20599250936334</v>
      </c>
      <c r="P181" s="37">
        <f>MIN(1-df_mep[[#This Row],[MEP_compra_ARS]]/MEDIAN(N:N),100%)</f>
        <v>-6.2937062937062915E-2</v>
      </c>
      <c r="Q181" s="38">
        <f>df_mep[[#This Row],[MEP_compra_USD]]/MEDIAN(O:O)-1</f>
        <v>6.9007490636704194E-2</v>
      </c>
      <c r="R181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181" s="38">
        <f>ABS(df_mep[[#This Row],[bid_BA]]-df_mep[[#This Row],[ask_BA]])/AVERAGE(df_mep[[#This Row],[bid_BA]:[ask_BA]])</f>
        <v>1.490117018012885E-3</v>
      </c>
      <c r="T181" s="36">
        <f>ABS(df_mep[[#This Row],[bid_D_BA]]-df_mep[[#This Row],[ask_D_BA]])/AVERAGE(df_mep[[#This Row],[bid_D_BA]:[ask_D_BA]])</f>
        <v>6.8716094032549815E-2</v>
      </c>
    </row>
    <row r="182" spans="1:20" x14ac:dyDescent="0.25">
      <c r="A182" s="41" t="s">
        <v>159</v>
      </c>
      <c r="B182" s="41" t="s">
        <v>290</v>
      </c>
      <c r="C182" s="4">
        <v>23050</v>
      </c>
      <c r="D182" s="4">
        <v>24086.5</v>
      </c>
      <c r="E182" s="4">
        <v>24002</v>
      </c>
      <c r="F182" s="34">
        <v>28.9</v>
      </c>
      <c r="G182" s="34">
        <v>30</v>
      </c>
      <c r="H182" s="34">
        <v>28</v>
      </c>
      <c r="I182" s="5">
        <v>18261</v>
      </c>
      <c r="J182" s="5">
        <f>df_mep[[#This Row],[volume_BA]]*df_mep[[#This Row],[open_BA]]</f>
        <v>420916050</v>
      </c>
      <c r="K182" s="5">
        <v>225</v>
      </c>
      <c r="L182" s="5">
        <f>df_mep[[#This Row],[volume_D_BA]]*df_mep[[#This Row],[open_D_BA]]</f>
        <v>6502.5</v>
      </c>
      <c r="M182" s="3">
        <v>797.57785467128031</v>
      </c>
      <c r="N182" s="3">
        <f>IFERROR(df_mep[[#This Row],[ask_BA]]/df_mep[[#This Row],[bid_D_BA]],750)</f>
        <v>800.06666666666672</v>
      </c>
      <c r="O182" s="3">
        <f>IFERROR(df_mep[[#This Row],[bid_BA]]/df_mep[[#This Row],[ask_D_BA]],800)</f>
        <v>860.23214285714289</v>
      </c>
      <c r="P182" s="37">
        <f>MIN(1-df_mep[[#This Row],[MEP_compra_ARS]]/MEDIAN(N:N),100%)</f>
        <v>-6.6755555555555679E-2</v>
      </c>
      <c r="Q182" s="38">
        <f>df_mep[[#This Row],[MEP_compra_USD]]/MEDIAN(O:O)-1</f>
        <v>7.5290178571428612E-2</v>
      </c>
      <c r="R182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182" s="38">
        <f>ABS(df_mep[[#This Row],[bid_BA]]-df_mep[[#This Row],[ask_BA]])/AVERAGE(df_mep[[#This Row],[bid_BA]:[ask_BA]])</f>
        <v>3.5143537436185365E-3</v>
      </c>
      <c r="T182" s="36">
        <f>ABS(df_mep[[#This Row],[bid_D_BA]]-df_mep[[#This Row],[ask_D_BA]])/AVERAGE(df_mep[[#This Row],[bid_D_BA]:[ask_D_BA]])</f>
        <v>6.8965517241379309E-2</v>
      </c>
    </row>
    <row r="183" spans="1:20" hidden="1" x14ac:dyDescent="0.25">
      <c r="A183" s="41" t="s">
        <v>202</v>
      </c>
      <c r="B183" s="41" t="s">
        <v>203</v>
      </c>
      <c r="C183" s="4">
        <v>11204</v>
      </c>
      <c r="D183" s="4">
        <v>11837.5</v>
      </c>
      <c r="E183" s="4">
        <v>11748.5</v>
      </c>
      <c r="F183" s="34">
        <v>13.9</v>
      </c>
      <c r="G183" s="34">
        <v>14.9</v>
      </c>
      <c r="H183" s="34">
        <v>13.9</v>
      </c>
      <c r="I183" s="5">
        <v>1296</v>
      </c>
      <c r="J183" s="5">
        <f>df_mep[[#This Row],[volume_BA]]*df_mep[[#This Row],[open_BA]]</f>
        <v>14520384</v>
      </c>
      <c r="K183" s="5">
        <v>4</v>
      </c>
      <c r="L183" s="5">
        <f>df_mep[[#This Row],[volume_D_BA]]*df_mep[[#This Row],[open_D_BA]]</f>
        <v>55.6</v>
      </c>
      <c r="M183" s="3">
        <v>806.04316546762584</v>
      </c>
      <c r="N183" s="3">
        <f>IFERROR(df_mep[[#This Row],[ask_BA]]/df_mep[[#This Row],[bid_D_BA]],750)</f>
        <v>788.489932885906</v>
      </c>
      <c r="O183" s="3">
        <f>IFERROR(df_mep[[#This Row],[bid_BA]]/df_mep[[#This Row],[ask_D_BA]],800)</f>
        <v>851.61870503597117</v>
      </c>
      <c r="P183" s="37">
        <f>MIN(1-df_mep[[#This Row],[MEP_compra_ARS]]/MEDIAN(N:N),100%)</f>
        <v>-5.1319910514541434E-2</v>
      </c>
      <c r="Q183" s="38">
        <f>df_mep[[#This Row],[MEP_compra_USD]]/MEDIAN(O:O)-1</f>
        <v>6.4523381294963933E-2</v>
      </c>
      <c r="R183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83" s="38">
        <f>ABS(df_mep[[#This Row],[bid_BA]]-df_mep[[#This Row],[ask_BA]])/AVERAGE(df_mep[[#This Row],[bid_BA]:[ask_BA]])</f>
        <v>7.5468498261680658E-3</v>
      </c>
      <c r="T183" s="36">
        <f>ABS(df_mep[[#This Row],[bid_D_BA]]-df_mep[[#This Row],[ask_D_BA]])/AVERAGE(df_mep[[#This Row],[bid_D_BA]:[ask_D_BA]])</f>
        <v>6.9444444444444448E-2</v>
      </c>
    </row>
    <row r="184" spans="1:20" hidden="1" x14ac:dyDescent="0.25">
      <c r="A184" s="41" t="s">
        <v>127</v>
      </c>
      <c r="B184" s="41" t="s">
        <v>228</v>
      </c>
      <c r="C184" s="4">
        <v>2410</v>
      </c>
      <c r="D184" s="4">
        <v>2543.5</v>
      </c>
      <c r="E184" s="4">
        <v>2510.5</v>
      </c>
      <c r="F184" s="34">
        <v>2.9</v>
      </c>
      <c r="G184" s="34">
        <v>3.18</v>
      </c>
      <c r="H184" s="34">
        <v>2.9</v>
      </c>
      <c r="I184" s="5">
        <v>13681</v>
      </c>
      <c r="J184" s="5">
        <f>df_mep[[#This Row],[volume_BA]]*df_mep[[#This Row],[open_BA]]</f>
        <v>32971210</v>
      </c>
      <c r="K184" s="5">
        <v>3</v>
      </c>
      <c r="L184" s="5">
        <f>df_mep[[#This Row],[volume_D_BA]]*df_mep[[#This Row],[open_D_BA]]</f>
        <v>8.6999999999999993</v>
      </c>
      <c r="M184" s="3">
        <v>831.0344827586207</v>
      </c>
      <c r="N184" s="3">
        <f>IFERROR(df_mep[[#This Row],[ask_BA]]/df_mep[[#This Row],[bid_D_BA]],750)</f>
        <v>789.46540880503142</v>
      </c>
      <c r="O184" s="3">
        <f>IFERROR(df_mep[[#This Row],[bid_BA]]/df_mep[[#This Row],[ask_D_BA]],800)</f>
        <v>877.06896551724139</v>
      </c>
      <c r="P184" s="37">
        <f>MIN(1-df_mep[[#This Row],[MEP_compra_ARS]]/MEDIAN(N:N),100%)</f>
        <v>-5.2620545073375213E-2</v>
      </c>
      <c r="Q184" s="38">
        <f>df_mep[[#This Row],[MEP_compra_USD]]/MEDIAN(O:O)-1</f>
        <v>9.6336206896551646E-2</v>
      </c>
      <c r="R184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84" s="38">
        <f>ABS(df_mep[[#This Row],[bid_BA]]-df_mep[[#This Row],[ask_BA]])/AVERAGE(df_mep[[#This Row],[bid_BA]:[ask_BA]])</f>
        <v>1.3058963197467353E-2</v>
      </c>
      <c r="T184" s="36">
        <f>ABS(df_mep[[#This Row],[bid_D_BA]]-df_mep[[#This Row],[ask_D_BA]])/AVERAGE(df_mep[[#This Row],[bid_D_BA]:[ask_D_BA]])</f>
        <v>9.2105263157894815E-2</v>
      </c>
    </row>
    <row r="185" spans="1:20" hidden="1" x14ac:dyDescent="0.25">
      <c r="A185" s="41" t="s">
        <v>74</v>
      </c>
      <c r="B185" s="41" t="s">
        <v>288</v>
      </c>
      <c r="C185" s="4">
        <v>6517</v>
      </c>
      <c r="D185" s="4">
        <v>6625</v>
      </c>
      <c r="E185" s="4">
        <v>6623</v>
      </c>
      <c r="F185" s="34">
        <v>8.5</v>
      </c>
      <c r="G185" s="34">
        <v>8.35</v>
      </c>
      <c r="H185" s="34">
        <v>8</v>
      </c>
      <c r="I185" s="5">
        <v>2247</v>
      </c>
      <c r="J185" s="5">
        <f>df_mep[[#This Row],[volume_BA]]*df_mep[[#This Row],[open_BA]]</f>
        <v>14643699</v>
      </c>
      <c r="K185" s="5">
        <v>68</v>
      </c>
      <c r="L185" s="5">
        <f>df_mep[[#This Row],[volume_D_BA]]*df_mep[[#This Row],[open_D_BA]]</f>
        <v>578</v>
      </c>
      <c r="M185" s="3">
        <v>766.70588235294122</v>
      </c>
      <c r="N185" s="3">
        <f>IFERROR(df_mep[[#This Row],[ask_BA]]/df_mep[[#This Row],[bid_D_BA]],750)</f>
        <v>793.17365269461084</v>
      </c>
      <c r="O185" s="3">
        <f>IFERROR(df_mep[[#This Row],[bid_BA]]/df_mep[[#This Row],[ask_D_BA]],800)</f>
        <v>828.125</v>
      </c>
      <c r="P185" s="37">
        <f>MIN(1-df_mep[[#This Row],[MEP_compra_ARS]]/MEDIAN(N:N),100%)</f>
        <v>-5.7564870259481093E-2</v>
      </c>
      <c r="Q185" s="38">
        <f>df_mep[[#This Row],[MEP_compra_USD]]/MEDIAN(O:O)-1</f>
        <v>3.515625E-2</v>
      </c>
      <c r="R185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85" s="38">
        <f>ABS(df_mep[[#This Row],[bid_BA]]-df_mep[[#This Row],[ask_BA]])/AVERAGE(df_mep[[#This Row],[bid_BA]:[ask_BA]])</f>
        <v>3.0193236714975844E-4</v>
      </c>
      <c r="T185" s="36">
        <f>ABS(df_mep[[#This Row],[bid_D_BA]]-df_mep[[#This Row],[ask_D_BA]])/AVERAGE(df_mep[[#This Row],[bid_D_BA]:[ask_D_BA]])</f>
        <v>4.2813455657492311E-2</v>
      </c>
    </row>
    <row r="186" spans="1:20" x14ac:dyDescent="0.25">
      <c r="A186" s="41" t="s">
        <v>16</v>
      </c>
      <c r="B186" s="41" t="s">
        <v>249</v>
      </c>
      <c r="C186" s="4">
        <v>15744</v>
      </c>
      <c r="D186" s="4">
        <v>16397.5</v>
      </c>
      <c r="E186" s="4">
        <v>16383</v>
      </c>
      <c r="F186" s="34">
        <v>19.55</v>
      </c>
      <c r="G186" s="34">
        <v>20.2</v>
      </c>
      <c r="H186" s="34">
        <v>19.649999999999999</v>
      </c>
      <c r="I186" s="5">
        <v>15078</v>
      </c>
      <c r="J186" s="5">
        <f>df_mep[[#This Row],[volume_BA]]*df_mep[[#This Row],[open_BA]]</f>
        <v>237388032</v>
      </c>
      <c r="K186" s="5">
        <v>319</v>
      </c>
      <c r="L186" s="5">
        <f>df_mep[[#This Row],[volume_D_BA]]*df_mep[[#This Row],[open_D_BA]]</f>
        <v>6236.45</v>
      </c>
      <c r="M186" s="3">
        <v>805.31969309462909</v>
      </c>
      <c r="N186" s="3">
        <f>IFERROR(df_mep[[#This Row],[ask_BA]]/df_mep[[#This Row],[bid_D_BA]],750)</f>
        <v>811.03960396039611</v>
      </c>
      <c r="O186" s="3">
        <f>IFERROR(df_mep[[#This Row],[bid_BA]]/df_mep[[#This Row],[ask_D_BA]],800)</f>
        <v>834.47837150127236</v>
      </c>
      <c r="P186" s="37">
        <f>MIN(1-df_mep[[#This Row],[MEP_compra_ARS]]/MEDIAN(N:N),100%)</f>
        <v>-8.1386138613861458E-2</v>
      </c>
      <c r="Q186" s="38">
        <f>df_mep[[#This Row],[MEP_compra_USD]]/MEDIAN(O:O)-1</f>
        <v>4.3097964376590525E-2</v>
      </c>
      <c r="R186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186" s="38">
        <f>ABS(df_mep[[#This Row],[bid_BA]]-df_mep[[#This Row],[ask_BA]])/AVERAGE(df_mep[[#This Row],[bid_BA]:[ask_BA]])</f>
        <v>8.8467228992846359E-4</v>
      </c>
      <c r="T186" s="36">
        <f>ABS(df_mep[[#This Row],[bid_D_BA]]-df_mep[[#This Row],[ask_D_BA]])/AVERAGE(df_mep[[#This Row],[bid_D_BA]:[ask_D_BA]])</f>
        <v>2.7603513174404053E-2</v>
      </c>
    </row>
    <row r="187" spans="1:20" hidden="1" x14ac:dyDescent="0.25">
      <c r="A187" s="41" t="s">
        <v>148</v>
      </c>
      <c r="B187" s="41" t="s">
        <v>269</v>
      </c>
      <c r="C187" s="4">
        <v>1803</v>
      </c>
      <c r="D187" s="4">
        <v>1884.5</v>
      </c>
      <c r="E187" s="4">
        <v>1875.5</v>
      </c>
      <c r="F187" s="34">
        <v>2.37</v>
      </c>
      <c r="G187" s="34">
        <v>2.35</v>
      </c>
      <c r="H187" s="34">
        <v>2.1</v>
      </c>
      <c r="I187" s="5">
        <v>4319</v>
      </c>
      <c r="J187" s="5">
        <f>df_mep[[#This Row],[volume_BA]]*df_mep[[#This Row],[open_BA]]</f>
        <v>7787157</v>
      </c>
      <c r="K187" s="5">
        <v>0</v>
      </c>
      <c r="L187" s="5">
        <f>df_mep[[#This Row],[volume_D_BA]]*df_mep[[#This Row],[open_D_BA]]</f>
        <v>0</v>
      </c>
      <c r="M187" s="3">
        <v>760.75949367088606</v>
      </c>
      <c r="N187" s="3">
        <f>IFERROR(df_mep[[#This Row],[ask_BA]]/df_mep[[#This Row],[bid_D_BA]],750)</f>
        <v>798.08510638297867</v>
      </c>
      <c r="O187" s="3">
        <f>IFERROR(df_mep[[#This Row],[bid_BA]]/df_mep[[#This Row],[ask_D_BA]],800)</f>
        <v>897.38095238095229</v>
      </c>
      <c r="P187" s="37">
        <f>MIN(1-df_mep[[#This Row],[MEP_compra_ARS]]/MEDIAN(N:N),100%)</f>
        <v>-6.4113475177304924E-2</v>
      </c>
      <c r="Q187" s="38">
        <f>df_mep[[#This Row],[MEP_compra_USD]]/MEDIAN(O:O)-1</f>
        <v>0.12172619047619038</v>
      </c>
      <c r="R187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87" s="38">
        <f>ABS(df_mep[[#This Row],[bid_BA]]-df_mep[[#This Row],[ask_BA]])/AVERAGE(df_mep[[#This Row],[bid_BA]:[ask_BA]])</f>
        <v>4.7872340425531915E-3</v>
      </c>
      <c r="T187" s="36">
        <f>ABS(df_mep[[#This Row],[bid_D_BA]]-df_mep[[#This Row],[ask_D_BA]])/AVERAGE(df_mep[[#This Row],[bid_D_BA]:[ask_D_BA]])</f>
        <v>0.11235955056179775</v>
      </c>
    </row>
    <row r="188" spans="1:20" hidden="1" x14ac:dyDescent="0.25">
      <c r="A188" s="41" t="s">
        <v>72</v>
      </c>
      <c r="B188" s="41" t="s">
        <v>90</v>
      </c>
      <c r="C188" s="4">
        <v>4761.5</v>
      </c>
      <c r="D188" s="4">
        <v>5056</v>
      </c>
      <c r="E188" s="4">
        <v>4953.5</v>
      </c>
      <c r="F188" s="34">
        <v>5.9</v>
      </c>
      <c r="G188" s="34">
        <v>6.2</v>
      </c>
      <c r="H188" s="34">
        <v>5.8</v>
      </c>
      <c r="I188" s="5">
        <v>1992</v>
      </c>
      <c r="J188" s="5">
        <f>df_mep[[#This Row],[volume_BA]]*df_mep[[#This Row],[open_BA]]</f>
        <v>9484908</v>
      </c>
      <c r="K188" s="5">
        <v>129</v>
      </c>
      <c r="L188" s="5">
        <f>df_mep[[#This Row],[volume_D_BA]]*df_mep[[#This Row],[open_D_BA]]</f>
        <v>761.1</v>
      </c>
      <c r="M188" s="3">
        <v>807.03389830508468</v>
      </c>
      <c r="N188" s="3">
        <f>IFERROR(df_mep[[#This Row],[ask_BA]]/df_mep[[#This Row],[bid_D_BA]],750)</f>
        <v>798.95161290322574</v>
      </c>
      <c r="O188" s="3">
        <f>IFERROR(df_mep[[#This Row],[bid_BA]]/df_mep[[#This Row],[ask_D_BA]],800)</f>
        <v>871.72413793103453</v>
      </c>
      <c r="P188" s="37">
        <f>MIN(1-df_mep[[#This Row],[MEP_compra_ARS]]/MEDIAN(N:N),100%)</f>
        <v>-6.5268817204301E-2</v>
      </c>
      <c r="Q188" s="38">
        <f>df_mep[[#This Row],[MEP_compra_USD]]/MEDIAN(O:O)-1</f>
        <v>8.9655172413793061E-2</v>
      </c>
      <c r="R188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88" s="38">
        <f>ABS(df_mep[[#This Row],[bid_BA]]-df_mep[[#This Row],[ask_BA]])/AVERAGE(df_mep[[#This Row],[bid_BA]:[ask_BA]])</f>
        <v>2.0480543483690494E-2</v>
      </c>
      <c r="T188" s="36">
        <f>ABS(df_mep[[#This Row],[bid_D_BA]]-df_mep[[#This Row],[ask_D_BA]])/AVERAGE(df_mep[[#This Row],[bid_D_BA]:[ask_D_BA]])</f>
        <v>6.6666666666666721E-2</v>
      </c>
    </row>
    <row r="189" spans="1:20" hidden="1" x14ac:dyDescent="0.25">
      <c r="A189" s="41" t="s">
        <v>150</v>
      </c>
      <c r="B189" s="41" t="s">
        <v>273</v>
      </c>
      <c r="C189" s="4">
        <v>29400</v>
      </c>
      <c r="D189" s="4">
        <v>30499.5</v>
      </c>
      <c r="E189" s="4">
        <v>30382.5</v>
      </c>
      <c r="F189" s="34">
        <v>37.9</v>
      </c>
      <c r="G189" s="34">
        <v>38</v>
      </c>
      <c r="H189" s="34">
        <v>35</v>
      </c>
      <c r="I189" s="5">
        <v>737</v>
      </c>
      <c r="J189" s="5">
        <f>df_mep[[#This Row],[volume_BA]]*df_mep[[#This Row],[open_BA]]</f>
        <v>21667800</v>
      </c>
      <c r="K189" s="5">
        <v>0</v>
      </c>
      <c r="L189" s="5">
        <f>df_mep[[#This Row],[volume_D_BA]]*df_mep[[#This Row],[open_D_BA]]</f>
        <v>0</v>
      </c>
      <c r="M189" s="3">
        <v>775.72559366754615</v>
      </c>
      <c r="N189" s="3">
        <f>IFERROR(df_mep[[#This Row],[ask_BA]]/df_mep[[#This Row],[bid_D_BA]],750)</f>
        <v>799.53947368421052</v>
      </c>
      <c r="O189" s="3">
        <f>IFERROR(df_mep[[#This Row],[bid_BA]]/df_mep[[#This Row],[ask_D_BA]],800)</f>
        <v>871.41428571428571</v>
      </c>
      <c r="P189" s="37">
        <f>MIN(1-df_mep[[#This Row],[MEP_compra_ARS]]/MEDIAN(N:N),100%)</f>
        <v>-6.6052631578947363E-2</v>
      </c>
      <c r="Q189" s="38">
        <f>df_mep[[#This Row],[MEP_compra_USD]]/MEDIAN(O:O)-1</f>
        <v>8.9267857142857121E-2</v>
      </c>
      <c r="R189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89" s="38">
        <f>ABS(df_mep[[#This Row],[bid_BA]]-df_mep[[#This Row],[ask_BA]])/AVERAGE(df_mep[[#This Row],[bid_BA]:[ask_BA]])</f>
        <v>3.8435005420321276E-3</v>
      </c>
      <c r="T189" s="36">
        <f>ABS(df_mep[[#This Row],[bid_D_BA]]-df_mep[[#This Row],[ask_D_BA]])/AVERAGE(df_mep[[#This Row],[bid_D_BA]:[ask_D_BA]])</f>
        <v>8.2191780821917804E-2</v>
      </c>
    </row>
    <row r="190" spans="1:20" hidden="1" x14ac:dyDescent="0.25">
      <c r="A190" s="41" t="s">
        <v>113</v>
      </c>
      <c r="B190" s="41" t="s">
        <v>114</v>
      </c>
      <c r="C190" s="4">
        <v>7500</v>
      </c>
      <c r="D190" s="4">
        <v>7675.5</v>
      </c>
      <c r="E190" s="4">
        <v>7612.5</v>
      </c>
      <c r="F190" s="34">
        <v>9.01</v>
      </c>
      <c r="G190" s="34">
        <v>9.5</v>
      </c>
      <c r="H190" s="34">
        <v>8.1</v>
      </c>
      <c r="I190" s="5">
        <v>441</v>
      </c>
      <c r="J190" s="5">
        <f>df_mep[[#This Row],[volume_BA]]*df_mep[[#This Row],[open_BA]]</f>
        <v>3307500</v>
      </c>
      <c r="K190" s="5">
        <v>0</v>
      </c>
      <c r="L190" s="5">
        <f>df_mep[[#This Row],[volume_D_BA]]*df_mep[[#This Row],[open_D_BA]]</f>
        <v>0</v>
      </c>
      <c r="M190" s="3">
        <v>832.40843507214208</v>
      </c>
      <c r="N190" s="3">
        <f>IFERROR(df_mep[[#This Row],[ask_BA]]/df_mep[[#This Row],[bid_D_BA]],750)</f>
        <v>801.31578947368416</v>
      </c>
      <c r="O190" s="3">
        <f>IFERROR(df_mep[[#This Row],[bid_BA]]/df_mep[[#This Row],[ask_D_BA]],800)</f>
        <v>947.59259259259261</v>
      </c>
      <c r="P190" s="37">
        <f>MIN(1-df_mep[[#This Row],[MEP_compra_ARS]]/MEDIAN(N:N),100%)</f>
        <v>-6.8421052631578938E-2</v>
      </c>
      <c r="Q190" s="38">
        <f>df_mep[[#This Row],[MEP_compra_USD]]/MEDIAN(O:O)-1</f>
        <v>0.18449074074074079</v>
      </c>
      <c r="R190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90" s="38">
        <f>ABS(df_mep[[#This Row],[bid_BA]]-df_mep[[#This Row],[ask_BA]])/AVERAGE(df_mep[[#This Row],[bid_BA]:[ask_BA]])</f>
        <v>8.241758241758242E-3</v>
      </c>
      <c r="T190" s="36">
        <f>ABS(df_mep[[#This Row],[bid_D_BA]]-df_mep[[#This Row],[ask_D_BA]])/AVERAGE(df_mep[[#This Row],[bid_D_BA]:[ask_D_BA]])</f>
        <v>0.15909090909090912</v>
      </c>
    </row>
    <row r="191" spans="1:20" x14ac:dyDescent="0.25">
      <c r="A191" s="41" t="s">
        <v>29</v>
      </c>
      <c r="B191" s="41" t="s">
        <v>285</v>
      </c>
      <c r="C191" s="4">
        <v>11107.5</v>
      </c>
      <c r="D191" s="4">
        <v>11560.5</v>
      </c>
      <c r="E191" s="4">
        <v>11520</v>
      </c>
      <c r="F191" s="34">
        <v>13.55</v>
      </c>
      <c r="G191" s="34">
        <v>14.2</v>
      </c>
      <c r="H191" s="34">
        <v>13.45</v>
      </c>
      <c r="I191" s="5">
        <v>3888</v>
      </c>
      <c r="J191" s="5">
        <f>df_mep[[#This Row],[volume_BA]]*df_mep[[#This Row],[open_BA]]</f>
        <v>43185960</v>
      </c>
      <c r="K191" s="5">
        <v>94</v>
      </c>
      <c r="L191" s="5">
        <f>df_mep[[#This Row],[volume_D_BA]]*df_mep[[#This Row],[open_D_BA]]</f>
        <v>1273.7</v>
      </c>
      <c r="M191" s="3">
        <v>819.74169741697415</v>
      </c>
      <c r="N191" s="3">
        <f>IFERROR(df_mep[[#This Row],[ask_BA]]/df_mep[[#This Row],[bid_D_BA]],750)</f>
        <v>811.26760563380287</v>
      </c>
      <c r="O191" s="3">
        <f>IFERROR(df_mep[[#This Row],[bid_BA]]/df_mep[[#This Row],[ask_D_BA]],800)</f>
        <v>859.5167286245354</v>
      </c>
      <c r="P191" s="37">
        <f>MIN(1-df_mep[[#This Row],[MEP_compra_ARS]]/MEDIAN(N:N),100%)</f>
        <v>-8.1690140845070536E-2</v>
      </c>
      <c r="Q191" s="38">
        <f>df_mep[[#This Row],[MEP_compra_USD]]/MEDIAN(O:O)-1</f>
        <v>7.4395910780669317E-2</v>
      </c>
      <c r="R191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191" s="38">
        <f>ABS(df_mep[[#This Row],[bid_BA]]-df_mep[[#This Row],[ask_BA]])/AVERAGE(df_mep[[#This Row],[bid_BA]:[ask_BA]])</f>
        <v>3.5094560343146811E-3</v>
      </c>
      <c r="T191" s="36">
        <f>ABS(df_mep[[#This Row],[bid_D_BA]]-df_mep[[#This Row],[ask_D_BA]])/AVERAGE(df_mep[[#This Row],[bid_D_BA]:[ask_D_BA]])</f>
        <v>5.4249547920434002E-2</v>
      </c>
    </row>
    <row r="192" spans="1:20" hidden="1" x14ac:dyDescent="0.25">
      <c r="A192" s="41" t="s">
        <v>110</v>
      </c>
      <c r="B192" s="41" t="s">
        <v>191</v>
      </c>
      <c r="C192" s="4">
        <v>17792</v>
      </c>
      <c r="D192" s="4">
        <v>18318</v>
      </c>
      <c r="E192" s="4">
        <v>18275.5</v>
      </c>
      <c r="F192" s="34">
        <v>21.25</v>
      </c>
      <c r="G192" s="34">
        <v>22.7</v>
      </c>
      <c r="H192" s="34">
        <v>22.25</v>
      </c>
      <c r="I192" s="5">
        <v>2290</v>
      </c>
      <c r="J192" s="5">
        <f>df_mep[[#This Row],[volume_BA]]*df_mep[[#This Row],[open_BA]]</f>
        <v>40743680</v>
      </c>
      <c r="K192" s="5">
        <v>4</v>
      </c>
      <c r="L192" s="5">
        <f>df_mep[[#This Row],[volume_D_BA]]*df_mep[[#This Row],[open_D_BA]]</f>
        <v>85</v>
      </c>
      <c r="M192" s="3">
        <v>837.2705882352941</v>
      </c>
      <c r="N192" s="3">
        <f>IFERROR(df_mep[[#This Row],[ask_BA]]/df_mep[[#This Row],[bid_D_BA]],750)</f>
        <v>805.0881057268723</v>
      </c>
      <c r="O192" s="3">
        <f>IFERROR(df_mep[[#This Row],[bid_BA]]/df_mep[[#This Row],[ask_D_BA]],800)</f>
        <v>823.28089887640454</v>
      </c>
      <c r="P192" s="37">
        <f>MIN(1-df_mep[[#This Row],[MEP_compra_ARS]]/MEDIAN(N:N),100%)</f>
        <v>-7.3450807635829785E-2</v>
      </c>
      <c r="Q192" s="38">
        <f>df_mep[[#This Row],[MEP_compra_USD]]/MEDIAN(O:O)-1</f>
        <v>2.9101123595505651E-2</v>
      </c>
      <c r="R192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92" s="38">
        <f>ABS(df_mep[[#This Row],[bid_BA]]-df_mep[[#This Row],[ask_BA]])/AVERAGE(df_mep[[#This Row],[bid_BA]:[ask_BA]])</f>
        <v>2.3228168937106317E-3</v>
      </c>
      <c r="T192" s="36">
        <f>ABS(df_mep[[#This Row],[bid_D_BA]]-df_mep[[#This Row],[ask_D_BA]])/AVERAGE(df_mep[[#This Row],[bid_D_BA]:[ask_D_BA]])</f>
        <v>2.0022246941045572E-2</v>
      </c>
    </row>
    <row r="193" spans="1:20" hidden="1" x14ac:dyDescent="0.25">
      <c r="A193" s="41" t="s">
        <v>131</v>
      </c>
      <c r="B193" s="41" t="s">
        <v>237</v>
      </c>
      <c r="C193" s="4">
        <v>15354</v>
      </c>
      <c r="D193" s="4">
        <v>15786</v>
      </c>
      <c r="E193" s="4">
        <v>15750</v>
      </c>
      <c r="F193" s="34">
        <v>19</v>
      </c>
      <c r="G193" s="34">
        <v>19.55</v>
      </c>
      <c r="H193" s="34">
        <v>18.5</v>
      </c>
      <c r="I193" s="5">
        <v>2027</v>
      </c>
      <c r="J193" s="5">
        <f>df_mep[[#This Row],[volume_BA]]*df_mep[[#This Row],[open_BA]]</f>
        <v>31122558</v>
      </c>
      <c r="K193" s="5">
        <v>40</v>
      </c>
      <c r="L193" s="5">
        <f>df_mep[[#This Row],[volume_D_BA]]*df_mep[[#This Row],[open_D_BA]]</f>
        <v>760</v>
      </c>
      <c r="M193" s="3">
        <v>808.10526315789468</v>
      </c>
      <c r="N193" s="3">
        <f>IFERROR(df_mep[[#This Row],[ask_BA]]/df_mep[[#This Row],[bid_D_BA]],750)</f>
        <v>805.62659846547308</v>
      </c>
      <c r="O193" s="3">
        <f>IFERROR(df_mep[[#This Row],[bid_BA]]/df_mep[[#This Row],[ask_D_BA]],800)</f>
        <v>853.29729729729729</v>
      </c>
      <c r="P193" s="37">
        <f>MIN(1-df_mep[[#This Row],[MEP_compra_ARS]]/MEDIAN(N:N),100%)</f>
        <v>-7.4168797953964027E-2</v>
      </c>
      <c r="Q193" s="38">
        <f>df_mep[[#This Row],[MEP_compra_USD]]/MEDIAN(O:O)-1</f>
        <v>6.6621621621621552E-2</v>
      </c>
      <c r="R193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93" s="38">
        <f>ABS(df_mep[[#This Row],[bid_BA]]-df_mep[[#This Row],[ask_BA]])/AVERAGE(df_mep[[#This Row],[bid_BA]:[ask_BA]])</f>
        <v>2.2831050228310501E-3</v>
      </c>
      <c r="T193" s="36">
        <f>ABS(df_mep[[#This Row],[bid_D_BA]]-df_mep[[#This Row],[ask_D_BA]])/AVERAGE(df_mep[[#This Row],[bid_D_BA]:[ask_D_BA]])</f>
        <v>5.519053876478322E-2</v>
      </c>
    </row>
    <row r="194" spans="1:20" hidden="1" x14ac:dyDescent="0.25">
      <c r="A194" s="41" t="s">
        <v>66</v>
      </c>
      <c r="B194" s="41" t="s">
        <v>182</v>
      </c>
      <c r="C194" s="4">
        <v>2346</v>
      </c>
      <c r="D194" s="4">
        <v>2529</v>
      </c>
      <c r="E194" s="4">
        <v>2506</v>
      </c>
      <c r="F194" s="34">
        <v>2.73</v>
      </c>
      <c r="G194" s="34">
        <v>3.1</v>
      </c>
      <c r="H194" s="34">
        <v>2.2999999999999998</v>
      </c>
      <c r="I194" s="5">
        <v>13837</v>
      </c>
      <c r="J194" s="5">
        <f>df_mep[[#This Row],[volume_BA]]*df_mep[[#This Row],[open_BA]]</f>
        <v>32461602</v>
      </c>
      <c r="K194" s="5">
        <v>62</v>
      </c>
      <c r="L194" s="5">
        <f>df_mep[[#This Row],[volume_D_BA]]*df_mep[[#This Row],[open_D_BA]]</f>
        <v>169.26</v>
      </c>
      <c r="M194" s="3">
        <v>859.34065934065939</v>
      </c>
      <c r="N194" s="3">
        <f>IFERROR(df_mep[[#This Row],[ask_BA]]/df_mep[[#This Row],[bid_D_BA]],750)</f>
        <v>808.38709677419354</v>
      </c>
      <c r="O194" s="3">
        <f>IFERROR(df_mep[[#This Row],[bid_BA]]/df_mep[[#This Row],[ask_D_BA]],800)</f>
        <v>1099.5652173913045</v>
      </c>
      <c r="P194" s="37">
        <f>MIN(1-df_mep[[#This Row],[MEP_compra_ARS]]/MEDIAN(N:N),100%)</f>
        <v>-7.7849462365591426E-2</v>
      </c>
      <c r="Q194" s="38">
        <f>df_mep[[#This Row],[MEP_compra_USD]]/MEDIAN(O:O)-1</f>
        <v>0.37445652173913069</v>
      </c>
      <c r="R194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94" s="38">
        <f>ABS(df_mep[[#This Row],[bid_BA]]-df_mep[[#This Row],[ask_BA]])/AVERAGE(df_mep[[#This Row],[bid_BA]:[ask_BA]])</f>
        <v>9.1360476663356512E-3</v>
      </c>
      <c r="T194" s="36">
        <f>ABS(df_mep[[#This Row],[bid_D_BA]]-df_mep[[#This Row],[ask_D_BA]])/AVERAGE(df_mep[[#This Row],[bid_D_BA]:[ask_D_BA]])</f>
        <v>0.29629629629629639</v>
      </c>
    </row>
    <row r="195" spans="1:20" x14ac:dyDescent="0.25">
      <c r="A195" s="41" t="s">
        <v>138</v>
      </c>
      <c r="B195" s="41" t="s">
        <v>257</v>
      </c>
      <c r="C195" s="4">
        <v>14730</v>
      </c>
      <c r="D195" s="4">
        <v>14927</v>
      </c>
      <c r="E195" s="4">
        <v>14902</v>
      </c>
      <c r="F195" s="34">
        <v>18.600000000000001</v>
      </c>
      <c r="G195" s="34">
        <v>18.25</v>
      </c>
      <c r="H195" s="34">
        <v>17.5</v>
      </c>
      <c r="I195" s="5">
        <v>7228</v>
      </c>
      <c r="J195" s="5">
        <f>df_mep[[#This Row],[volume_BA]]*df_mep[[#This Row],[open_BA]]</f>
        <v>106468440</v>
      </c>
      <c r="K195" s="5">
        <v>246</v>
      </c>
      <c r="L195" s="5">
        <f>df_mep[[#This Row],[volume_D_BA]]*df_mep[[#This Row],[open_D_BA]]</f>
        <v>4575.6000000000004</v>
      </c>
      <c r="M195" s="3">
        <v>791.93548387096769</v>
      </c>
      <c r="N195" s="3">
        <f>IFERROR(df_mep[[#This Row],[ask_BA]]/df_mep[[#This Row],[bid_D_BA]],750)</f>
        <v>816.54794520547944</v>
      </c>
      <c r="O195" s="3">
        <f>IFERROR(df_mep[[#This Row],[bid_BA]]/df_mep[[#This Row],[ask_D_BA]],800)</f>
        <v>852.97142857142853</v>
      </c>
      <c r="P195" s="37">
        <f>MIN(1-df_mep[[#This Row],[MEP_compra_ARS]]/MEDIAN(N:N),100%)</f>
        <v>-8.8730593607305952E-2</v>
      </c>
      <c r="Q195" s="38">
        <f>df_mep[[#This Row],[MEP_compra_USD]]/MEDIAN(O:O)-1</f>
        <v>6.6214285714285559E-2</v>
      </c>
      <c r="R195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195" s="38">
        <f>ABS(df_mep[[#This Row],[bid_BA]]-df_mep[[#This Row],[ask_BA]])/AVERAGE(df_mep[[#This Row],[bid_BA]:[ask_BA]])</f>
        <v>1.6762211270910858E-3</v>
      </c>
      <c r="T195" s="36">
        <f>ABS(df_mep[[#This Row],[bid_D_BA]]-df_mep[[#This Row],[ask_D_BA]])/AVERAGE(df_mep[[#This Row],[bid_D_BA]:[ask_D_BA]])</f>
        <v>4.195804195804196E-2</v>
      </c>
    </row>
    <row r="196" spans="1:20" hidden="1" x14ac:dyDescent="0.25">
      <c r="A196" s="41" t="s">
        <v>125</v>
      </c>
      <c r="B196" s="41" t="s">
        <v>125</v>
      </c>
      <c r="C196" s="4">
        <v>24300</v>
      </c>
      <c r="D196" s="4">
        <v>25342</v>
      </c>
      <c r="E196" s="4">
        <v>25276</v>
      </c>
      <c r="F196" s="34">
        <v>31.5</v>
      </c>
      <c r="G196" s="34">
        <v>31</v>
      </c>
      <c r="H196" s="34">
        <v>30.1</v>
      </c>
      <c r="I196" s="5">
        <v>1232</v>
      </c>
      <c r="J196" s="5">
        <f>df_mep[[#This Row],[volume_BA]]*df_mep[[#This Row],[open_BA]]</f>
        <v>29937600</v>
      </c>
      <c r="K196" s="5">
        <v>17</v>
      </c>
      <c r="L196" s="5">
        <f>df_mep[[#This Row],[volume_D_BA]]*df_mep[[#This Row],[open_D_BA]]</f>
        <v>535.5</v>
      </c>
      <c r="M196" s="3">
        <v>771.42857142857144</v>
      </c>
      <c r="N196" s="3">
        <f>IFERROR(df_mep[[#This Row],[ask_BA]]/df_mep[[#This Row],[bid_D_BA]],750)</f>
        <v>815.35483870967744</v>
      </c>
      <c r="O196" s="3">
        <f>IFERROR(df_mep[[#This Row],[bid_BA]]/df_mep[[#This Row],[ask_D_BA]],800)</f>
        <v>841.92691029900334</v>
      </c>
      <c r="P196" s="37">
        <f>MIN(1-df_mep[[#This Row],[MEP_compra_ARS]]/MEDIAN(N:N),100%)</f>
        <v>-8.7139784946236531E-2</v>
      </c>
      <c r="Q196" s="38">
        <f>df_mep[[#This Row],[MEP_compra_USD]]/MEDIAN(O:O)-1</f>
        <v>5.2408637873754271E-2</v>
      </c>
      <c r="R196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96" s="38">
        <f>ABS(df_mep[[#This Row],[bid_BA]]-df_mep[[#This Row],[ask_BA]])/AVERAGE(df_mep[[#This Row],[bid_BA]:[ask_BA]])</f>
        <v>2.6077679876723697E-3</v>
      </c>
      <c r="T196" s="36">
        <f>ABS(df_mep[[#This Row],[bid_D_BA]]-df_mep[[#This Row],[ask_D_BA]])/AVERAGE(df_mep[[#This Row],[bid_D_BA]:[ask_D_BA]])</f>
        <v>2.9459901800327284E-2</v>
      </c>
    </row>
    <row r="197" spans="1:20" hidden="1" x14ac:dyDescent="0.25">
      <c r="A197" s="41" t="s">
        <v>200</v>
      </c>
      <c r="B197" s="41" t="s">
        <v>201</v>
      </c>
      <c r="C197" s="4">
        <v>6476</v>
      </c>
      <c r="D197" s="4">
        <v>6693</v>
      </c>
      <c r="E197" s="4">
        <v>6686</v>
      </c>
      <c r="F197" s="34">
        <v>8.39</v>
      </c>
      <c r="G197" s="34">
        <v>8.19</v>
      </c>
      <c r="H197" s="34">
        <v>7.6</v>
      </c>
      <c r="I197" s="5">
        <v>1083</v>
      </c>
      <c r="J197" s="5">
        <f>df_mep[[#This Row],[volume_BA]]*df_mep[[#This Row],[open_BA]]</f>
        <v>7013508</v>
      </c>
      <c r="K197" s="5">
        <v>0</v>
      </c>
      <c r="L197" s="5">
        <f>df_mep[[#This Row],[volume_D_BA]]*df_mep[[#This Row],[open_D_BA]]</f>
        <v>0</v>
      </c>
      <c r="M197" s="3">
        <v>771.87127532777106</v>
      </c>
      <c r="N197" s="3">
        <f>IFERROR(df_mep[[#This Row],[ask_BA]]/df_mep[[#This Row],[bid_D_BA]],750)</f>
        <v>816.36141636141645</v>
      </c>
      <c r="O197" s="3">
        <f>IFERROR(df_mep[[#This Row],[bid_BA]]/df_mep[[#This Row],[ask_D_BA]],800)</f>
        <v>880.6578947368422</v>
      </c>
      <c r="P197" s="37">
        <f>MIN(1-df_mep[[#This Row],[MEP_compra_ARS]]/MEDIAN(N:N),100%)</f>
        <v>-8.8481888481888538E-2</v>
      </c>
      <c r="Q197" s="38">
        <f>df_mep[[#This Row],[MEP_compra_USD]]/MEDIAN(O:O)-1</f>
        <v>0.10082236842105274</v>
      </c>
      <c r="R197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97" s="38">
        <f>ABS(df_mep[[#This Row],[bid_BA]]-df_mep[[#This Row],[ask_BA]])/AVERAGE(df_mep[[#This Row],[bid_BA]:[ask_BA]])</f>
        <v>1.0464160251139846E-3</v>
      </c>
      <c r="T197" s="36">
        <f>ABS(df_mep[[#This Row],[bid_D_BA]]-df_mep[[#This Row],[ask_D_BA]])/AVERAGE(df_mep[[#This Row],[bid_D_BA]:[ask_D_BA]])</f>
        <v>7.4730842305256479E-2</v>
      </c>
    </row>
    <row r="198" spans="1:20" x14ac:dyDescent="0.25">
      <c r="A198" s="41" t="s">
        <v>24</v>
      </c>
      <c r="B198" s="41" t="s">
        <v>214</v>
      </c>
      <c r="C198" s="4">
        <v>12156.5</v>
      </c>
      <c r="D198" s="4">
        <v>12612</v>
      </c>
      <c r="E198" s="4">
        <v>12510</v>
      </c>
      <c r="F198" s="34">
        <v>15.85</v>
      </c>
      <c r="G198" s="34">
        <v>15.25</v>
      </c>
      <c r="H198" s="34">
        <v>14.65</v>
      </c>
      <c r="I198" s="5">
        <v>17598</v>
      </c>
      <c r="J198" s="5">
        <f>df_mep[[#This Row],[volume_BA]]*df_mep[[#This Row],[open_BA]]</f>
        <v>213930087</v>
      </c>
      <c r="K198" s="5">
        <v>85</v>
      </c>
      <c r="L198" s="5">
        <f>df_mep[[#This Row],[volume_D_BA]]*df_mep[[#This Row],[open_D_BA]]</f>
        <v>1347.25</v>
      </c>
      <c r="M198" s="3">
        <v>766.97160883280753</v>
      </c>
      <c r="N198" s="3">
        <f>IFERROR(df_mep[[#This Row],[ask_BA]]/df_mep[[#This Row],[bid_D_BA]],750)</f>
        <v>820.32786885245901</v>
      </c>
      <c r="O198" s="3">
        <f>IFERROR(df_mep[[#This Row],[bid_BA]]/df_mep[[#This Row],[ask_D_BA]],800)</f>
        <v>860.88737201365188</v>
      </c>
      <c r="P198" s="37">
        <f>MIN(1-df_mep[[#This Row],[MEP_compra_ARS]]/MEDIAN(N:N),100%)</f>
        <v>-9.3770491803278677E-2</v>
      </c>
      <c r="Q198" s="38">
        <f>df_mep[[#This Row],[MEP_compra_USD]]/MEDIAN(O:O)-1</f>
        <v>7.6109215017064802E-2</v>
      </c>
      <c r="R198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198" s="38">
        <f>ABS(df_mep[[#This Row],[bid_BA]]-df_mep[[#This Row],[ask_BA]])/AVERAGE(df_mep[[#This Row],[bid_BA]:[ask_BA]])</f>
        <v>8.1203725818008114E-3</v>
      </c>
      <c r="T198" s="36">
        <f>ABS(df_mep[[#This Row],[bid_D_BA]]-df_mep[[#This Row],[ask_D_BA]])/AVERAGE(df_mep[[#This Row],[bid_D_BA]:[ask_D_BA]])</f>
        <v>4.0133779264214027E-2</v>
      </c>
    </row>
    <row r="199" spans="1:20" hidden="1" x14ac:dyDescent="0.25">
      <c r="A199" s="41" t="s">
        <v>134</v>
      </c>
      <c r="B199" s="41" t="s">
        <v>252</v>
      </c>
      <c r="C199" s="4">
        <v>10668</v>
      </c>
      <c r="D199" s="4">
        <v>10775</v>
      </c>
      <c r="E199" s="4">
        <v>10714.5</v>
      </c>
      <c r="F199" s="34">
        <v>13.1</v>
      </c>
      <c r="G199" s="34">
        <v>13.1</v>
      </c>
      <c r="H199" s="34">
        <v>12.5</v>
      </c>
      <c r="I199" s="5">
        <v>2717</v>
      </c>
      <c r="J199" s="5">
        <f>df_mep[[#This Row],[volume_BA]]*df_mep[[#This Row],[open_BA]]</f>
        <v>28984956</v>
      </c>
      <c r="K199" s="5">
        <v>35</v>
      </c>
      <c r="L199" s="5">
        <f>df_mep[[#This Row],[volume_D_BA]]*df_mep[[#This Row],[open_D_BA]]</f>
        <v>458.5</v>
      </c>
      <c r="M199" s="3">
        <v>814.35114503816794</v>
      </c>
      <c r="N199" s="3">
        <f>IFERROR(df_mep[[#This Row],[ask_BA]]/df_mep[[#This Row],[bid_D_BA]],750)</f>
        <v>817.9007633587787</v>
      </c>
      <c r="O199" s="3">
        <f>IFERROR(df_mep[[#This Row],[bid_BA]]/df_mep[[#This Row],[ask_D_BA]],800)</f>
        <v>862</v>
      </c>
      <c r="P199" s="37">
        <f>MIN(1-df_mep[[#This Row],[MEP_compra_ARS]]/MEDIAN(N:N),100%)</f>
        <v>-9.0534351145038272E-2</v>
      </c>
      <c r="Q199" s="38">
        <f>df_mep[[#This Row],[MEP_compra_USD]]/MEDIAN(O:O)-1</f>
        <v>7.7499999999999902E-2</v>
      </c>
      <c r="R199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199" s="38">
        <f>ABS(df_mep[[#This Row],[bid_BA]]-df_mep[[#This Row],[ask_BA]])/AVERAGE(df_mep[[#This Row],[bid_BA]:[ask_BA]])</f>
        <v>5.6306568324065243E-3</v>
      </c>
      <c r="T199" s="36">
        <f>ABS(df_mep[[#This Row],[bid_D_BA]]-df_mep[[#This Row],[ask_D_BA]])/AVERAGE(df_mep[[#This Row],[bid_D_BA]:[ask_D_BA]])</f>
        <v>4.6874999999999972E-2</v>
      </c>
    </row>
    <row r="200" spans="1:20" hidden="1" x14ac:dyDescent="0.25">
      <c r="A200" s="41" t="s">
        <v>25</v>
      </c>
      <c r="B200" s="41" t="s">
        <v>233</v>
      </c>
      <c r="C200" s="4">
        <v>9256.5</v>
      </c>
      <c r="D200" s="4">
        <v>9557</v>
      </c>
      <c r="E200" s="4">
        <v>9543</v>
      </c>
      <c r="F200" s="34">
        <v>11</v>
      </c>
      <c r="G200" s="34">
        <v>11.65</v>
      </c>
      <c r="H200" s="34">
        <v>10.9</v>
      </c>
      <c r="I200" s="5">
        <v>21280</v>
      </c>
      <c r="J200" s="5">
        <f>df_mep[[#This Row],[volume_BA]]*df_mep[[#This Row],[open_BA]]</f>
        <v>196978320</v>
      </c>
      <c r="K200" s="5">
        <v>77</v>
      </c>
      <c r="L200" s="5">
        <f>df_mep[[#This Row],[volume_D_BA]]*df_mep[[#This Row],[open_D_BA]]</f>
        <v>847</v>
      </c>
      <c r="M200" s="3">
        <v>841.5</v>
      </c>
      <c r="N200" s="3">
        <f>IFERROR(df_mep[[#This Row],[ask_BA]]/df_mep[[#This Row],[bid_D_BA]],750)</f>
        <v>819.1416309012875</v>
      </c>
      <c r="O200" s="3">
        <f>IFERROR(df_mep[[#This Row],[bid_BA]]/df_mep[[#This Row],[ask_D_BA]],800)</f>
        <v>876.78899082568807</v>
      </c>
      <c r="P200" s="37">
        <f>MIN(1-df_mep[[#This Row],[MEP_compra_ARS]]/MEDIAN(N:N),100%)</f>
        <v>-9.2188841201716665E-2</v>
      </c>
      <c r="Q200" s="38">
        <f>df_mep[[#This Row],[MEP_compra_USD]]/MEDIAN(O:O)-1</f>
        <v>9.5986238532110191E-2</v>
      </c>
      <c r="R200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00" s="38">
        <f>ABS(df_mep[[#This Row],[bid_BA]]-df_mep[[#This Row],[ask_BA]])/AVERAGE(df_mep[[#This Row],[bid_BA]:[ask_BA]])</f>
        <v>1.4659685863874345E-3</v>
      </c>
      <c r="T200" s="36">
        <f>ABS(df_mep[[#This Row],[bid_D_BA]]-df_mep[[#This Row],[ask_D_BA]])/AVERAGE(df_mep[[#This Row],[bid_D_BA]:[ask_D_BA]])</f>
        <v>6.6518847006651879E-2</v>
      </c>
    </row>
    <row r="201" spans="1:20" x14ac:dyDescent="0.25">
      <c r="A201" s="41" t="s">
        <v>15</v>
      </c>
      <c r="B201" s="41" t="s">
        <v>241</v>
      </c>
      <c r="C201" s="4">
        <v>9200</v>
      </c>
      <c r="D201" s="4">
        <v>9499.5</v>
      </c>
      <c r="E201" s="4">
        <v>9492</v>
      </c>
      <c r="F201" s="34">
        <v>11.5</v>
      </c>
      <c r="G201" s="34">
        <v>11.55</v>
      </c>
      <c r="H201" s="34">
        <v>11.25</v>
      </c>
      <c r="I201" s="5">
        <v>26472</v>
      </c>
      <c r="J201" s="5">
        <f>df_mep[[#This Row],[volume_BA]]*df_mep[[#This Row],[open_BA]]</f>
        <v>243542400</v>
      </c>
      <c r="K201" s="5">
        <v>849</v>
      </c>
      <c r="L201" s="5">
        <f>df_mep[[#This Row],[volume_D_BA]]*df_mep[[#This Row],[open_D_BA]]</f>
        <v>9763.5</v>
      </c>
      <c r="M201" s="3">
        <v>800</v>
      </c>
      <c r="N201" s="3">
        <f>IFERROR(df_mep[[#This Row],[ask_BA]]/df_mep[[#This Row],[bid_D_BA]],750)</f>
        <v>821.81818181818176</v>
      </c>
      <c r="O201" s="3">
        <f>IFERROR(df_mep[[#This Row],[bid_BA]]/df_mep[[#This Row],[ask_D_BA]],800)</f>
        <v>844.4</v>
      </c>
      <c r="P201" s="37">
        <f>MIN(1-df_mep[[#This Row],[MEP_compra_ARS]]/MEDIAN(N:N),100%)</f>
        <v>-9.5757575757575708E-2</v>
      </c>
      <c r="Q201" s="38">
        <f>df_mep[[#This Row],[MEP_compra_USD]]/MEDIAN(O:O)-1</f>
        <v>5.5499999999999883E-2</v>
      </c>
      <c r="R201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01" s="38">
        <f>ABS(df_mep[[#This Row],[bid_BA]]-df_mep[[#This Row],[ask_BA]])/AVERAGE(df_mep[[#This Row],[bid_BA]:[ask_BA]])</f>
        <v>7.898270278808941E-4</v>
      </c>
      <c r="T201" s="36">
        <f>ABS(df_mep[[#This Row],[bid_D_BA]]-df_mep[[#This Row],[ask_D_BA]])/AVERAGE(df_mep[[#This Row],[bid_D_BA]:[ask_D_BA]])</f>
        <v>2.6315789473684272E-2</v>
      </c>
    </row>
    <row r="202" spans="1:20" x14ac:dyDescent="0.25">
      <c r="A202" s="41" t="s">
        <v>19</v>
      </c>
      <c r="B202" s="41" t="s">
        <v>286</v>
      </c>
      <c r="C202" s="4">
        <v>25137</v>
      </c>
      <c r="D202" s="4">
        <v>25680</v>
      </c>
      <c r="E202" s="4">
        <v>25667</v>
      </c>
      <c r="F202" s="34">
        <v>30.5</v>
      </c>
      <c r="G202" s="34">
        <v>31.15</v>
      </c>
      <c r="H202" s="34">
        <v>30.35</v>
      </c>
      <c r="I202" s="5">
        <v>33575</v>
      </c>
      <c r="J202" s="5">
        <f>df_mep[[#This Row],[volume_BA]]*df_mep[[#This Row],[open_BA]]</f>
        <v>843974775</v>
      </c>
      <c r="K202" s="5">
        <v>1094</v>
      </c>
      <c r="L202" s="5">
        <f>df_mep[[#This Row],[volume_D_BA]]*df_mep[[#This Row],[open_D_BA]]</f>
        <v>33367</v>
      </c>
      <c r="M202" s="3">
        <v>824.1639344262295</v>
      </c>
      <c r="N202" s="3">
        <f>IFERROR(df_mep[[#This Row],[ask_BA]]/df_mep[[#This Row],[bid_D_BA]],750)</f>
        <v>823.98073836276092</v>
      </c>
      <c r="O202" s="3">
        <f>IFERROR(df_mep[[#This Row],[bid_BA]]/df_mep[[#This Row],[ask_D_BA]],800)</f>
        <v>846.12850082372324</v>
      </c>
      <c r="P202" s="37">
        <f>MIN(1-df_mep[[#This Row],[MEP_compra_ARS]]/MEDIAN(N:N),100%)</f>
        <v>-9.8640984483681304E-2</v>
      </c>
      <c r="Q202" s="38">
        <f>df_mep[[#This Row],[MEP_compra_USD]]/MEDIAN(O:O)-1</f>
        <v>5.7660626029654161E-2</v>
      </c>
      <c r="R202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02" s="38">
        <f>ABS(df_mep[[#This Row],[bid_BA]]-df_mep[[#This Row],[ask_BA]])/AVERAGE(df_mep[[#This Row],[bid_BA]:[ask_BA]])</f>
        <v>5.06358696710616E-4</v>
      </c>
      <c r="T202" s="36">
        <f>ABS(df_mep[[#This Row],[bid_D_BA]]-df_mep[[#This Row],[ask_D_BA]])/AVERAGE(df_mep[[#This Row],[bid_D_BA]:[ask_D_BA]])</f>
        <v>2.6016260162601532E-2</v>
      </c>
    </row>
    <row r="203" spans="1:20" hidden="1" x14ac:dyDescent="0.25">
      <c r="A203" s="41" t="s">
        <v>62</v>
      </c>
      <c r="B203" s="41" t="s">
        <v>211</v>
      </c>
      <c r="C203" s="4">
        <v>9343.5</v>
      </c>
      <c r="D203" s="4">
        <v>9862</v>
      </c>
      <c r="E203" s="4">
        <v>9823.5</v>
      </c>
      <c r="F203" s="34">
        <v>11.8</v>
      </c>
      <c r="G203" s="34">
        <v>11.95</v>
      </c>
      <c r="H203" s="34">
        <v>11.1</v>
      </c>
      <c r="I203" s="5">
        <v>3400</v>
      </c>
      <c r="J203" s="5">
        <f>df_mep[[#This Row],[volume_BA]]*df_mep[[#This Row],[open_BA]]</f>
        <v>31767900</v>
      </c>
      <c r="K203" s="5">
        <v>0</v>
      </c>
      <c r="L203" s="5">
        <f>df_mep[[#This Row],[volume_D_BA]]*df_mep[[#This Row],[open_D_BA]]</f>
        <v>0</v>
      </c>
      <c r="M203" s="3">
        <v>791.82203389830499</v>
      </c>
      <c r="N203" s="3">
        <f>IFERROR(df_mep[[#This Row],[ask_BA]]/df_mep[[#This Row],[bid_D_BA]],750)</f>
        <v>822.05020920502102</v>
      </c>
      <c r="O203" s="3">
        <f>IFERROR(df_mep[[#This Row],[bid_BA]]/df_mep[[#This Row],[ask_D_BA]],800)</f>
        <v>888.46846846846847</v>
      </c>
      <c r="P203" s="37">
        <f>MIN(1-df_mep[[#This Row],[MEP_compra_ARS]]/MEDIAN(N:N),100%)</f>
        <v>-9.6066945606694709E-2</v>
      </c>
      <c r="Q203" s="38">
        <f>df_mep[[#This Row],[MEP_compra_USD]]/MEDIAN(O:O)-1</f>
        <v>0.11058558558558551</v>
      </c>
      <c r="R203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03" s="38">
        <f>ABS(df_mep[[#This Row],[bid_BA]]-df_mep[[#This Row],[ask_BA]])/AVERAGE(df_mep[[#This Row],[bid_BA]:[ask_BA]])</f>
        <v>3.9115084707017859E-3</v>
      </c>
      <c r="T203" s="36">
        <f>ABS(df_mep[[#This Row],[bid_D_BA]]-df_mep[[#This Row],[ask_D_BA]])/AVERAGE(df_mep[[#This Row],[bid_D_BA]:[ask_D_BA]])</f>
        <v>7.3752711496746184E-2</v>
      </c>
    </row>
    <row r="204" spans="1:20" hidden="1" x14ac:dyDescent="0.25">
      <c r="A204" s="41" t="s">
        <v>102</v>
      </c>
      <c r="B204" s="41" t="s">
        <v>183</v>
      </c>
      <c r="C204" s="4">
        <v>6952.5</v>
      </c>
      <c r="D204" s="4">
        <v>7280</v>
      </c>
      <c r="E204" s="4">
        <v>6970</v>
      </c>
      <c r="F204" s="34">
        <v>8.6199999999999992</v>
      </c>
      <c r="G204" s="34">
        <v>8.4700000000000006</v>
      </c>
      <c r="H204" s="34">
        <v>8.32</v>
      </c>
      <c r="I204" s="5">
        <v>8350</v>
      </c>
      <c r="J204" s="5">
        <f>df_mep[[#This Row],[volume_BA]]*df_mep[[#This Row],[open_BA]]</f>
        <v>58053375</v>
      </c>
      <c r="K204" s="5">
        <v>0</v>
      </c>
      <c r="L204" s="5">
        <f>df_mep[[#This Row],[volume_D_BA]]*df_mep[[#This Row],[open_D_BA]]</f>
        <v>0</v>
      </c>
      <c r="M204" s="3">
        <v>806.55452436194901</v>
      </c>
      <c r="N204" s="3">
        <f>IFERROR(df_mep[[#This Row],[ask_BA]]/df_mep[[#This Row],[bid_D_BA]],750)</f>
        <v>822.90436835891376</v>
      </c>
      <c r="O204" s="3">
        <f>IFERROR(df_mep[[#This Row],[bid_BA]]/df_mep[[#This Row],[ask_D_BA]],800)</f>
        <v>875</v>
      </c>
      <c r="P204" s="37">
        <f>MIN(1-df_mep[[#This Row],[MEP_compra_ARS]]/MEDIAN(N:N),100%)</f>
        <v>-9.7205824478551639E-2</v>
      </c>
      <c r="Q204" s="38">
        <f>df_mep[[#This Row],[MEP_compra_USD]]/MEDIAN(O:O)-1</f>
        <v>9.375E-2</v>
      </c>
      <c r="R204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04" s="38">
        <f>ABS(df_mep[[#This Row],[bid_BA]]-df_mep[[#This Row],[ask_BA]])/AVERAGE(df_mep[[#This Row],[bid_BA]:[ask_BA]])</f>
        <v>4.3508771929824559E-2</v>
      </c>
      <c r="T204" s="36">
        <f>ABS(df_mep[[#This Row],[bid_D_BA]]-df_mep[[#This Row],[ask_D_BA]])/AVERAGE(df_mep[[#This Row],[bid_D_BA]:[ask_D_BA]])</f>
        <v>1.7867778439547392E-2</v>
      </c>
    </row>
    <row r="205" spans="1:20" x14ac:dyDescent="0.25">
      <c r="A205" s="41" t="s">
        <v>12</v>
      </c>
      <c r="B205" s="41" t="s">
        <v>180</v>
      </c>
      <c r="C205" s="4">
        <v>8086</v>
      </c>
      <c r="D205" s="4">
        <v>8380</v>
      </c>
      <c r="E205" s="4">
        <v>8336</v>
      </c>
      <c r="F205" s="34">
        <v>9.8000000000000007</v>
      </c>
      <c r="G205" s="34">
        <v>10.1</v>
      </c>
      <c r="H205" s="34">
        <v>9.6</v>
      </c>
      <c r="I205" s="5">
        <v>9482</v>
      </c>
      <c r="J205" s="5">
        <f>df_mep[[#This Row],[volume_BA]]*df_mep[[#This Row],[open_BA]]</f>
        <v>76671452</v>
      </c>
      <c r="K205" s="5">
        <v>341</v>
      </c>
      <c r="L205" s="5">
        <f>df_mep[[#This Row],[volume_D_BA]]*df_mep[[#This Row],[open_D_BA]]</f>
        <v>3341.8</v>
      </c>
      <c r="M205" s="3">
        <v>825.10204081632651</v>
      </c>
      <c r="N205" s="3">
        <f>IFERROR(df_mep[[#This Row],[ask_BA]]/df_mep[[#This Row],[bid_D_BA]],750)</f>
        <v>825.34653465346537</v>
      </c>
      <c r="O205" s="3">
        <f>IFERROR(df_mep[[#This Row],[bid_BA]]/df_mep[[#This Row],[ask_D_BA]],800)</f>
        <v>872.91666666666674</v>
      </c>
      <c r="P205" s="37">
        <f>MIN(1-df_mep[[#This Row],[MEP_compra_ARS]]/MEDIAN(N:N),100%)</f>
        <v>-0.1004620462046204</v>
      </c>
      <c r="Q205" s="38">
        <f>df_mep[[#This Row],[MEP_compra_USD]]/MEDIAN(O:O)-1</f>
        <v>9.1145833333333481E-2</v>
      </c>
      <c r="R205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05" s="38">
        <f>ABS(df_mep[[#This Row],[bid_BA]]-df_mep[[#This Row],[ask_BA]])/AVERAGE(df_mep[[#This Row],[bid_BA]:[ask_BA]])</f>
        <v>5.2644173247188321E-3</v>
      </c>
      <c r="T205" s="36">
        <f>ABS(df_mep[[#This Row],[bid_D_BA]]-df_mep[[#This Row],[ask_D_BA]])/AVERAGE(df_mep[[#This Row],[bid_D_BA]:[ask_D_BA]])</f>
        <v>5.0761421319796954E-2</v>
      </c>
    </row>
    <row r="206" spans="1:20" hidden="1" x14ac:dyDescent="0.25">
      <c r="A206" s="41" t="s">
        <v>103</v>
      </c>
      <c r="B206" s="41" t="s">
        <v>184</v>
      </c>
      <c r="C206" s="4">
        <v>10200</v>
      </c>
      <c r="D206" s="4">
        <v>10444.5</v>
      </c>
      <c r="E206" s="4">
        <v>10425</v>
      </c>
      <c r="F206" s="34">
        <v>12.6</v>
      </c>
      <c r="G206" s="34">
        <v>12.65</v>
      </c>
      <c r="H206" s="34">
        <v>11.65</v>
      </c>
      <c r="I206" s="5">
        <v>1732</v>
      </c>
      <c r="J206" s="5">
        <f>df_mep[[#This Row],[volume_BA]]*df_mep[[#This Row],[open_BA]]</f>
        <v>17666400</v>
      </c>
      <c r="K206" s="5">
        <v>0</v>
      </c>
      <c r="L206" s="5">
        <f>df_mep[[#This Row],[volume_D_BA]]*df_mep[[#This Row],[open_D_BA]]</f>
        <v>0</v>
      </c>
      <c r="M206" s="3">
        <v>809.52380952380952</v>
      </c>
      <c r="N206" s="3">
        <f>IFERROR(df_mep[[#This Row],[ask_BA]]/df_mep[[#This Row],[bid_D_BA]],750)</f>
        <v>824.11067193675888</v>
      </c>
      <c r="O206" s="3">
        <f>IFERROR(df_mep[[#This Row],[bid_BA]]/df_mep[[#This Row],[ask_D_BA]],800)</f>
        <v>896.52360515021462</v>
      </c>
      <c r="P206" s="37">
        <f>MIN(1-df_mep[[#This Row],[MEP_compra_ARS]]/MEDIAN(N:N),100%)</f>
        <v>-9.8814229249011731E-2</v>
      </c>
      <c r="Q206" s="38">
        <f>df_mep[[#This Row],[MEP_compra_USD]]/MEDIAN(O:O)-1</f>
        <v>0.12065450643776821</v>
      </c>
      <c r="R206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06" s="38">
        <f>ABS(df_mep[[#This Row],[bid_BA]]-df_mep[[#This Row],[ask_BA]])/AVERAGE(df_mep[[#This Row],[bid_BA]:[ask_BA]])</f>
        <v>1.8687558398619995E-3</v>
      </c>
      <c r="T206" s="36">
        <f>ABS(df_mep[[#This Row],[bid_D_BA]]-df_mep[[#This Row],[ask_D_BA]])/AVERAGE(df_mep[[#This Row],[bid_D_BA]:[ask_D_BA]])</f>
        <v>8.2304526748971193E-2</v>
      </c>
    </row>
    <row r="207" spans="1:20" x14ac:dyDescent="0.25">
      <c r="A207" s="41" t="s">
        <v>14</v>
      </c>
      <c r="B207" s="41" t="s">
        <v>234</v>
      </c>
      <c r="C207" s="4">
        <v>17800</v>
      </c>
      <c r="D207" s="4">
        <v>18424.5</v>
      </c>
      <c r="E207" s="4">
        <v>18405.5</v>
      </c>
      <c r="F207" s="34">
        <v>22.4</v>
      </c>
      <c r="G207" s="34">
        <v>22.25</v>
      </c>
      <c r="H207" s="34">
        <v>21.55</v>
      </c>
      <c r="I207" s="5">
        <v>12903</v>
      </c>
      <c r="J207" s="5">
        <f>df_mep[[#This Row],[volume_BA]]*df_mep[[#This Row],[open_BA]]</f>
        <v>229673400</v>
      </c>
      <c r="K207" s="5">
        <v>719</v>
      </c>
      <c r="L207" s="5">
        <f>df_mep[[#This Row],[volume_D_BA]]*df_mep[[#This Row],[open_D_BA]]</f>
        <v>16105.599999999999</v>
      </c>
      <c r="M207" s="3">
        <v>794.64285714285722</v>
      </c>
      <c r="N207" s="3">
        <f>IFERROR(df_mep[[#This Row],[ask_BA]]/df_mep[[#This Row],[bid_D_BA]],750)</f>
        <v>827.21348314606746</v>
      </c>
      <c r="O207" s="3">
        <f>IFERROR(df_mep[[#This Row],[bid_BA]]/df_mep[[#This Row],[ask_D_BA]],800)</f>
        <v>854.96519721577727</v>
      </c>
      <c r="P207" s="37">
        <f>MIN(1-df_mep[[#This Row],[MEP_compra_ARS]]/MEDIAN(N:N),100%)</f>
        <v>-0.10295131086142328</v>
      </c>
      <c r="Q207" s="38">
        <f>df_mep[[#This Row],[MEP_compra_USD]]/MEDIAN(O:O)-1</f>
        <v>6.8706496519721494E-2</v>
      </c>
      <c r="R207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07" s="38">
        <f>ABS(df_mep[[#This Row],[bid_BA]]-df_mep[[#This Row],[ask_BA]])/AVERAGE(df_mep[[#This Row],[bid_BA]:[ask_BA]])</f>
        <v>1.0317675807765408E-3</v>
      </c>
      <c r="T207" s="36">
        <f>ABS(df_mep[[#This Row],[bid_D_BA]]-df_mep[[#This Row],[ask_D_BA]])/AVERAGE(df_mep[[#This Row],[bid_D_BA]:[ask_D_BA]])</f>
        <v>3.1963470319634674E-2</v>
      </c>
    </row>
    <row r="208" spans="1:20" x14ac:dyDescent="0.25">
      <c r="A208" s="41" t="s">
        <v>186</v>
      </c>
      <c r="B208" s="41" t="s">
        <v>187</v>
      </c>
      <c r="C208" s="4">
        <v>13599</v>
      </c>
      <c r="D208" s="4">
        <v>13990.5</v>
      </c>
      <c r="E208" s="4">
        <v>13980</v>
      </c>
      <c r="F208" s="34">
        <v>16.100000000000001</v>
      </c>
      <c r="G208" s="34">
        <v>16.899999999999999</v>
      </c>
      <c r="H208" s="34">
        <v>16.25</v>
      </c>
      <c r="I208" s="5">
        <v>24458</v>
      </c>
      <c r="J208" s="5">
        <f>df_mep[[#This Row],[volume_BA]]*df_mep[[#This Row],[open_BA]]</f>
        <v>332604342</v>
      </c>
      <c r="K208" s="5">
        <v>250</v>
      </c>
      <c r="L208" s="5">
        <f>df_mep[[#This Row],[volume_D_BA]]*df_mep[[#This Row],[open_D_BA]]</f>
        <v>4025.0000000000005</v>
      </c>
      <c r="M208" s="3">
        <v>844.65838509316768</v>
      </c>
      <c r="N208" s="3">
        <f>IFERROR(df_mep[[#This Row],[ask_BA]]/df_mep[[#This Row],[bid_D_BA]],750)</f>
        <v>827.21893491124263</v>
      </c>
      <c r="O208" s="3">
        <f>IFERROR(df_mep[[#This Row],[bid_BA]]/df_mep[[#This Row],[ask_D_BA]],800)</f>
        <v>860.95384615384614</v>
      </c>
      <c r="P208" s="37">
        <f>MIN(1-df_mep[[#This Row],[MEP_compra_ARS]]/MEDIAN(N:N),100%)</f>
        <v>-0.1029585798816568</v>
      </c>
      <c r="Q208" s="38">
        <f>df_mep[[#This Row],[MEP_compra_USD]]/MEDIAN(O:O)-1</f>
        <v>7.619230769230767E-2</v>
      </c>
      <c r="R208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08" s="38">
        <f>ABS(df_mep[[#This Row],[bid_BA]]-df_mep[[#This Row],[ask_BA]])/AVERAGE(df_mep[[#This Row],[bid_BA]:[ask_BA]])</f>
        <v>7.5079101195902828E-4</v>
      </c>
      <c r="T208" s="36">
        <f>ABS(df_mep[[#This Row],[bid_D_BA]]-df_mep[[#This Row],[ask_D_BA]])/AVERAGE(df_mep[[#This Row],[bid_D_BA]:[ask_D_BA]])</f>
        <v>3.921568627450972E-2</v>
      </c>
    </row>
    <row r="209" spans="1:20" x14ac:dyDescent="0.25">
      <c r="A209" s="41" t="s">
        <v>133</v>
      </c>
      <c r="B209" s="41" t="s">
        <v>246</v>
      </c>
      <c r="C209" s="4">
        <v>20532</v>
      </c>
      <c r="D209" s="4">
        <v>21083</v>
      </c>
      <c r="E209" s="4">
        <v>21045</v>
      </c>
      <c r="F209" s="34">
        <v>25</v>
      </c>
      <c r="G209" s="34">
        <v>25.3</v>
      </c>
      <c r="H209" s="34">
        <v>24.75</v>
      </c>
      <c r="I209" s="5">
        <v>805</v>
      </c>
      <c r="J209" s="5">
        <f>df_mep[[#This Row],[volume_BA]]*df_mep[[#This Row],[open_BA]]</f>
        <v>16528260</v>
      </c>
      <c r="K209" s="5">
        <v>48</v>
      </c>
      <c r="L209" s="5">
        <f>df_mep[[#This Row],[volume_D_BA]]*df_mep[[#This Row],[open_D_BA]]</f>
        <v>1200</v>
      </c>
      <c r="M209" s="3">
        <v>821.28</v>
      </c>
      <c r="N209" s="3">
        <f>IFERROR(df_mep[[#This Row],[ask_BA]]/df_mep[[#This Row],[bid_D_BA]],750)</f>
        <v>831.81818181818176</v>
      </c>
      <c r="O209" s="3">
        <f>IFERROR(df_mep[[#This Row],[bid_BA]]/df_mep[[#This Row],[ask_D_BA]],800)</f>
        <v>851.83838383838383</v>
      </c>
      <c r="P209" s="37">
        <f>MIN(1-df_mep[[#This Row],[MEP_compra_ARS]]/MEDIAN(N:N),100%)</f>
        <v>-0.10909090909090891</v>
      </c>
      <c r="Q209" s="38">
        <f>df_mep[[#This Row],[MEP_compra_USD]]/MEDIAN(O:O)-1</f>
        <v>6.4797979797979854E-2</v>
      </c>
      <c r="R209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09" s="38">
        <f>ABS(df_mep[[#This Row],[bid_BA]]-df_mep[[#This Row],[ask_BA]])/AVERAGE(df_mep[[#This Row],[bid_BA]:[ask_BA]])</f>
        <v>1.8040258260539309E-3</v>
      </c>
      <c r="T209" s="36">
        <f>ABS(df_mep[[#This Row],[bid_D_BA]]-df_mep[[#This Row],[ask_D_BA]])/AVERAGE(df_mep[[#This Row],[bid_D_BA]:[ask_D_BA]])</f>
        <v>2.1978021978022007E-2</v>
      </c>
    </row>
    <row r="210" spans="1:20" hidden="1" x14ac:dyDescent="0.25">
      <c r="A210" s="41" t="s">
        <v>34</v>
      </c>
      <c r="B210" s="41" t="s">
        <v>224</v>
      </c>
      <c r="C210" s="4">
        <v>6251.5</v>
      </c>
      <c r="D210" s="4">
        <v>6480</v>
      </c>
      <c r="E210" s="4">
        <v>6410</v>
      </c>
      <c r="F210" s="34">
        <v>7.65</v>
      </c>
      <c r="G210" s="34">
        <v>7.74</v>
      </c>
      <c r="H210" s="34">
        <v>7.41</v>
      </c>
      <c r="I210" s="5">
        <v>6400</v>
      </c>
      <c r="J210" s="5">
        <f>df_mep[[#This Row],[volume_BA]]*df_mep[[#This Row],[open_BA]]</f>
        <v>40009600</v>
      </c>
      <c r="K210" s="5">
        <v>79</v>
      </c>
      <c r="L210" s="5">
        <f>df_mep[[#This Row],[volume_D_BA]]*df_mep[[#This Row],[open_D_BA]]</f>
        <v>604.35</v>
      </c>
      <c r="M210" s="3">
        <v>817.18954248366015</v>
      </c>
      <c r="N210" s="3">
        <f>IFERROR(df_mep[[#This Row],[ask_BA]]/df_mep[[#This Row],[bid_D_BA]],750)</f>
        <v>828.16537467700255</v>
      </c>
      <c r="O210" s="3">
        <f>IFERROR(df_mep[[#This Row],[bid_BA]]/df_mep[[#This Row],[ask_D_BA]],800)</f>
        <v>874.49392712550605</v>
      </c>
      <c r="P210" s="37">
        <f>MIN(1-df_mep[[#This Row],[MEP_compra_ARS]]/MEDIAN(N:N),100%)</f>
        <v>-0.10422049956933677</v>
      </c>
      <c r="Q210" s="38">
        <f>df_mep[[#This Row],[MEP_compra_USD]]/MEDIAN(O:O)-1</f>
        <v>9.3117408906882471E-2</v>
      </c>
      <c r="R210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10" s="38">
        <f>ABS(df_mep[[#This Row],[bid_BA]]-df_mep[[#This Row],[ask_BA]])/AVERAGE(df_mep[[#This Row],[bid_BA]:[ask_BA]])</f>
        <v>1.0861132660977503E-2</v>
      </c>
      <c r="T210" s="36">
        <f>ABS(df_mep[[#This Row],[bid_D_BA]]-df_mep[[#This Row],[ask_D_BA]])/AVERAGE(df_mep[[#This Row],[bid_D_BA]:[ask_D_BA]])</f>
        <v>4.3564356435643575E-2</v>
      </c>
    </row>
    <row r="211" spans="1:20" x14ac:dyDescent="0.25">
      <c r="A211" s="41" t="s">
        <v>18</v>
      </c>
      <c r="B211" s="41" t="s">
        <v>274</v>
      </c>
      <c r="C211" s="4">
        <v>14453.5</v>
      </c>
      <c r="D211" s="4">
        <v>15450</v>
      </c>
      <c r="E211" s="4">
        <v>15395</v>
      </c>
      <c r="F211" s="34">
        <v>17.350000000000001</v>
      </c>
      <c r="G211" s="34">
        <v>18.45</v>
      </c>
      <c r="H211" s="34">
        <v>17.850000000000001</v>
      </c>
      <c r="I211" s="5">
        <v>42564</v>
      </c>
      <c r="J211" s="5">
        <f>df_mep[[#This Row],[volume_BA]]*df_mep[[#This Row],[open_BA]]</f>
        <v>615198774</v>
      </c>
      <c r="K211" s="5">
        <v>1628</v>
      </c>
      <c r="L211" s="5">
        <f>df_mep[[#This Row],[volume_D_BA]]*df_mep[[#This Row],[open_D_BA]]</f>
        <v>28245.800000000003</v>
      </c>
      <c r="M211" s="3">
        <v>833.0547550432276</v>
      </c>
      <c r="N211" s="3">
        <f>IFERROR(df_mep[[#This Row],[ask_BA]]/df_mep[[#This Row],[bid_D_BA]],750)</f>
        <v>834.41734417344173</v>
      </c>
      <c r="O211" s="3">
        <f>IFERROR(df_mep[[#This Row],[bid_BA]]/df_mep[[#This Row],[ask_D_BA]],800)</f>
        <v>865.54621848739487</v>
      </c>
      <c r="P211" s="37">
        <f>MIN(1-df_mep[[#This Row],[MEP_compra_ARS]]/MEDIAN(N:N),100%)</f>
        <v>-0.11255645889792221</v>
      </c>
      <c r="Q211" s="38">
        <f>df_mep[[#This Row],[MEP_compra_USD]]/MEDIAN(O:O)-1</f>
        <v>8.1932773109243628E-2</v>
      </c>
      <c r="R211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11" s="38">
        <f>ABS(df_mep[[#This Row],[bid_BA]]-df_mep[[#This Row],[ask_BA]])/AVERAGE(df_mep[[#This Row],[bid_BA]:[ask_BA]])</f>
        <v>3.5662181877127571E-3</v>
      </c>
      <c r="T211" s="36">
        <f>ABS(df_mep[[#This Row],[bid_D_BA]]-df_mep[[#This Row],[ask_D_BA]])/AVERAGE(df_mep[[#This Row],[bid_D_BA]:[ask_D_BA]])</f>
        <v>3.3057851239669304E-2</v>
      </c>
    </row>
    <row r="212" spans="1:20" x14ac:dyDescent="0.25">
      <c r="A212" s="41" t="s">
        <v>20</v>
      </c>
      <c r="B212" s="41" t="s">
        <v>177</v>
      </c>
      <c r="C212" s="4">
        <v>3264</v>
      </c>
      <c r="D212" s="4">
        <v>3428.5</v>
      </c>
      <c r="E212" s="4">
        <v>3425</v>
      </c>
      <c r="F212" s="34">
        <v>4</v>
      </c>
      <c r="G212" s="34">
        <v>4.09</v>
      </c>
      <c r="H212" s="34">
        <v>4</v>
      </c>
      <c r="I212" s="5">
        <v>7006</v>
      </c>
      <c r="J212" s="5">
        <f>df_mep[[#This Row],[volume_BA]]*df_mep[[#This Row],[open_BA]]</f>
        <v>22867584</v>
      </c>
      <c r="K212" s="5">
        <v>474</v>
      </c>
      <c r="L212" s="5">
        <f>df_mep[[#This Row],[volume_D_BA]]*df_mep[[#This Row],[open_D_BA]]</f>
        <v>1896</v>
      </c>
      <c r="M212" s="3">
        <v>816</v>
      </c>
      <c r="N212" s="3">
        <f>IFERROR(df_mep[[#This Row],[ask_BA]]/df_mep[[#This Row],[bid_D_BA]],750)</f>
        <v>837.4083129584352</v>
      </c>
      <c r="O212" s="3">
        <f>IFERROR(df_mep[[#This Row],[bid_BA]]/df_mep[[#This Row],[ask_D_BA]],800)</f>
        <v>857.125</v>
      </c>
      <c r="P212" s="37">
        <f>MIN(1-df_mep[[#This Row],[MEP_compra_ARS]]/MEDIAN(N:N),100%)</f>
        <v>-0.11654441727791354</v>
      </c>
      <c r="Q212" s="38">
        <f>df_mep[[#This Row],[MEP_compra_USD]]/MEDIAN(O:O)-1</f>
        <v>7.1406249999999893E-2</v>
      </c>
      <c r="R212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12" s="38">
        <f>ABS(df_mep[[#This Row],[bid_BA]]-df_mep[[#This Row],[ask_BA]])/AVERAGE(df_mep[[#This Row],[bid_BA]:[ask_BA]])</f>
        <v>1.0213759393010869E-3</v>
      </c>
      <c r="T212" s="36">
        <f>ABS(df_mep[[#This Row],[bid_D_BA]]-df_mep[[#This Row],[ask_D_BA]])/AVERAGE(df_mep[[#This Row],[bid_D_BA]:[ask_D_BA]])</f>
        <v>2.2249690976514181E-2</v>
      </c>
    </row>
    <row r="213" spans="1:20" hidden="1" x14ac:dyDescent="0.25">
      <c r="A213" s="41" t="s">
        <v>111</v>
      </c>
      <c r="B213" s="41" t="s">
        <v>194</v>
      </c>
      <c r="C213" s="4">
        <v>6100</v>
      </c>
      <c r="D213" s="4">
        <v>6164</v>
      </c>
      <c r="E213" s="4">
        <v>6142</v>
      </c>
      <c r="F213" s="34">
        <v>7.35</v>
      </c>
      <c r="G213" s="34">
        <v>7.35</v>
      </c>
      <c r="H213" s="34">
        <v>6.9</v>
      </c>
      <c r="I213" s="5">
        <v>1586</v>
      </c>
      <c r="J213" s="5">
        <f>df_mep[[#This Row],[volume_BA]]*df_mep[[#This Row],[open_BA]]</f>
        <v>9674600</v>
      </c>
      <c r="K213" s="5">
        <v>11</v>
      </c>
      <c r="L213" s="5">
        <f>df_mep[[#This Row],[volume_D_BA]]*df_mep[[#This Row],[open_D_BA]]</f>
        <v>80.849999999999994</v>
      </c>
      <c r="M213" s="3">
        <v>829.93197278911566</v>
      </c>
      <c r="N213" s="3">
        <f>IFERROR(df_mep[[#This Row],[ask_BA]]/df_mep[[#This Row],[bid_D_BA]],750)</f>
        <v>835.64625850340144</v>
      </c>
      <c r="O213" s="3">
        <f>IFERROR(df_mep[[#This Row],[bid_BA]]/df_mep[[#This Row],[ask_D_BA]],800)</f>
        <v>893.33333333333326</v>
      </c>
      <c r="P213" s="37">
        <f>MIN(1-df_mep[[#This Row],[MEP_compra_ARS]]/MEDIAN(N:N),100%)</f>
        <v>-0.11419501133786869</v>
      </c>
      <c r="Q213" s="38">
        <f>df_mep[[#This Row],[MEP_compra_USD]]/MEDIAN(O:O)-1</f>
        <v>0.11666666666666647</v>
      </c>
      <c r="R213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13" s="38">
        <f>ABS(df_mep[[#This Row],[bid_BA]]-df_mep[[#This Row],[ask_BA]])/AVERAGE(df_mep[[#This Row],[bid_BA]:[ask_BA]])</f>
        <v>3.5754916300991387E-3</v>
      </c>
      <c r="T213" s="36">
        <f>ABS(df_mep[[#This Row],[bid_D_BA]]-df_mep[[#This Row],[ask_D_BA]])/AVERAGE(df_mep[[#This Row],[bid_D_BA]:[ask_D_BA]])</f>
        <v>6.315789473684201E-2</v>
      </c>
    </row>
    <row r="214" spans="1:20" hidden="1" x14ac:dyDescent="0.25">
      <c r="A214" s="41" t="s">
        <v>68</v>
      </c>
      <c r="B214" s="41" t="s">
        <v>223</v>
      </c>
      <c r="C214" s="4">
        <v>3260</v>
      </c>
      <c r="D214" s="4">
        <v>3373.5</v>
      </c>
      <c r="E214" s="4">
        <v>3343.5</v>
      </c>
      <c r="F214" s="34">
        <v>3.9</v>
      </c>
      <c r="G214" s="34">
        <v>4</v>
      </c>
      <c r="H214" s="34">
        <v>3.71</v>
      </c>
      <c r="I214" s="5">
        <v>6188</v>
      </c>
      <c r="J214" s="5">
        <f>df_mep[[#This Row],[volume_BA]]*df_mep[[#This Row],[open_BA]]</f>
        <v>20172880</v>
      </c>
      <c r="K214" s="5">
        <v>106</v>
      </c>
      <c r="L214" s="5">
        <f>df_mep[[#This Row],[volume_D_BA]]*df_mep[[#This Row],[open_D_BA]]</f>
        <v>413.4</v>
      </c>
      <c r="M214" s="3">
        <v>835.89743589743591</v>
      </c>
      <c r="N214" s="3">
        <f>IFERROR(df_mep[[#This Row],[ask_BA]]/df_mep[[#This Row],[bid_D_BA]],750)</f>
        <v>835.875</v>
      </c>
      <c r="O214" s="3">
        <f>IFERROR(df_mep[[#This Row],[bid_BA]]/df_mep[[#This Row],[ask_D_BA]],800)</f>
        <v>909.29919137466311</v>
      </c>
      <c r="P214" s="37">
        <f>MIN(1-df_mep[[#This Row],[MEP_compra_ARS]]/MEDIAN(N:N),100%)</f>
        <v>-0.11450000000000005</v>
      </c>
      <c r="Q214" s="38">
        <f>df_mep[[#This Row],[MEP_compra_USD]]/MEDIAN(O:O)-1</f>
        <v>0.13662398921832897</v>
      </c>
      <c r="R214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14" s="38">
        <f>ABS(df_mep[[#This Row],[bid_BA]]-df_mep[[#This Row],[ask_BA]])/AVERAGE(df_mep[[#This Row],[bid_BA]:[ask_BA]])</f>
        <v>8.9325591782045549E-3</v>
      </c>
      <c r="T214" s="36">
        <f>ABS(df_mep[[#This Row],[bid_D_BA]]-df_mep[[#This Row],[ask_D_BA]])/AVERAGE(df_mep[[#This Row],[bid_D_BA]:[ask_D_BA]])</f>
        <v>7.522697795071337E-2</v>
      </c>
    </row>
    <row r="215" spans="1:20" hidden="1" x14ac:dyDescent="0.25">
      <c r="A215" s="41" t="s">
        <v>225</v>
      </c>
      <c r="B215" s="41" t="s">
        <v>226</v>
      </c>
      <c r="C215" s="4">
        <v>4500</v>
      </c>
      <c r="D215" s="4">
        <v>4710</v>
      </c>
      <c r="E215" s="4">
        <v>4680.5</v>
      </c>
      <c r="F215" s="34">
        <v>6.4</v>
      </c>
      <c r="G215" s="34">
        <v>5.59</v>
      </c>
      <c r="H215" s="34">
        <v>5.24</v>
      </c>
      <c r="I215" s="5">
        <v>295</v>
      </c>
      <c r="J215" s="5">
        <f>df_mep[[#This Row],[volume_BA]]*df_mep[[#This Row],[open_BA]]</f>
        <v>1327500</v>
      </c>
      <c r="K215" s="5">
        <v>0</v>
      </c>
      <c r="L215" s="5">
        <f>df_mep[[#This Row],[volume_D_BA]]*df_mep[[#This Row],[open_D_BA]]</f>
        <v>0</v>
      </c>
      <c r="M215" s="3">
        <v>703.125</v>
      </c>
      <c r="N215" s="3">
        <f>IFERROR(df_mep[[#This Row],[ask_BA]]/df_mep[[#This Row],[bid_D_BA]],750)</f>
        <v>837.29874776386407</v>
      </c>
      <c r="O215" s="3">
        <f>IFERROR(df_mep[[#This Row],[bid_BA]]/df_mep[[#This Row],[ask_D_BA]],800)</f>
        <v>898.85496183206101</v>
      </c>
      <c r="P215" s="37">
        <f>MIN(1-df_mep[[#This Row],[MEP_compra_ARS]]/MEDIAN(N:N),100%)</f>
        <v>-0.11639833035181879</v>
      </c>
      <c r="Q215" s="38">
        <f>df_mep[[#This Row],[MEP_compra_USD]]/MEDIAN(O:O)-1</f>
        <v>0.12356870229007622</v>
      </c>
      <c r="R215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15" s="38">
        <f>ABS(df_mep[[#This Row],[bid_BA]]-df_mep[[#This Row],[ask_BA]])/AVERAGE(df_mep[[#This Row],[bid_BA]:[ask_BA]])</f>
        <v>6.2829455300569721E-3</v>
      </c>
      <c r="T215" s="36">
        <f>ABS(df_mep[[#This Row],[bid_D_BA]]-df_mep[[#This Row],[ask_D_BA]])/AVERAGE(df_mep[[#This Row],[bid_D_BA]:[ask_D_BA]])</f>
        <v>6.4635272391505016E-2</v>
      </c>
    </row>
    <row r="216" spans="1:20" x14ac:dyDescent="0.25">
      <c r="A216" s="41" t="s">
        <v>165</v>
      </c>
      <c r="B216" s="41" t="s">
        <v>293</v>
      </c>
      <c r="C216" s="4">
        <v>14080</v>
      </c>
      <c r="D216" s="4">
        <v>14695.5</v>
      </c>
      <c r="E216" s="4">
        <v>14455.5</v>
      </c>
      <c r="F216" s="34">
        <v>16.95</v>
      </c>
      <c r="G216" s="34">
        <v>17.25</v>
      </c>
      <c r="H216" s="34">
        <v>16.899999999999999</v>
      </c>
      <c r="I216" s="5">
        <v>3813</v>
      </c>
      <c r="J216" s="5">
        <f>df_mep[[#This Row],[volume_BA]]*df_mep[[#This Row],[open_BA]]</f>
        <v>53687040</v>
      </c>
      <c r="K216" s="5">
        <v>133</v>
      </c>
      <c r="L216" s="5">
        <f>df_mep[[#This Row],[volume_D_BA]]*df_mep[[#This Row],[open_D_BA]]</f>
        <v>2254.35</v>
      </c>
      <c r="M216" s="3">
        <v>830.67846607669617</v>
      </c>
      <c r="N216" s="3">
        <f>IFERROR(df_mep[[#This Row],[ask_BA]]/df_mep[[#This Row],[bid_D_BA]],750)</f>
        <v>838</v>
      </c>
      <c r="O216" s="3">
        <f>IFERROR(df_mep[[#This Row],[bid_BA]]/df_mep[[#This Row],[ask_D_BA]],800)</f>
        <v>869.55621301775159</v>
      </c>
      <c r="P216" s="37">
        <f>MIN(1-df_mep[[#This Row],[MEP_compra_ARS]]/MEDIAN(N:N),100%)</f>
        <v>-0.11733333333333329</v>
      </c>
      <c r="Q216" s="38">
        <f>df_mep[[#This Row],[MEP_compra_USD]]/MEDIAN(O:O)-1</f>
        <v>8.6945266272189459E-2</v>
      </c>
      <c r="R216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16" s="38">
        <f>ABS(df_mep[[#This Row],[bid_BA]]-df_mep[[#This Row],[ask_BA]])/AVERAGE(df_mep[[#This Row],[bid_BA]:[ask_BA]])</f>
        <v>1.6465987444684572E-2</v>
      </c>
      <c r="T216" s="36">
        <f>ABS(df_mep[[#This Row],[bid_D_BA]]-df_mep[[#This Row],[ask_D_BA]])/AVERAGE(df_mep[[#This Row],[bid_D_BA]:[ask_D_BA]])</f>
        <v>2.0497803806735077E-2</v>
      </c>
    </row>
    <row r="217" spans="1:20" hidden="1" x14ac:dyDescent="0.25">
      <c r="A217" s="41" t="s">
        <v>145</v>
      </c>
      <c r="B217" s="41" t="s">
        <v>267</v>
      </c>
      <c r="C217" s="4">
        <v>4298</v>
      </c>
      <c r="D217" s="4">
        <v>4556</v>
      </c>
      <c r="E217" s="4">
        <v>4524</v>
      </c>
      <c r="F217" s="34">
        <v>5.0999999999999996</v>
      </c>
      <c r="G217" s="34">
        <v>5.4</v>
      </c>
      <c r="H217" s="34">
        <v>5.05</v>
      </c>
      <c r="I217" s="5">
        <v>943</v>
      </c>
      <c r="J217" s="5">
        <f>df_mep[[#This Row],[volume_BA]]*df_mep[[#This Row],[open_BA]]</f>
        <v>4053014</v>
      </c>
      <c r="K217" s="5">
        <v>0</v>
      </c>
      <c r="L217" s="5">
        <f>df_mep[[#This Row],[volume_D_BA]]*df_mep[[#This Row],[open_D_BA]]</f>
        <v>0</v>
      </c>
      <c r="M217" s="3">
        <v>842.74509803921569</v>
      </c>
      <c r="N217" s="3">
        <f>IFERROR(df_mep[[#This Row],[ask_BA]]/df_mep[[#This Row],[bid_D_BA]],750)</f>
        <v>837.77777777777771</v>
      </c>
      <c r="O217" s="3">
        <f>IFERROR(df_mep[[#This Row],[bid_BA]]/df_mep[[#This Row],[ask_D_BA]],800)</f>
        <v>902.17821782178225</v>
      </c>
      <c r="P217" s="37">
        <f>MIN(1-df_mep[[#This Row],[MEP_compra_ARS]]/MEDIAN(N:N),100%)</f>
        <v>-0.11703703703703705</v>
      </c>
      <c r="Q217" s="38">
        <f>df_mep[[#This Row],[MEP_compra_USD]]/MEDIAN(O:O)-1</f>
        <v>0.12772277227722784</v>
      </c>
      <c r="R217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17" s="38">
        <f>ABS(df_mep[[#This Row],[bid_BA]]-df_mep[[#This Row],[ask_BA]])/AVERAGE(df_mep[[#This Row],[bid_BA]:[ask_BA]])</f>
        <v>7.048458149779736E-3</v>
      </c>
      <c r="T217" s="36">
        <f>ABS(df_mep[[#This Row],[bid_D_BA]]-df_mep[[#This Row],[ask_D_BA]])/AVERAGE(df_mep[[#This Row],[bid_D_BA]:[ask_D_BA]])</f>
        <v>6.6985645933014454E-2</v>
      </c>
    </row>
    <row r="218" spans="1:20" x14ac:dyDescent="0.25">
      <c r="A218" s="41" t="s">
        <v>21</v>
      </c>
      <c r="B218" s="41" t="s">
        <v>268</v>
      </c>
      <c r="C218" s="4">
        <v>18340</v>
      </c>
      <c r="D218" s="4">
        <v>19037.5</v>
      </c>
      <c r="E218" s="4">
        <v>19020</v>
      </c>
      <c r="F218" s="34">
        <v>22.2</v>
      </c>
      <c r="G218" s="34">
        <v>22.65</v>
      </c>
      <c r="H218" s="34">
        <v>22.3</v>
      </c>
      <c r="I218" s="5">
        <v>143609</v>
      </c>
      <c r="J218" s="5">
        <f>df_mep[[#This Row],[volume_BA]]*df_mep[[#This Row],[open_BA]]</f>
        <v>2633789060</v>
      </c>
      <c r="K218" s="5">
        <v>3625</v>
      </c>
      <c r="L218" s="5">
        <f>df_mep[[#This Row],[volume_D_BA]]*df_mep[[#This Row],[open_D_BA]]</f>
        <v>80475</v>
      </c>
      <c r="M218" s="3">
        <v>826.12612612612611</v>
      </c>
      <c r="N218" s="3">
        <f>IFERROR(df_mep[[#This Row],[ask_BA]]/df_mep[[#This Row],[bid_D_BA]],750)</f>
        <v>839.73509933774835</v>
      </c>
      <c r="O218" s="3">
        <f>IFERROR(df_mep[[#This Row],[bid_BA]]/df_mep[[#This Row],[ask_D_BA]],800)</f>
        <v>853.69955156950675</v>
      </c>
      <c r="P218" s="37">
        <f>MIN(1-df_mep[[#This Row],[MEP_compra_ARS]]/MEDIAN(N:N),100%)</f>
        <v>-0.11964679911699783</v>
      </c>
      <c r="Q218" s="38">
        <f>df_mep[[#This Row],[MEP_compra_USD]]/MEDIAN(O:O)-1</f>
        <v>6.7124439461883512E-2</v>
      </c>
      <c r="R218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18" s="38">
        <f>ABS(df_mep[[#This Row],[bid_BA]]-df_mep[[#This Row],[ask_BA]])/AVERAGE(df_mep[[#This Row],[bid_BA]:[ask_BA]])</f>
        <v>9.1966103921697429E-4</v>
      </c>
      <c r="T218" s="36">
        <f>ABS(df_mep[[#This Row],[bid_D_BA]]-df_mep[[#This Row],[ask_D_BA]])/AVERAGE(df_mep[[#This Row],[bid_D_BA]:[ask_D_BA]])</f>
        <v>1.5572858731924264E-2</v>
      </c>
    </row>
    <row r="219" spans="1:20" hidden="1" x14ac:dyDescent="0.25">
      <c r="A219" s="41" t="s">
        <v>107</v>
      </c>
      <c r="B219" s="41" t="s">
        <v>107</v>
      </c>
      <c r="C219" s="4">
        <v>6322</v>
      </c>
      <c r="D219" s="4">
        <v>6544</v>
      </c>
      <c r="E219" s="4">
        <v>6517</v>
      </c>
      <c r="F219" s="34">
        <v>8.6</v>
      </c>
      <c r="G219" s="34">
        <v>7.77</v>
      </c>
      <c r="H219" s="34">
        <v>7.24</v>
      </c>
      <c r="I219" s="5">
        <v>1001</v>
      </c>
      <c r="J219" s="5">
        <f>df_mep[[#This Row],[volume_BA]]*df_mep[[#This Row],[open_BA]]</f>
        <v>6328322</v>
      </c>
      <c r="K219" s="5">
        <v>0</v>
      </c>
      <c r="L219" s="5">
        <f>df_mep[[#This Row],[volume_D_BA]]*df_mep[[#This Row],[open_D_BA]]</f>
        <v>0</v>
      </c>
      <c r="M219" s="3">
        <v>735.11627906976742</v>
      </c>
      <c r="N219" s="3">
        <f>IFERROR(df_mep[[#This Row],[ask_BA]]/df_mep[[#This Row],[bid_D_BA]],750)</f>
        <v>838.73873873873879</v>
      </c>
      <c r="O219" s="3">
        <f>IFERROR(df_mep[[#This Row],[bid_BA]]/df_mep[[#This Row],[ask_D_BA]],800)</f>
        <v>903.86740331491706</v>
      </c>
      <c r="P219" s="37">
        <f>MIN(1-df_mep[[#This Row],[MEP_compra_ARS]]/MEDIAN(N:N),100%)</f>
        <v>-0.11831831831831829</v>
      </c>
      <c r="Q219" s="38">
        <f>df_mep[[#This Row],[MEP_compra_USD]]/MEDIAN(O:O)-1</f>
        <v>0.12983425414364635</v>
      </c>
      <c r="R219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19" s="38">
        <f>ABS(df_mep[[#This Row],[bid_BA]]-df_mep[[#This Row],[ask_BA]])/AVERAGE(df_mep[[#This Row],[bid_BA]:[ask_BA]])</f>
        <v>4.1344460607916703E-3</v>
      </c>
      <c r="T219" s="36">
        <f>ABS(df_mep[[#This Row],[bid_D_BA]]-df_mep[[#This Row],[ask_D_BA]])/AVERAGE(df_mep[[#This Row],[bid_D_BA]:[ask_D_BA]])</f>
        <v>7.0619586942038556E-2</v>
      </c>
    </row>
    <row r="220" spans="1:20" hidden="1" x14ac:dyDescent="0.25">
      <c r="A220" s="41" t="s">
        <v>117</v>
      </c>
      <c r="B220" s="41" t="s">
        <v>199</v>
      </c>
      <c r="C220" s="4">
        <v>18356</v>
      </c>
      <c r="D220" s="4">
        <v>19259.5</v>
      </c>
      <c r="E220" s="4">
        <v>19214.5</v>
      </c>
      <c r="F220" s="34">
        <v>22</v>
      </c>
      <c r="G220" s="34">
        <v>22.9</v>
      </c>
      <c r="H220" s="34">
        <v>21.45</v>
      </c>
      <c r="I220" s="5">
        <v>165</v>
      </c>
      <c r="J220" s="5">
        <f>df_mep[[#This Row],[volume_BA]]*df_mep[[#This Row],[open_BA]]</f>
        <v>3028740</v>
      </c>
      <c r="K220" s="5">
        <v>0</v>
      </c>
      <c r="L220" s="5">
        <f>df_mep[[#This Row],[volume_D_BA]]*df_mep[[#This Row],[open_D_BA]]</f>
        <v>0</v>
      </c>
      <c r="M220" s="3">
        <v>834.36363636363637</v>
      </c>
      <c r="N220" s="3">
        <f>IFERROR(df_mep[[#This Row],[ask_BA]]/df_mep[[#This Row],[bid_D_BA]],750)</f>
        <v>839.06113537117915</v>
      </c>
      <c r="O220" s="3">
        <f>IFERROR(df_mep[[#This Row],[bid_BA]]/df_mep[[#This Row],[ask_D_BA]],800)</f>
        <v>897.87878787878788</v>
      </c>
      <c r="P220" s="37">
        <f>MIN(1-df_mep[[#This Row],[MEP_compra_ARS]]/MEDIAN(N:N),100%)</f>
        <v>-0.11874818049490554</v>
      </c>
      <c r="Q220" s="38">
        <f>df_mep[[#This Row],[MEP_compra_USD]]/MEDIAN(O:O)-1</f>
        <v>0.12234848484848482</v>
      </c>
      <c r="R220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20" s="38">
        <f>ABS(df_mep[[#This Row],[bid_BA]]-df_mep[[#This Row],[ask_BA]])/AVERAGE(df_mep[[#This Row],[bid_BA]:[ask_BA]])</f>
        <v>2.3392420855642771E-3</v>
      </c>
      <c r="T220" s="36">
        <f>ABS(df_mep[[#This Row],[bid_D_BA]]-df_mep[[#This Row],[ask_D_BA]])/AVERAGE(df_mep[[#This Row],[bid_D_BA]:[ask_D_BA]])</f>
        <v>6.5388951521984193E-2</v>
      </c>
    </row>
    <row r="221" spans="1:20" x14ac:dyDescent="0.25">
      <c r="A221" s="41" t="s">
        <v>27</v>
      </c>
      <c r="B221" s="41" t="s">
        <v>255</v>
      </c>
      <c r="C221" s="4">
        <v>12168</v>
      </c>
      <c r="D221" s="4">
        <v>12485.5</v>
      </c>
      <c r="E221" s="4">
        <v>12452</v>
      </c>
      <c r="F221" s="34">
        <v>14</v>
      </c>
      <c r="G221" s="34">
        <v>14.75</v>
      </c>
      <c r="H221" s="34">
        <v>14.55</v>
      </c>
      <c r="I221" s="5">
        <v>20696</v>
      </c>
      <c r="J221" s="5">
        <f>df_mep[[#This Row],[volume_BA]]*df_mep[[#This Row],[open_BA]]</f>
        <v>251828928</v>
      </c>
      <c r="K221" s="5">
        <v>618</v>
      </c>
      <c r="L221" s="5">
        <f>df_mep[[#This Row],[volume_D_BA]]*df_mep[[#This Row],[open_D_BA]]</f>
        <v>8652</v>
      </c>
      <c r="M221" s="3">
        <v>869.14285714285711</v>
      </c>
      <c r="N221" s="3">
        <f>IFERROR(df_mep[[#This Row],[ask_BA]]/df_mep[[#This Row],[bid_D_BA]],750)</f>
        <v>844.20338983050851</v>
      </c>
      <c r="O221" s="3">
        <f>IFERROR(df_mep[[#This Row],[bid_BA]]/df_mep[[#This Row],[ask_D_BA]],800)</f>
        <v>858.10996563573883</v>
      </c>
      <c r="P221" s="37">
        <f>MIN(1-df_mep[[#This Row],[MEP_compra_ARS]]/MEDIAN(N:N),100%)</f>
        <v>-0.12560451977401144</v>
      </c>
      <c r="Q221" s="38">
        <f>df_mep[[#This Row],[MEP_compra_USD]]/MEDIAN(O:O)-1</f>
        <v>7.2637457044673504E-2</v>
      </c>
      <c r="R221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21" s="38">
        <f>ABS(df_mep[[#This Row],[bid_BA]]-df_mep[[#This Row],[ask_BA]])/AVERAGE(df_mep[[#This Row],[bid_BA]:[ask_BA]])</f>
        <v>2.68671679197995E-3</v>
      </c>
      <c r="T221" s="36">
        <f>ABS(df_mep[[#This Row],[bid_D_BA]]-df_mep[[#This Row],[ask_D_BA]])/AVERAGE(df_mep[[#This Row],[bid_D_BA]:[ask_D_BA]])</f>
        <v>1.3651877133105754E-2</v>
      </c>
    </row>
    <row r="222" spans="1:20" hidden="1" x14ac:dyDescent="0.25">
      <c r="A222" s="41" t="s">
        <v>156</v>
      </c>
      <c r="B222" s="41" t="s">
        <v>281</v>
      </c>
      <c r="C222" s="4">
        <v>13600</v>
      </c>
      <c r="D222" s="4">
        <v>13878.5</v>
      </c>
      <c r="E222" s="4">
        <v>13833.5</v>
      </c>
      <c r="F222" s="34">
        <v>16.399999999999999</v>
      </c>
      <c r="G222" s="34">
        <v>16.45</v>
      </c>
      <c r="H222" s="34">
        <v>15.5</v>
      </c>
      <c r="I222" s="5">
        <v>1179</v>
      </c>
      <c r="J222" s="5">
        <f>df_mep[[#This Row],[volume_BA]]*df_mep[[#This Row],[open_BA]]</f>
        <v>16034400</v>
      </c>
      <c r="K222" s="5">
        <v>0</v>
      </c>
      <c r="L222" s="5">
        <f>df_mep[[#This Row],[volume_D_BA]]*df_mep[[#This Row],[open_D_BA]]</f>
        <v>0</v>
      </c>
      <c r="M222" s="3">
        <v>829.26829268292693</v>
      </c>
      <c r="N222" s="3">
        <f>IFERROR(df_mep[[#This Row],[ask_BA]]/df_mep[[#This Row],[bid_D_BA]],750)</f>
        <v>840.94224924012167</v>
      </c>
      <c r="O222" s="3">
        <f>IFERROR(df_mep[[#This Row],[bid_BA]]/df_mep[[#This Row],[ask_D_BA]],800)</f>
        <v>895.38709677419354</v>
      </c>
      <c r="P222" s="37">
        <f>MIN(1-df_mep[[#This Row],[MEP_compra_ARS]]/MEDIAN(N:N),100%)</f>
        <v>-0.12125633232016231</v>
      </c>
      <c r="Q222" s="38">
        <f>df_mep[[#This Row],[MEP_compra_USD]]/MEDIAN(O:O)-1</f>
        <v>0.11923387096774185</v>
      </c>
      <c r="R222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22" s="38">
        <f>ABS(df_mep[[#This Row],[bid_BA]]-df_mep[[#This Row],[ask_BA]])/AVERAGE(df_mep[[#This Row],[bid_BA]:[ask_BA]])</f>
        <v>3.2476905311778293E-3</v>
      </c>
      <c r="T222" s="36">
        <f>ABS(df_mep[[#This Row],[bid_D_BA]]-df_mep[[#This Row],[ask_D_BA]])/AVERAGE(df_mep[[#This Row],[bid_D_BA]:[ask_D_BA]])</f>
        <v>5.9467918622848157E-2</v>
      </c>
    </row>
    <row r="223" spans="1:20" x14ac:dyDescent="0.25">
      <c r="A223" s="41" t="s">
        <v>30</v>
      </c>
      <c r="B223" s="41" t="s">
        <v>195</v>
      </c>
      <c r="C223" s="4">
        <v>14360</v>
      </c>
      <c r="D223" s="4">
        <v>14836</v>
      </c>
      <c r="E223" s="4">
        <v>14825</v>
      </c>
      <c r="F223" s="34">
        <v>17.55</v>
      </c>
      <c r="G223" s="34">
        <v>17.55</v>
      </c>
      <c r="H223" s="34">
        <v>17.2</v>
      </c>
      <c r="I223" s="5">
        <v>42084</v>
      </c>
      <c r="J223" s="5">
        <f>df_mep[[#This Row],[volume_BA]]*df_mep[[#This Row],[open_BA]]</f>
        <v>604326240</v>
      </c>
      <c r="K223" s="5">
        <v>210</v>
      </c>
      <c r="L223" s="5">
        <f>df_mep[[#This Row],[volume_D_BA]]*df_mep[[#This Row],[open_D_BA]]</f>
        <v>3685.5</v>
      </c>
      <c r="M223" s="3">
        <v>818.23361823361824</v>
      </c>
      <c r="N223" s="3">
        <f>IFERROR(df_mep[[#This Row],[ask_BA]]/df_mep[[#This Row],[bid_D_BA]],750)</f>
        <v>844.72934472934469</v>
      </c>
      <c r="O223" s="3">
        <f>IFERROR(df_mep[[#This Row],[bid_BA]]/df_mep[[#This Row],[ask_D_BA]],800)</f>
        <v>862.55813953488371</v>
      </c>
      <c r="P223" s="37">
        <f>MIN(1-df_mep[[#This Row],[MEP_compra_ARS]]/MEDIAN(N:N),100%)</f>
        <v>-0.12630579297245959</v>
      </c>
      <c r="Q223" s="38">
        <f>df_mep[[#This Row],[MEP_compra_USD]]/MEDIAN(O:O)-1</f>
        <v>7.819767441860459E-2</v>
      </c>
      <c r="R223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23" s="38">
        <f>ABS(df_mep[[#This Row],[bid_BA]]-df_mep[[#This Row],[ask_BA]])/AVERAGE(df_mep[[#This Row],[bid_BA]:[ask_BA]])</f>
        <v>7.4171470955126256E-4</v>
      </c>
      <c r="T223" s="36">
        <f>ABS(df_mep[[#This Row],[bid_D_BA]]-df_mep[[#This Row],[ask_D_BA]])/AVERAGE(df_mep[[#This Row],[bid_D_BA]:[ask_D_BA]])</f>
        <v>2.0143884892086412E-2</v>
      </c>
    </row>
    <row r="224" spans="1:20" hidden="1" x14ac:dyDescent="0.25">
      <c r="A224" s="41" t="s">
        <v>36</v>
      </c>
      <c r="B224" s="41" t="s">
        <v>289</v>
      </c>
      <c r="C224" s="4">
        <v>6647</v>
      </c>
      <c r="D224" s="4">
        <v>6985.5</v>
      </c>
      <c r="E224" s="4">
        <v>6975</v>
      </c>
      <c r="F224" s="34">
        <v>8.27</v>
      </c>
      <c r="G224" s="34">
        <v>8.2899999999999991</v>
      </c>
      <c r="H224" s="34">
        <v>7.88</v>
      </c>
      <c r="I224" s="5">
        <v>3051</v>
      </c>
      <c r="J224" s="5">
        <f>df_mep[[#This Row],[volume_BA]]*df_mep[[#This Row],[open_BA]]</f>
        <v>20279997</v>
      </c>
      <c r="K224" s="5">
        <v>0</v>
      </c>
      <c r="L224" s="5">
        <f>df_mep[[#This Row],[volume_D_BA]]*df_mep[[#This Row],[open_D_BA]]</f>
        <v>0</v>
      </c>
      <c r="M224" s="3">
        <v>803.74848851269655</v>
      </c>
      <c r="N224" s="3">
        <f>IFERROR(df_mep[[#This Row],[ask_BA]]/df_mep[[#This Row],[bid_D_BA]],750)</f>
        <v>841.37515078407728</v>
      </c>
      <c r="O224" s="3">
        <f>IFERROR(df_mep[[#This Row],[bid_BA]]/df_mep[[#This Row],[ask_D_BA]],800)</f>
        <v>886.48477157360412</v>
      </c>
      <c r="P224" s="37">
        <f>MIN(1-df_mep[[#This Row],[MEP_compra_ARS]]/MEDIAN(N:N),100%)</f>
        <v>-0.12183353437876976</v>
      </c>
      <c r="Q224" s="38">
        <f>df_mep[[#This Row],[MEP_compra_USD]]/MEDIAN(O:O)-1</f>
        <v>0.10810596446700504</v>
      </c>
      <c r="R224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24" s="38">
        <f>ABS(df_mep[[#This Row],[bid_BA]]-df_mep[[#This Row],[ask_BA]])/AVERAGE(df_mep[[#This Row],[bid_BA]:[ask_BA]])</f>
        <v>1.5042441173310412E-3</v>
      </c>
      <c r="T224" s="36">
        <f>ABS(df_mep[[#This Row],[bid_D_BA]]-df_mep[[#This Row],[ask_D_BA]])/AVERAGE(df_mep[[#This Row],[bid_D_BA]:[ask_D_BA]])</f>
        <v>5.0711193568336338E-2</v>
      </c>
    </row>
    <row r="225" spans="1:20" x14ac:dyDescent="0.25">
      <c r="A225" s="41" t="s">
        <v>164</v>
      </c>
      <c r="B225" s="41" t="s">
        <v>205</v>
      </c>
      <c r="C225" s="4">
        <v>12655.5</v>
      </c>
      <c r="D225" s="4">
        <v>13174.5</v>
      </c>
      <c r="E225" s="4">
        <v>13142.5</v>
      </c>
      <c r="F225" s="34">
        <v>15.5</v>
      </c>
      <c r="G225" s="34">
        <v>15.55</v>
      </c>
      <c r="H225" s="34">
        <v>15.2</v>
      </c>
      <c r="I225" s="5">
        <v>16728</v>
      </c>
      <c r="J225" s="5">
        <f>df_mep[[#This Row],[volume_BA]]*df_mep[[#This Row],[open_BA]]</f>
        <v>211701204</v>
      </c>
      <c r="K225" s="5">
        <v>183</v>
      </c>
      <c r="L225" s="5">
        <f>df_mep[[#This Row],[volume_D_BA]]*df_mep[[#This Row],[open_D_BA]]</f>
        <v>2836.5</v>
      </c>
      <c r="M225" s="3">
        <v>816.48387096774195</v>
      </c>
      <c r="N225" s="3">
        <f>IFERROR(df_mep[[#This Row],[ask_BA]]/df_mep[[#This Row],[bid_D_BA]],750)</f>
        <v>845.17684887459802</v>
      </c>
      <c r="O225" s="3">
        <f>IFERROR(df_mep[[#This Row],[bid_BA]]/df_mep[[#This Row],[ask_D_BA]],800)</f>
        <v>866.74342105263167</v>
      </c>
      <c r="P225" s="37">
        <f>MIN(1-df_mep[[#This Row],[MEP_compra_ARS]]/MEDIAN(N:N),100%)</f>
        <v>-0.1269024651661308</v>
      </c>
      <c r="Q225" s="38">
        <f>df_mep[[#This Row],[MEP_compra_USD]]/MEDIAN(O:O)-1</f>
        <v>8.3429276315789558E-2</v>
      </c>
      <c r="R225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25" s="38">
        <f>ABS(df_mep[[#This Row],[bid_BA]]-df_mep[[#This Row],[ask_BA]])/AVERAGE(df_mep[[#This Row],[bid_BA]:[ask_BA]])</f>
        <v>2.4318881331458755E-3</v>
      </c>
      <c r="T225" s="36">
        <f>ABS(df_mep[[#This Row],[bid_D_BA]]-df_mep[[#This Row],[ask_D_BA]])/AVERAGE(df_mep[[#This Row],[bid_D_BA]:[ask_D_BA]])</f>
        <v>2.2764227642276515E-2</v>
      </c>
    </row>
    <row r="226" spans="1:20" x14ac:dyDescent="0.25">
      <c r="A226" s="41" t="s">
        <v>122</v>
      </c>
      <c r="B226" s="41" t="s">
        <v>213</v>
      </c>
      <c r="C226" s="4">
        <v>1999.5</v>
      </c>
      <c r="D226" s="4">
        <v>2093</v>
      </c>
      <c r="E226" s="4">
        <v>2090</v>
      </c>
      <c r="F226" s="34">
        <v>2.38</v>
      </c>
      <c r="G226" s="34">
        <v>2.4700000000000002</v>
      </c>
      <c r="H226" s="34">
        <v>2.44</v>
      </c>
      <c r="I226" s="5">
        <v>128936</v>
      </c>
      <c r="J226" s="5">
        <f>df_mep[[#This Row],[volume_BA]]*df_mep[[#This Row],[open_BA]]</f>
        <v>257807532</v>
      </c>
      <c r="K226" s="5">
        <v>2058</v>
      </c>
      <c r="L226" s="5">
        <f>df_mep[[#This Row],[volume_D_BA]]*df_mep[[#This Row],[open_D_BA]]</f>
        <v>4898.04</v>
      </c>
      <c r="M226" s="3">
        <v>840.1260504201681</v>
      </c>
      <c r="N226" s="3">
        <f>IFERROR(df_mep[[#This Row],[ask_BA]]/df_mep[[#This Row],[bid_D_BA]],750)</f>
        <v>846.15384615384608</v>
      </c>
      <c r="O226" s="3">
        <f>IFERROR(df_mep[[#This Row],[bid_BA]]/df_mep[[#This Row],[ask_D_BA]],800)</f>
        <v>857.78688524590166</v>
      </c>
      <c r="P226" s="37">
        <f>MIN(1-df_mep[[#This Row],[MEP_compra_ARS]]/MEDIAN(N:N),100%)</f>
        <v>-0.12820512820512819</v>
      </c>
      <c r="Q226" s="38">
        <f>df_mep[[#This Row],[MEP_compra_USD]]/MEDIAN(O:O)-1</f>
        <v>7.2233606557376984E-2</v>
      </c>
      <c r="R226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26" s="38">
        <f>ABS(df_mep[[#This Row],[bid_BA]]-df_mep[[#This Row],[ask_BA]])/AVERAGE(df_mep[[#This Row],[bid_BA]:[ask_BA]])</f>
        <v>1.4343772412144394E-3</v>
      </c>
      <c r="T226" s="36">
        <f>ABS(df_mep[[#This Row],[bid_D_BA]]-df_mep[[#This Row],[ask_D_BA]])/AVERAGE(df_mep[[#This Row],[bid_D_BA]:[ask_D_BA]])</f>
        <v>1.2219959266802544E-2</v>
      </c>
    </row>
    <row r="227" spans="1:20" hidden="1" x14ac:dyDescent="0.25">
      <c r="A227" s="41" t="s">
        <v>160</v>
      </c>
      <c r="B227" s="41" t="s">
        <v>291</v>
      </c>
      <c r="C227" s="4">
        <v>9483</v>
      </c>
      <c r="D227" s="4">
        <v>9875.5</v>
      </c>
      <c r="E227" s="4">
        <v>9853</v>
      </c>
      <c r="F227" s="34">
        <v>11.9</v>
      </c>
      <c r="G227" s="34">
        <v>11.65</v>
      </c>
      <c r="H227" s="34">
        <v>7</v>
      </c>
      <c r="I227" s="5">
        <v>1337</v>
      </c>
      <c r="J227" s="5">
        <f>df_mep[[#This Row],[volume_BA]]*df_mep[[#This Row],[open_BA]]</f>
        <v>12678771</v>
      </c>
      <c r="K227" s="5">
        <v>2</v>
      </c>
      <c r="L227" s="5">
        <f>df_mep[[#This Row],[volume_D_BA]]*df_mep[[#This Row],[open_D_BA]]</f>
        <v>23.8</v>
      </c>
      <c r="M227" s="3">
        <v>796.89075630252103</v>
      </c>
      <c r="N227" s="3">
        <f>IFERROR(df_mep[[#This Row],[ask_BA]]/df_mep[[#This Row],[bid_D_BA]],750)</f>
        <v>845.75107296137332</v>
      </c>
      <c r="O227" s="3">
        <f>IFERROR(df_mep[[#This Row],[bid_BA]]/df_mep[[#This Row],[ask_D_BA]],800)</f>
        <v>1410.7857142857142</v>
      </c>
      <c r="P227" s="37">
        <f>MIN(1-df_mep[[#This Row],[MEP_compra_ARS]]/MEDIAN(N:N),100%)</f>
        <v>-0.12766809728183115</v>
      </c>
      <c r="Q227" s="38">
        <f>df_mep[[#This Row],[MEP_compra_USD]]/MEDIAN(O:O)-1</f>
        <v>0.76348214285714278</v>
      </c>
      <c r="R227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27" s="38">
        <f>ABS(df_mep[[#This Row],[bid_BA]]-df_mep[[#This Row],[ask_BA]])/AVERAGE(df_mep[[#This Row],[bid_BA]:[ask_BA]])</f>
        <v>2.2809640874876446E-3</v>
      </c>
      <c r="T227" s="36">
        <f>ABS(df_mep[[#This Row],[bid_D_BA]]-df_mep[[#This Row],[ask_D_BA]])/AVERAGE(df_mep[[#This Row],[bid_D_BA]:[ask_D_BA]])</f>
        <v>0.49865951742627351</v>
      </c>
    </row>
    <row r="228" spans="1:20" hidden="1" x14ac:dyDescent="0.25">
      <c r="A228" s="41" t="s">
        <v>109</v>
      </c>
      <c r="B228" s="41" t="s">
        <v>190</v>
      </c>
      <c r="C228" s="4">
        <v>9244</v>
      </c>
      <c r="D228" s="4">
        <v>9626</v>
      </c>
      <c r="E228" s="4">
        <v>9600</v>
      </c>
      <c r="F228" s="34">
        <v>11.3</v>
      </c>
      <c r="G228" s="34">
        <v>11.35</v>
      </c>
      <c r="H228" s="34">
        <v>11.1</v>
      </c>
      <c r="I228" s="5">
        <v>1429</v>
      </c>
      <c r="J228" s="5">
        <f>df_mep[[#This Row],[volume_BA]]*df_mep[[#This Row],[open_BA]]</f>
        <v>13209676</v>
      </c>
      <c r="K228" s="5">
        <v>7</v>
      </c>
      <c r="L228" s="5">
        <f>df_mep[[#This Row],[volume_D_BA]]*df_mep[[#This Row],[open_D_BA]]</f>
        <v>79.100000000000009</v>
      </c>
      <c r="M228" s="3">
        <v>818.05309734513264</v>
      </c>
      <c r="N228" s="3">
        <f>IFERROR(df_mep[[#This Row],[ask_BA]]/df_mep[[#This Row],[bid_D_BA]],750)</f>
        <v>845.81497797356826</v>
      </c>
      <c r="O228" s="3">
        <f>IFERROR(df_mep[[#This Row],[bid_BA]]/df_mep[[#This Row],[ask_D_BA]],800)</f>
        <v>867.20720720720726</v>
      </c>
      <c r="P228" s="37">
        <f>MIN(1-df_mep[[#This Row],[MEP_compra_ARS]]/MEDIAN(N:N),100%)</f>
        <v>-0.12775330396475759</v>
      </c>
      <c r="Q228" s="38">
        <f>df_mep[[#This Row],[MEP_compra_USD]]/MEDIAN(O:O)-1</f>
        <v>8.4009009009009095E-2</v>
      </c>
      <c r="R228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28" s="38">
        <f>ABS(df_mep[[#This Row],[bid_BA]]-df_mep[[#This Row],[ask_BA]])/AVERAGE(df_mep[[#This Row],[bid_BA]:[ask_BA]])</f>
        <v>2.7046707583480703E-3</v>
      </c>
      <c r="T228" s="36">
        <f>ABS(df_mep[[#This Row],[bid_D_BA]]-df_mep[[#This Row],[ask_D_BA]])/AVERAGE(df_mep[[#This Row],[bid_D_BA]:[ask_D_BA]])</f>
        <v>2.2271714922048998E-2</v>
      </c>
    </row>
    <row r="229" spans="1:20" x14ac:dyDescent="0.25">
      <c r="A229" s="41" t="s">
        <v>128</v>
      </c>
      <c r="B229" s="41" t="s">
        <v>229</v>
      </c>
      <c r="C229" s="4">
        <v>24800</v>
      </c>
      <c r="D229" s="4">
        <v>25676</v>
      </c>
      <c r="E229" s="4">
        <v>25639.5</v>
      </c>
      <c r="F229" s="34">
        <v>30.1</v>
      </c>
      <c r="G229" s="34">
        <v>30.3</v>
      </c>
      <c r="H229" s="34">
        <v>29.7</v>
      </c>
      <c r="I229" s="5">
        <v>8406</v>
      </c>
      <c r="J229" s="5">
        <f>df_mep[[#This Row],[volume_BA]]*df_mep[[#This Row],[open_BA]]</f>
        <v>208468800</v>
      </c>
      <c r="K229" s="5">
        <v>39</v>
      </c>
      <c r="L229" s="5">
        <f>df_mep[[#This Row],[volume_D_BA]]*df_mep[[#This Row],[open_D_BA]]</f>
        <v>1173.9000000000001</v>
      </c>
      <c r="M229" s="3">
        <v>823.9202657807308</v>
      </c>
      <c r="N229" s="3">
        <f>IFERROR(df_mep[[#This Row],[ask_BA]]/df_mep[[#This Row],[bid_D_BA]],750)</f>
        <v>846.18811881188117</v>
      </c>
      <c r="O229" s="3">
        <f>IFERROR(df_mep[[#This Row],[bid_BA]]/df_mep[[#This Row],[ask_D_BA]],800)</f>
        <v>864.51178451178453</v>
      </c>
      <c r="P229" s="37">
        <f>MIN(1-df_mep[[#This Row],[MEP_compra_ARS]]/MEDIAN(N:N),100%)</f>
        <v>-0.12825082508250829</v>
      </c>
      <c r="Q229" s="38">
        <f>df_mep[[#This Row],[MEP_compra_USD]]/MEDIAN(O:O)-1</f>
        <v>8.0639730639730622E-2</v>
      </c>
      <c r="R229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29" s="38">
        <f>ABS(df_mep[[#This Row],[bid_BA]]-df_mep[[#This Row],[ask_BA]])/AVERAGE(df_mep[[#This Row],[bid_BA]:[ask_BA]])</f>
        <v>1.4225721273299491E-3</v>
      </c>
      <c r="T229" s="36">
        <f>ABS(df_mep[[#This Row],[bid_D_BA]]-df_mep[[#This Row],[ask_D_BA]])/AVERAGE(df_mep[[#This Row],[bid_D_BA]:[ask_D_BA]])</f>
        <v>2.0000000000000049E-2</v>
      </c>
    </row>
    <row r="230" spans="1:20" x14ac:dyDescent="0.25">
      <c r="A230" s="41" t="s">
        <v>112</v>
      </c>
      <c r="B230" s="41" t="s">
        <v>196</v>
      </c>
      <c r="C230" s="4">
        <v>5751</v>
      </c>
      <c r="D230" s="4">
        <v>5943</v>
      </c>
      <c r="E230" s="4">
        <v>5933</v>
      </c>
      <c r="F230" s="34">
        <v>7.24</v>
      </c>
      <c r="G230" s="34">
        <v>7.01</v>
      </c>
      <c r="H230" s="34">
        <v>6.9</v>
      </c>
      <c r="I230" s="5">
        <v>21608</v>
      </c>
      <c r="J230" s="5">
        <f>df_mep[[#This Row],[volume_BA]]*df_mep[[#This Row],[open_BA]]</f>
        <v>124267608</v>
      </c>
      <c r="K230" s="5">
        <v>576</v>
      </c>
      <c r="L230" s="5">
        <f>df_mep[[#This Row],[volume_D_BA]]*df_mep[[#This Row],[open_D_BA]]</f>
        <v>4170.24</v>
      </c>
      <c r="M230" s="3">
        <v>794.33701657458562</v>
      </c>
      <c r="N230" s="3">
        <f>IFERROR(df_mep[[#This Row],[ask_BA]]/df_mep[[#This Row],[bid_D_BA]],750)</f>
        <v>846.36233951497866</v>
      </c>
      <c r="O230" s="3">
        <f>IFERROR(df_mep[[#This Row],[bid_BA]]/df_mep[[#This Row],[ask_D_BA]],800)</f>
        <v>861.30434782608688</v>
      </c>
      <c r="P230" s="37">
        <f>MIN(1-df_mep[[#This Row],[MEP_compra_ARS]]/MEDIAN(N:N),100%)</f>
        <v>-0.12848311935330492</v>
      </c>
      <c r="Q230" s="38">
        <f>df_mep[[#This Row],[MEP_compra_USD]]/MEDIAN(O:O)-1</f>
        <v>7.6630434782608559E-2</v>
      </c>
      <c r="R230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30" s="38">
        <f>ABS(df_mep[[#This Row],[bid_BA]]-df_mep[[#This Row],[ask_BA]])/AVERAGE(df_mep[[#This Row],[bid_BA]:[ask_BA]])</f>
        <v>1.6840687100033681E-3</v>
      </c>
      <c r="T230" s="36">
        <f>ABS(df_mep[[#This Row],[bid_D_BA]]-df_mep[[#This Row],[ask_D_BA]])/AVERAGE(df_mep[[#This Row],[bid_D_BA]:[ask_D_BA]])</f>
        <v>1.5815959741193306E-2</v>
      </c>
    </row>
    <row r="231" spans="1:20" x14ac:dyDescent="0.25">
      <c r="A231" s="41" t="s">
        <v>10</v>
      </c>
      <c r="B231" s="41" t="s">
        <v>175</v>
      </c>
      <c r="C231" s="4">
        <v>8669.5</v>
      </c>
      <c r="D231" s="4">
        <v>9198.5</v>
      </c>
      <c r="E231" s="4">
        <v>9184</v>
      </c>
      <c r="F231" s="34">
        <v>10.35</v>
      </c>
      <c r="G231" s="34">
        <v>10.85</v>
      </c>
      <c r="H231" s="34">
        <v>10.75</v>
      </c>
      <c r="I231" s="5">
        <v>12011</v>
      </c>
      <c r="J231" s="5">
        <f>df_mep[[#This Row],[volume_BA]]*df_mep[[#This Row],[open_BA]]</f>
        <v>104129364.5</v>
      </c>
      <c r="K231" s="5">
        <v>148</v>
      </c>
      <c r="L231" s="5">
        <f>df_mep[[#This Row],[volume_D_BA]]*df_mep[[#This Row],[open_D_BA]]</f>
        <v>1531.8</v>
      </c>
      <c r="M231" s="3">
        <v>837.63285024154595</v>
      </c>
      <c r="N231" s="3">
        <f>IFERROR(df_mep[[#This Row],[ask_BA]]/df_mep[[#This Row],[bid_D_BA]],750)</f>
        <v>846.45161290322585</v>
      </c>
      <c r="O231" s="3">
        <f>IFERROR(df_mep[[#This Row],[bid_BA]]/df_mep[[#This Row],[ask_D_BA]],800)</f>
        <v>855.67441860465112</v>
      </c>
      <c r="P231" s="37">
        <f>MIN(1-df_mep[[#This Row],[MEP_compra_ARS]]/MEDIAN(N:N),100%)</f>
        <v>-0.12860215053763446</v>
      </c>
      <c r="Q231" s="38">
        <f>df_mep[[#This Row],[MEP_compra_USD]]/MEDIAN(O:O)-1</f>
        <v>6.9593023255813957E-2</v>
      </c>
      <c r="R231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31" s="38">
        <f>ABS(df_mep[[#This Row],[bid_BA]]-df_mep[[#This Row],[ask_BA]])/AVERAGE(df_mep[[#This Row],[bid_BA]:[ask_BA]])</f>
        <v>1.5775873793009655E-3</v>
      </c>
      <c r="T231" s="36">
        <f>ABS(df_mep[[#This Row],[bid_D_BA]]-df_mep[[#This Row],[ask_D_BA]])/AVERAGE(df_mep[[#This Row],[bid_D_BA]:[ask_D_BA]])</f>
        <v>9.2592592592592258E-3</v>
      </c>
    </row>
    <row r="232" spans="1:20" x14ac:dyDescent="0.25">
      <c r="A232" s="41" t="s">
        <v>26</v>
      </c>
      <c r="B232" s="41" t="s">
        <v>248</v>
      </c>
      <c r="C232" s="4">
        <v>7000</v>
      </c>
      <c r="D232" s="4">
        <v>7191</v>
      </c>
      <c r="E232" s="4">
        <v>7180</v>
      </c>
      <c r="F232" s="34">
        <v>8.5</v>
      </c>
      <c r="G232" s="34">
        <v>8.48</v>
      </c>
      <c r="H232" s="34">
        <v>8.3000000000000007</v>
      </c>
      <c r="I232" s="5">
        <v>4849</v>
      </c>
      <c r="J232" s="5">
        <f>df_mep[[#This Row],[volume_BA]]*df_mep[[#This Row],[open_BA]]</f>
        <v>33943000</v>
      </c>
      <c r="K232" s="5">
        <v>245</v>
      </c>
      <c r="L232" s="5">
        <f>df_mep[[#This Row],[volume_D_BA]]*df_mep[[#This Row],[open_D_BA]]</f>
        <v>2082.5</v>
      </c>
      <c r="M232" s="3">
        <v>823.52941176470586</v>
      </c>
      <c r="N232" s="3">
        <f>IFERROR(df_mep[[#This Row],[ask_BA]]/df_mep[[#This Row],[bid_D_BA]],750)</f>
        <v>846.69811320754718</v>
      </c>
      <c r="O232" s="3">
        <f>IFERROR(df_mep[[#This Row],[bid_BA]]/df_mep[[#This Row],[ask_D_BA]],800)</f>
        <v>866.38554216867465</v>
      </c>
      <c r="P232" s="37">
        <f>MIN(1-df_mep[[#This Row],[MEP_compra_ARS]]/MEDIAN(N:N),100%)</f>
        <v>-0.12893081761006298</v>
      </c>
      <c r="Q232" s="38">
        <f>df_mep[[#This Row],[MEP_compra_USD]]/MEDIAN(O:O)-1</f>
        <v>8.2981927710843228E-2</v>
      </c>
      <c r="R232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32" s="38">
        <f>ABS(df_mep[[#This Row],[bid_BA]]-df_mep[[#This Row],[ask_BA]])/AVERAGE(df_mep[[#This Row],[bid_BA]:[ask_BA]])</f>
        <v>1.5308607612553057E-3</v>
      </c>
      <c r="T232" s="36">
        <f>ABS(df_mep[[#This Row],[bid_D_BA]]-df_mep[[#This Row],[ask_D_BA]])/AVERAGE(df_mep[[#This Row],[bid_D_BA]:[ask_D_BA]])</f>
        <v>2.145411203814061E-2</v>
      </c>
    </row>
    <row r="233" spans="1:20" x14ac:dyDescent="0.25">
      <c r="A233" s="41" t="s">
        <v>11</v>
      </c>
      <c r="B233" s="41" t="s">
        <v>176</v>
      </c>
      <c r="C233" s="4">
        <v>760</v>
      </c>
      <c r="D233" s="4">
        <v>786</v>
      </c>
      <c r="E233" s="4">
        <v>788</v>
      </c>
      <c r="F233" s="34">
        <v>0.91800000000000004</v>
      </c>
      <c r="G233" s="34">
        <v>0.93</v>
      </c>
      <c r="H233" s="34">
        <v>0.92500000000000004</v>
      </c>
      <c r="I233" s="5">
        <v>404276</v>
      </c>
      <c r="J233" s="5">
        <f>df_mep[[#This Row],[volume_BA]]*df_mep[[#This Row],[open_BA]]</f>
        <v>307249760</v>
      </c>
      <c r="K233" s="5">
        <v>10419</v>
      </c>
      <c r="L233" s="5">
        <f>df_mep[[#This Row],[volume_D_BA]]*df_mep[[#This Row],[open_D_BA]]</f>
        <v>9564.6419999999998</v>
      </c>
      <c r="M233" s="3">
        <v>827.88671023965139</v>
      </c>
      <c r="N233" s="3">
        <f>IFERROR(df_mep[[#This Row],[ask_BA]]/df_mep[[#This Row],[bid_D_BA]],750)</f>
        <v>847.31182795698919</v>
      </c>
      <c r="O233" s="3">
        <f>IFERROR(df_mep[[#This Row],[bid_BA]]/df_mep[[#This Row],[ask_D_BA]],800)</f>
        <v>849.72972972972968</v>
      </c>
      <c r="P233" s="37">
        <f>MIN(1-df_mep[[#This Row],[MEP_compra_ARS]]/MEDIAN(N:N),100%)</f>
        <v>-0.12974910394265216</v>
      </c>
      <c r="Q233" s="38">
        <f>df_mep[[#This Row],[MEP_compra_USD]]/MEDIAN(O:O)-1</f>
        <v>6.2162162162162193E-2</v>
      </c>
      <c r="R233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33" s="38">
        <f>ABS(df_mep[[#This Row],[bid_BA]]-df_mep[[#This Row],[ask_BA]])/AVERAGE(df_mep[[#This Row],[bid_BA]:[ask_BA]])</f>
        <v>2.5412960609911056E-3</v>
      </c>
      <c r="T233" s="36">
        <f>ABS(df_mep[[#This Row],[bid_D_BA]]-df_mep[[#This Row],[ask_D_BA]])/AVERAGE(df_mep[[#This Row],[bid_D_BA]:[ask_D_BA]])</f>
        <v>5.3908355795148294E-3</v>
      </c>
    </row>
    <row r="234" spans="1:20" hidden="1" x14ac:dyDescent="0.25">
      <c r="A234" s="41" t="s">
        <v>244</v>
      </c>
      <c r="B234" s="41" t="s">
        <v>245</v>
      </c>
      <c r="C234" s="4">
        <v>11680</v>
      </c>
      <c r="D234" s="4">
        <v>12247</v>
      </c>
      <c r="E234" s="4">
        <v>12159</v>
      </c>
      <c r="F234" s="34">
        <v>14.35</v>
      </c>
      <c r="G234" s="34">
        <v>14.35</v>
      </c>
      <c r="H234" s="34">
        <v>14.15</v>
      </c>
      <c r="I234" s="5">
        <v>522</v>
      </c>
      <c r="J234" s="5">
        <f>df_mep[[#This Row],[volume_BA]]*df_mep[[#This Row],[open_BA]]</f>
        <v>6096960</v>
      </c>
      <c r="K234" s="5">
        <v>10</v>
      </c>
      <c r="L234" s="5">
        <f>df_mep[[#This Row],[volume_D_BA]]*df_mep[[#This Row],[open_D_BA]]</f>
        <v>143.5</v>
      </c>
      <c r="M234" s="3">
        <v>813.93728222996515</v>
      </c>
      <c r="N234" s="3">
        <f>IFERROR(df_mep[[#This Row],[ask_BA]]/df_mep[[#This Row],[bid_D_BA]],750)</f>
        <v>847.31707317073176</v>
      </c>
      <c r="O234" s="3">
        <f>IFERROR(df_mep[[#This Row],[bid_BA]]/df_mep[[#This Row],[ask_D_BA]],800)</f>
        <v>865.51236749116606</v>
      </c>
      <c r="P234" s="37">
        <f>MIN(1-df_mep[[#This Row],[MEP_compra_ARS]]/MEDIAN(N:N),100%)</f>
        <v>-0.12975609756097573</v>
      </c>
      <c r="Q234" s="38">
        <f>df_mep[[#This Row],[MEP_compra_USD]]/MEDIAN(O:O)-1</f>
        <v>8.1890459363957557E-2</v>
      </c>
      <c r="R234" s="39">
        <f>IF(AND(
df_mep[[#This Row],[volume_money_BA]]&gt;80000,
df_mep[[#This Row],[volume_money_D_BA]]&gt;1000,
ABS(df_mep[[#This Row],[conviene entrar ARS]])&lt;0.5,
ABS(df_mep[[#This Row],[conviene entrar USD]])&lt;0.5
),1,0)</f>
        <v>0</v>
      </c>
      <c r="S234" s="38">
        <f>ABS(df_mep[[#This Row],[bid_BA]]-df_mep[[#This Row],[ask_BA]])/AVERAGE(df_mep[[#This Row],[bid_BA]:[ask_BA]])</f>
        <v>7.2113414734081786E-3</v>
      </c>
      <c r="T234" s="36">
        <f>ABS(df_mep[[#This Row],[bid_D_BA]]-df_mep[[#This Row],[ask_D_BA]])/AVERAGE(df_mep[[#This Row],[bid_D_BA]:[ask_D_BA]])</f>
        <v>1.4035087719298196E-2</v>
      </c>
    </row>
    <row r="235" spans="1:20" x14ac:dyDescent="0.25">
      <c r="A235" s="41" t="s">
        <v>69</v>
      </c>
      <c r="B235" s="41" t="s">
        <v>88</v>
      </c>
      <c r="C235" s="4">
        <v>8989</v>
      </c>
      <c r="D235" s="4">
        <v>9289</v>
      </c>
      <c r="E235" s="4">
        <v>9280</v>
      </c>
      <c r="F235" s="34">
        <v>11.3</v>
      </c>
      <c r="G235" s="34">
        <v>10.95</v>
      </c>
      <c r="H235" s="34">
        <v>10.8</v>
      </c>
      <c r="I235" s="5">
        <v>4035</v>
      </c>
      <c r="J235" s="5">
        <f>df_mep[[#This Row],[volume_BA]]*df_mep[[#This Row],[open_BA]]</f>
        <v>36270615</v>
      </c>
      <c r="K235" s="5">
        <v>101</v>
      </c>
      <c r="L235" s="5">
        <f>df_mep[[#This Row],[volume_D_BA]]*df_mep[[#This Row],[open_D_BA]]</f>
        <v>1141.3000000000002</v>
      </c>
      <c r="M235" s="3">
        <v>795.48672566371681</v>
      </c>
      <c r="N235" s="3">
        <f>IFERROR(df_mep[[#This Row],[ask_BA]]/df_mep[[#This Row],[bid_D_BA]],750)</f>
        <v>847.4885844748859</v>
      </c>
      <c r="O235" s="3">
        <f>IFERROR(df_mep[[#This Row],[bid_BA]]/df_mep[[#This Row],[ask_D_BA]],800)</f>
        <v>860.0925925925925</v>
      </c>
      <c r="P235" s="37">
        <f>MIN(1-df_mep[[#This Row],[MEP_compra_ARS]]/MEDIAN(N:N),100%)</f>
        <v>-0.12998477929984786</v>
      </c>
      <c r="Q235" s="38">
        <f>df_mep[[#This Row],[MEP_compra_USD]]/MEDIAN(O:O)-1</f>
        <v>7.5115740740740566E-2</v>
      </c>
      <c r="R235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35" s="38">
        <f>ABS(df_mep[[#This Row],[bid_BA]]-df_mep[[#This Row],[ask_BA]])/AVERAGE(df_mep[[#This Row],[bid_BA]:[ask_BA]])</f>
        <v>9.6935753136948683E-4</v>
      </c>
      <c r="T235" s="36">
        <f>ABS(df_mep[[#This Row],[bid_D_BA]]-df_mep[[#This Row],[ask_D_BA]])/AVERAGE(df_mep[[#This Row],[bid_D_BA]:[ask_D_BA]])</f>
        <v>1.3793103448275732E-2</v>
      </c>
    </row>
    <row r="236" spans="1:20" x14ac:dyDescent="0.25">
      <c r="A236" s="41" t="s">
        <v>77</v>
      </c>
      <c r="B236" s="41" t="s">
        <v>261</v>
      </c>
      <c r="C236" s="4">
        <v>15532.5</v>
      </c>
      <c r="D236" s="4">
        <v>16117.5</v>
      </c>
      <c r="E236" s="4">
        <v>16105</v>
      </c>
      <c r="F236" s="34">
        <v>19.55</v>
      </c>
      <c r="G236" s="34">
        <v>19</v>
      </c>
      <c r="H236" s="34">
        <v>18.8</v>
      </c>
      <c r="I236" s="5">
        <v>39664</v>
      </c>
      <c r="J236" s="5">
        <f>df_mep[[#This Row],[volume_BA]]*df_mep[[#This Row],[open_BA]]</f>
        <v>616081080</v>
      </c>
      <c r="K236" s="5">
        <v>653</v>
      </c>
      <c r="L236" s="5">
        <f>df_mep[[#This Row],[volume_D_BA]]*df_mep[[#This Row],[open_D_BA]]</f>
        <v>12766.15</v>
      </c>
      <c r="M236" s="3">
        <v>794.50127877237844</v>
      </c>
      <c r="N236" s="3">
        <f>IFERROR(df_mep[[#This Row],[ask_BA]]/df_mep[[#This Row],[bid_D_BA]],750)</f>
        <v>847.63157894736844</v>
      </c>
      <c r="O236" s="3">
        <f>IFERROR(df_mep[[#This Row],[bid_BA]]/df_mep[[#This Row],[ask_D_BA]],800)</f>
        <v>857.313829787234</v>
      </c>
      <c r="P236" s="37">
        <f>MIN(1-df_mep[[#This Row],[MEP_compra_ARS]]/MEDIAN(N:N),100%)</f>
        <v>-0.13017543859649128</v>
      </c>
      <c r="Q236" s="38">
        <f>df_mep[[#This Row],[MEP_compra_USD]]/MEDIAN(O:O)-1</f>
        <v>7.1642287234042534E-2</v>
      </c>
      <c r="R236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36" s="38">
        <f>ABS(df_mep[[#This Row],[bid_BA]]-df_mep[[#This Row],[ask_BA]])/AVERAGE(df_mep[[#This Row],[bid_BA]:[ask_BA]])</f>
        <v>7.7585538055706415E-4</v>
      </c>
      <c r="T236" s="36">
        <f>ABS(df_mep[[#This Row],[bid_D_BA]]-df_mep[[#This Row],[ask_D_BA]])/AVERAGE(df_mep[[#This Row],[bid_D_BA]:[ask_D_BA]])</f>
        <v>1.0582010582010545E-2</v>
      </c>
    </row>
    <row r="237" spans="1:20" x14ac:dyDescent="0.25">
      <c r="A237" s="41" t="s">
        <v>13</v>
      </c>
      <c r="B237" s="41" t="s">
        <v>230</v>
      </c>
      <c r="C237" s="4">
        <v>9700</v>
      </c>
      <c r="D237" s="4">
        <v>9839.5</v>
      </c>
      <c r="E237" s="4">
        <v>9812</v>
      </c>
      <c r="F237" s="34">
        <v>11.9</v>
      </c>
      <c r="G237" s="34">
        <v>11.55</v>
      </c>
      <c r="H237" s="34">
        <v>11.45</v>
      </c>
      <c r="I237" s="5">
        <v>415833</v>
      </c>
      <c r="J237" s="5">
        <f>df_mep[[#This Row],[volume_BA]]*df_mep[[#This Row],[open_BA]]</f>
        <v>4033580100</v>
      </c>
      <c r="K237" s="5">
        <v>7804</v>
      </c>
      <c r="L237" s="5">
        <f>df_mep[[#This Row],[volume_D_BA]]*df_mep[[#This Row],[open_D_BA]]</f>
        <v>92867.6</v>
      </c>
      <c r="M237" s="3">
        <v>815.1260504201681</v>
      </c>
      <c r="N237" s="3">
        <f>IFERROR(df_mep[[#This Row],[ask_BA]]/df_mep[[#This Row],[bid_D_BA]],750)</f>
        <v>849.52380952380952</v>
      </c>
      <c r="O237" s="3">
        <f>IFERROR(df_mep[[#This Row],[bid_BA]]/df_mep[[#This Row],[ask_D_BA]],800)</f>
        <v>859.34497816593887</v>
      </c>
      <c r="P237" s="37">
        <f>MIN(1-df_mep[[#This Row],[MEP_compra_ARS]]/MEDIAN(N:N),100%)</f>
        <v>-0.13269841269841276</v>
      </c>
      <c r="Q237" s="38">
        <f>df_mep[[#This Row],[MEP_compra_USD]]/MEDIAN(O:O)-1</f>
        <v>7.4181222707423666E-2</v>
      </c>
      <c r="R237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37" s="38">
        <f>ABS(df_mep[[#This Row],[bid_BA]]-df_mep[[#This Row],[ask_BA]])/AVERAGE(df_mep[[#This Row],[bid_BA]:[ask_BA]])</f>
        <v>2.7987685418415899E-3</v>
      </c>
      <c r="T237" s="36">
        <f>ABS(df_mep[[#This Row],[bid_D_BA]]-df_mep[[#This Row],[ask_D_BA]])/AVERAGE(df_mep[[#This Row],[bid_D_BA]:[ask_D_BA]])</f>
        <v>8.6956521739131667E-3</v>
      </c>
    </row>
    <row r="238" spans="1:20" x14ac:dyDescent="0.25">
      <c r="A238" s="41" t="s">
        <v>17</v>
      </c>
      <c r="B238" s="41" t="s">
        <v>259</v>
      </c>
      <c r="C238" s="4">
        <v>6293</v>
      </c>
      <c r="D238" s="4">
        <v>6525.5</v>
      </c>
      <c r="E238" s="4">
        <v>6510</v>
      </c>
      <c r="F238" s="34">
        <v>7.6</v>
      </c>
      <c r="G238" s="34">
        <v>7.66</v>
      </c>
      <c r="H238" s="34">
        <v>7.65</v>
      </c>
      <c r="I238" s="5">
        <v>12838</v>
      </c>
      <c r="J238" s="5">
        <f>df_mep[[#This Row],[volume_BA]]*df_mep[[#This Row],[open_BA]]</f>
        <v>80789534</v>
      </c>
      <c r="K238" s="5">
        <v>941</v>
      </c>
      <c r="L238" s="5">
        <f>df_mep[[#This Row],[volume_D_BA]]*df_mep[[#This Row],[open_D_BA]]</f>
        <v>7151.5999999999995</v>
      </c>
      <c r="M238" s="3">
        <v>828.02631578947376</v>
      </c>
      <c r="N238" s="3">
        <f>IFERROR(df_mep[[#This Row],[ask_BA]]/df_mep[[#This Row],[bid_D_BA]],750)</f>
        <v>849.86945169712794</v>
      </c>
      <c r="O238" s="3">
        <f>IFERROR(df_mep[[#This Row],[bid_BA]]/df_mep[[#This Row],[ask_D_BA]],800)</f>
        <v>853.00653594771234</v>
      </c>
      <c r="P238" s="37">
        <f>MIN(1-df_mep[[#This Row],[MEP_compra_ARS]]/MEDIAN(N:N),100%)</f>
        <v>-0.13315926892950403</v>
      </c>
      <c r="Q238" s="38">
        <f>df_mep[[#This Row],[MEP_compra_USD]]/MEDIAN(O:O)-1</f>
        <v>6.625816993464051E-2</v>
      </c>
      <c r="R238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38" s="38">
        <f>ABS(df_mep[[#This Row],[bid_BA]]-df_mep[[#This Row],[ask_BA]])/AVERAGE(df_mep[[#This Row],[bid_BA]:[ask_BA]])</f>
        <v>2.3781212841854932E-3</v>
      </c>
      <c r="T238" s="36">
        <f>ABS(df_mep[[#This Row],[bid_D_BA]]-df_mep[[#This Row],[ask_D_BA]])/AVERAGE(df_mep[[#This Row],[bid_D_BA]:[ask_D_BA]])</f>
        <v>1.3063357282821406E-3</v>
      </c>
    </row>
    <row r="239" spans="1:20" x14ac:dyDescent="0.25">
      <c r="A239" s="41" t="s">
        <v>9</v>
      </c>
      <c r="B239" s="41" t="s">
        <v>171</v>
      </c>
      <c r="C239" s="4">
        <v>15000</v>
      </c>
      <c r="D239" s="4">
        <v>15557</v>
      </c>
      <c r="E239" s="4">
        <v>15534.5</v>
      </c>
      <c r="F239" s="34">
        <v>18.649999999999999</v>
      </c>
      <c r="G239" s="34">
        <v>18.25</v>
      </c>
      <c r="H239" s="34">
        <v>18.2</v>
      </c>
      <c r="I239" s="5">
        <v>66668</v>
      </c>
      <c r="J239" s="5">
        <f>df_mep[[#This Row],[volume_BA]]*df_mep[[#This Row],[open_BA]]</f>
        <v>1000020000</v>
      </c>
      <c r="K239" s="5">
        <v>2816</v>
      </c>
      <c r="L239" s="5">
        <f>df_mep[[#This Row],[volume_D_BA]]*df_mep[[#This Row],[open_D_BA]]</f>
        <v>52518.399999999994</v>
      </c>
      <c r="M239" s="3">
        <v>804.28954423592495</v>
      </c>
      <c r="N239" s="3">
        <f>IFERROR(df_mep[[#This Row],[ask_BA]]/df_mep[[#This Row],[bid_D_BA]],750)</f>
        <v>851.20547945205476</v>
      </c>
      <c r="O239" s="3">
        <f>IFERROR(df_mep[[#This Row],[bid_BA]]/df_mep[[#This Row],[ask_D_BA]],800)</f>
        <v>854.7802197802198</v>
      </c>
      <c r="P239" s="37">
        <f>MIN(1-df_mep[[#This Row],[MEP_compra_ARS]]/MEDIAN(N:N),100%)</f>
        <v>-0.13494063926940636</v>
      </c>
      <c r="Q239" s="38">
        <f>df_mep[[#This Row],[MEP_compra_USD]]/MEDIAN(O:O)-1</f>
        <v>6.8475274725274815E-2</v>
      </c>
      <c r="R239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39" s="38">
        <f>ABS(df_mep[[#This Row],[bid_BA]]-df_mep[[#This Row],[ask_BA]])/AVERAGE(df_mep[[#This Row],[bid_BA]:[ask_BA]])</f>
        <v>1.4473409131113004E-3</v>
      </c>
      <c r="T239" s="36">
        <f>ABS(df_mep[[#This Row],[bid_D_BA]]-df_mep[[#This Row],[ask_D_BA]])/AVERAGE(df_mep[[#This Row],[bid_D_BA]:[ask_D_BA]])</f>
        <v>2.7434842249657453E-3</v>
      </c>
    </row>
    <row r="240" spans="1:20" x14ac:dyDescent="0.25">
      <c r="A240" s="41" t="s">
        <v>71</v>
      </c>
      <c r="B240" s="41" t="s">
        <v>258</v>
      </c>
      <c r="C240" s="4">
        <v>25999.5</v>
      </c>
      <c r="D240" s="4">
        <v>26241</v>
      </c>
      <c r="E240" s="4">
        <v>26200</v>
      </c>
      <c r="F240" s="34">
        <v>31.45</v>
      </c>
      <c r="G240" s="34">
        <v>30.55</v>
      </c>
      <c r="H240" s="34">
        <v>29.25</v>
      </c>
      <c r="I240" s="5">
        <v>5278</v>
      </c>
      <c r="J240" s="5">
        <f>df_mep[[#This Row],[volume_BA]]*df_mep[[#This Row],[open_BA]]</f>
        <v>137225361</v>
      </c>
      <c r="K240" s="5">
        <v>551</v>
      </c>
      <c r="L240" s="5">
        <f>df_mep[[#This Row],[volume_D_BA]]*df_mep[[#This Row],[open_D_BA]]</f>
        <v>17328.95</v>
      </c>
      <c r="M240" s="3">
        <v>826.6931637519873</v>
      </c>
      <c r="N240" s="3">
        <f>IFERROR(df_mep[[#This Row],[ask_BA]]/df_mep[[#This Row],[bid_D_BA]],750)</f>
        <v>857.61047463175123</v>
      </c>
      <c r="O240" s="3">
        <f>IFERROR(df_mep[[#This Row],[bid_BA]]/df_mep[[#This Row],[ask_D_BA]],800)</f>
        <v>897.12820512820508</v>
      </c>
      <c r="P240" s="37">
        <f>MIN(1-df_mep[[#This Row],[MEP_compra_ARS]]/MEDIAN(N:N),100%)</f>
        <v>-0.14348063284233503</v>
      </c>
      <c r="Q240" s="38">
        <f>df_mep[[#This Row],[MEP_compra_USD]]/MEDIAN(O:O)-1</f>
        <v>0.12141025641025638</v>
      </c>
      <c r="R240" s="39">
        <f>IF(AND(
df_mep[[#This Row],[volume_money_BA]]&gt;80000,
df_mep[[#This Row],[volume_money_D_BA]]&gt;1000,
ABS(df_mep[[#This Row],[conviene entrar ARS]])&lt;0.5,
ABS(df_mep[[#This Row],[conviene entrar USD]])&lt;0.5
),1,0)</f>
        <v>1</v>
      </c>
      <c r="S240" s="38">
        <f>ABS(df_mep[[#This Row],[bid_BA]]-df_mep[[#This Row],[ask_BA]])/AVERAGE(df_mep[[#This Row],[bid_BA]:[ask_BA]])</f>
        <v>1.5636620201750539E-3</v>
      </c>
      <c r="T240" s="36">
        <f>ABS(df_mep[[#This Row],[bid_D_BA]]-df_mep[[#This Row],[ask_D_BA]])/AVERAGE(df_mep[[#This Row],[bid_D_BA]:[ask_D_BA]])</f>
        <v>4.3478260869565244E-2</v>
      </c>
    </row>
  </sheetData>
  <phoneticPr fontId="3" type="noConversion"/>
  <conditionalFormatting sqref="Q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40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4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6EB3-88EE-48BA-A650-9A2638C5F817}">
  <dimension ref="A1:AU58"/>
  <sheetViews>
    <sheetView zoomScale="85" zoomScaleNormal="85" workbookViewId="0">
      <selection activeCell="C7" sqref="C7:E7"/>
    </sheetView>
  </sheetViews>
  <sheetFormatPr defaultRowHeight="15" x14ac:dyDescent="0.25"/>
  <cols>
    <col min="2" max="2" width="12.85546875" bestFit="1" customWidth="1"/>
    <col min="3" max="3" width="14.7109375" bestFit="1" customWidth="1"/>
    <col min="4" max="4" width="12.85546875" bestFit="1" customWidth="1"/>
    <col min="5" max="5" width="13.7109375" customWidth="1"/>
    <col min="6" max="6" width="13.42578125" bestFit="1" customWidth="1"/>
    <col min="7" max="7" width="14" bestFit="1" customWidth="1"/>
    <col min="8" max="8" width="12.42578125" style="13" bestFit="1" customWidth="1"/>
    <col min="9" max="9" width="10.85546875" bestFit="1" customWidth="1"/>
    <col min="10" max="10" width="10.85546875" customWidth="1"/>
    <col min="11" max="11" width="14.7109375" bestFit="1" customWidth="1"/>
    <col min="12" max="12" width="13" bestFit="1" customWidth="1"/>
    <col min="14" max="14" width="12.140625" bestFit="1" customWidth="1"/>
    <col min="15" max="15" width="11.140625" bestFit="1" customWidth="1"/>
    <col min="16" max="16" width="23.28515625" bestFit="1" customWidth="1"/>
    <col min="17" max="17" width="15.5703125" customWidth="1"/>
    <col min="18" max="18" width="9.85546875" bestFit="1" customWidth="1"/>
    <col min="19" max="19" width="15.85546875" customWidth="1"/>
    <col min="21" max="21" width="14.28515625" customWidth="1"/>
    <col min="26" max="26" width="23.28515625" bestFit="1" customWidth="1"/>
    <col min="27" max="27" width="11.5703125" bestFit="1" customWidth="1"/>
    <col min="28" max="28" width="9.85546875" bestFit="1" customWidth="1"/>
    <col min="29" max="29" width="10.7109375" bestFit="1" customWidth="1"/>
    <col min="30" max="30" width="9.85546875" bestFit="1" customWidth="1"/>
    <col min="31" max="31" width="12.42578125" bestFit="1" customWidth="1"/>
    <col min="32" max="32" width="9.85546875" bestFit="1" customWidth="1"/>
    <col min="33" max="33" width="12.42578125" bestFit="1" customWidth="1"/>
    <col min="34" max="35" width="12.42578125" customWidth="1"/>
    <col min="40" max="40" width="23.28515625" bestFit="1" customWidth="1"/>
    <col min="41" max="41" width="23.85546875" bestFit="1" customWidth="1"/>
    <col min="42" max="42" width="9.85546875" bestFit="1" customWidth="1"/>
    <col min="43" max="43" width="10.7109375" bestFit="1" customWidth="1"/>
    <col min="44" max="44" width="9.85546875" bestFit="1" customWidth="1"/>
    <col min="45" max="45" width="12.42578125" bestFit="1" customWidth="1"/>
    <col min="47" max="47" width="12.42578125" bestFit="1" customWidth="1"/>
  </cols>
  <sheetData>
    <row r="1" spans="1:47" x14ac:dyDescent="0.25">
      <c r="A1" t="s">
        <v>64</v>
      </c>
    </row>
    <row r="3" spans="1:47" x14ac:dyDescent="0.25">
      <c r="C3" s="17" t="s">
        <v>54</v>
      </c>
      <c r="D3" s="2">
        <f>D4*E25</f>
        <v>416289.26633944717</v>
      </c>
      <c r="F3" s="8"/>
      <c r="G3" s="8"/>
      <c r="L3" s="1" t="s">
        <v>40</v>
      </c>
      <c r="M3" s="1" t="s">
        <v>41</v>
      </c>
      <c r="Z3" s="17" t="s">
        <v>55</v>
      </c>
      <c r="AA3" s="7">
        <v>1000</v>
      </c>
      <c r="AN3" s="17" t="s">
        <v>55</v>
      </c>
      <c r="AO3" s="7">
        <v>1000</v>
      </c>
    </row>
    <row r="4" spans="1:47" x14ac:dyDescent="0.25">
      <c r="C4" s="17" t="s">
        <v>55</v>
      </c>
      <c r="D4" s="7">
        <v>500</v>
      </c>
      <c r="F4" s="8"/>
      <c r="G4" s="8"/>
      <c r="K4" s="1" t="s">
        <v>39</v>
      </c>
      <c r="L4" s="30">
        <v>1.4</v>
      </c>
      <c r="M4" s="15">
        <f>($L$4+1)^(1/365)-1</f>
        <v>2.4014232949169934E-3</v>
      </c>
    </row>
    <row r="5" spans="1:47" x14ac:dyDescent="0.25">
      <c r="C5" s="17" t="s">
        <v>49</v>
      </c>
      <c r="D5" s="31">
        <v>2.5000000000000001E-3</v>
      </c>
      <c r="H5"/>
      <c r="AN5" s="10" t="s">
        <v>9</v>
      </c>
      <c r="AO5" s="2">
        <f>AO26/AO25</f>
        <v>909.81012658227849</v>
      </c>
    </row>
    <row r="6" spans="1:47" x14ac:dyDescent="0.25">
      <c r="C6" s="17" t="str">
        <f>INDEX(df_mep!A:A,MATCH(D6,df_mep!O:O,0),1)</f>
        <v>VALE</v>
      </c>
      <c r="D6" s="9">
        <f>_xlfn.MAXIFS(df_mep[MEP_compra_USD],df_mep[can_use],"&gt;0")</f>
        <v>909.81012658227849</v>
      </c>
      <c r="E6" t="str">
        <f>VLOOKUP(C6,df_mep!A:B,2,0)</f>
        <v>Vale</v>
      </c>
      <c r="H6"/>
      <c r="AN6" s="10" t="s">
        <v>59</v>
      </c>
      <c r="AO6" s="2">
        <f>AO27/AO28</f>
        <v>697.05979517674268</v>
      </c>
    </row>
    <row r="7" spans="1:47" x14ac:dyDescent="0.25">
      <c r="C7" s="17" t="str">
        <f>INDEX(df_mep!A:A,MATCH(D7,df_mep!N:N,0),1)</f>
        <v>MO</v>
      </c>
      <c r="D7" s="9">
        <f>_xlfn.MINIFS(df_mep[MEP_compra_ARS],df_mep[can_use],"&gt;0")</f>
        <v>755.34693877551024</v>
      </c>
      <c r="E7" t="str">
        <f>VLOOKUP(C7,df_mep!A:B,2,0)</f>
        <v>Altria Group</v>
      </c>
      <c r="H7"/>
      <c r="AN7" t="s">
        <v>61</v>
      </c>
      <c r="AO7" s="14">
        <f>AO5/AO6*(1-$D$5)-1</f>
        <v>0.30194799290599317</v>
      </c>
    </row>
    <row r="8" spans="1:47" x14ac:dyDescent="0.25">
      <c r="D8" s="14"/>
    </row>
    <row r="12" spans="1:47" x14ac:dyDescent="0.25">
      <c r="H12"/>
      <c r="Z12" s="27" t="s">
        <v>51</v>
      </c>
      <c r="AA12" s="27"/>
      <c r="AB12" s="27"/>
      <c r="AC12" s="27"/>
      <c r="AD12" s="27"/>
      <c r="AE12" s="27"/>
      <c r="AF12" s="27"/>
      <c r="AG12" s="27"/>
      <c r="AH12" s="27"/>
      <c r="AI12" s="27"/>
      <c r="AN12" s="27" t="s">
        <v>51</v>
      </c>
      <c r="AO12" s="27"/>
      <c r="AP12" s="27"/>
      <c r="AQ12" s="27"/>
      <c r="AR12" s="27"/>
      <c r="AS12" s="27"/>
      <c r="AT12" s="27"/>
      <c r="AU12" s="27"/>
    </row>
    <row r="13" spans="1:47" x14ac:dyDescent="0.25">
      <c r="D13" s="27" t="s">
        <v>51</v>
      </c>
      <c r="E13" s="27"/>
      <c r="F13" s="27"/>
      <c r="G13" s="27"/>
      <c r="H13" s="27"/>
      <c r="I13" s="27"/>
    </row>
    <row r="14" spans="1:47" x14ac:dyDescent="0.25">
      <c r="H14"/>
      <c r="Z14" s="18" t="s">
        <v>37</v>
      </c>
      <c r="AA14" s="18">
        <v>0</v>
      </c>
      <c r="AB14" s="18">
        <f t="shared" ref="AB14:AG14" si="0">AA14+1</f>
        <v>1</v>
      </c>
      <c r="AC14" s="18">
        <f t="shared" si="0"/>
        <v>2</v>
      </c>
      <c r="AD14" s="18">
        <f t="shared" si="0"/>
        <v>3</v>
      </c>
      <c r="AE14" s="18">
        <f t="shared" si="0"/>
        <v>4</v>
      </c>
      <c r="AF14" s="18">
        <f t="shared" si="0"/>
        <v>5</v>
      </c>
      <c r="AG14" s="18">
        <f t="shared" si="0"/>
        <v>6</v>
      </c>
      <c r="AH14" s="18"/>
      <c r="AI14" s="18"/>
      <c r="AN14" s="18" t="s">
        <v>37</v>
      </c>
      <c r="AO14" s="18">
        <v>0</v>
      </c>
      <c r="AP14" s="18">
        <f t="shared" ref="AP14:AU14" si="1">AO14+1</f>
        <v>1</v>
      </c>
      <c r="AQ14" s="18">
        <f t="shared" si="1"/>
        <v>2</v>
      </c>
      <c r="AR14" s="18">
        <f t="shared" si="1"/>
        <v>3</v>
      </c>
      <c r="AS14" s="18">
        <f t="shared" si="1"/>
        <v>4</v>
      </c>
      <c r="AT14" s="18">
        <f t="shared" si="1"/>
        <v>5</v>
      </c>
      <c r="AU14" s="18">
        <f t="shared" si="1"/>
        <v>6</v>
      </c>
    </row>
    <row r="15" spans="1:47" x14ac:dyDescent="0.25">
      <c r="D15" s="18" t="s">
        <v>37</v>
      </c>
      <c r="E15" s="18">
        <v>0</v>
      </c>
      <c r="F15" s="18">
        <f>E15+1</f>
        <v>1</v>
      </c>
      <c r="G15" s="18">
        <f>F15+1</f>
        <v>2</v>
      </c>
      <c r="H15" s="18">
        <f>G15+1</f>
        <v>3</v>
      </c>
      <c r="I15" s="18">
        <f>H15+1</f>
        <v>4</v>
      </c>
      <c r="Z15" s="10" t="str">
        <f>_xlfn.CONCAT($C$6,"D")</f>
        <v>VALED</v>
      </c>
      <c r="AA15" s="19" t="s">
        <v>38</v>
      </c>
      <c r="AB15" s="8"/>
      <c r="AC15" s="19" t="s">
        <v>46</v>
      </c>
      <c r="AD15" s="8"/>
      <c r="AE15" s="8"/>
      <c r="AN15" s="10" t="str">
        <f>_xlfn.CONCAT($C$6,"D")</f>
        <v>VALED</v>
      </c>
      <c r="AO15" s="19" t="s">
        <v>38</v>
      </c>
      <c r="AP15" s="8"/>
      <c r="AQ15" s="19" t="s">
        <v>46</v>
      </c>
      <c r="AR15" s="8"/>
      <c r="AS15" s="8"/>
    </row>
    <row r="16" spans="1:47" x14ac:dyDescent="0.25">
      <c r="D16" s="10" t="str">
        <f>_xlfn.CONCAT($C$6,"D")</f>
        <v>VALED</v>
      </c>
      <c r="E16" s="19" t="s">
        <v>38</v>
      </c>
      <c r="F16" s="8"/>
      <c r="G16" s="19" t="s">
        <v>46</v>
      </c>
      <c r="H16" s="8"/>
      <c r="I16" s="8"/>
      <c r="Z16" s="10" t="str">
        <f>$C$6</f>
        <v>VALE</v>
      </c>
      <c r="AC16" s="19" t="s">
        <v>45</v>
      </c>
      <c r="AD16" s="8"/>
      <c r="AE16" s="19" t="s">
        <v>47</v>
      </c>
      <c r="AN16" s="10" t="str">
        <f>$C$6</f>
        <v>VALE</v>
      </c>
      <c r="AQ16" s="19" t="s">
        <v>45</v>
      </c>
      <c r="AR16" s="8"/>
      <c r="AS16" s="19" t="s">
        <v>47</v>
      </c>
    </row>
    <row r="17" spans="3:47" ht="15.75" customHeight="1" x14ac:dyDescent="0.25">
      <c r="D17" s="10" t="str">
        <f>$C$6</f>
        <v>VALE</v>
      </c>
      <c r="G17" s="19" t="s">
        <v>45</v>
      </c>
      <c r="H17" s="8"/>
      <c r="I17" s="19" t="s">
        <v>47</v>
      </c>
      <c r="V17" s="8"/>
      <c r="W17" s="8"/>
      <c r="Z17" s="10" t="str">
        <f>$C$7</f>
        <v>MO</v>
      </c>
      <c r="AA17" s="19" t="s">
        <v>38</v>
      </c>
      <c r="AB17" s="8"/>
      <c r="AC17" s="8"/>
      <c r="AN17" s="10" t="s">
        <v>59</v>
      </c>
      <c r="AO17" s="19" t="s">
        <v>38</v>
      </c>
      <c r="AP17" s="8"/>
      <c r="AQ17" s="8"/>
    </row>
    <row r="18" spans="3:47" ht="15.75" customHeight="1" x14ac:dyDescent="0.25">
      <c r="D18" s="10" t="str">
        <f>$C$7</f>
        <v>MO</v>
      </c>
      <c r="E18" s="19" t="s">
        <v>38</v>
      </c>
      <c r="F18" s="8"/>
      <c r="G18" s="19" t="s">
        <v>46</v>
      </c>
      <c r="H18"/>
      <c r="W18" s="19"/>
      <c r="X18" s="8"/>
      <c r="Z18" s="10" t="str">
        <f>_xlfn.CONCAT($C$7,"D")</f>
        <v>MOD</v>
      </c>
      <c r="AC18" s="19" t="s">
        <v>45</v>
      </c>
      <c r="AD18" s="8"/>
      <c r="AE18" s="19" t="s">
        <v>44</v>
      </c>
      <c r="AN18" s="10" t="s">
        <v>60</v>
      </c>
      <c r="AQ18" s="19" t="s">
        <v>45</v>
      </c>
      <c r="AR18" s="8"/>
      <c r="AS18" s="19" t="s">
        <v>44</v>
      </c>
    </row>
    <row r="19" spans="3:47" x14ac:dyDescent="0.25">
      <c r="D19" s="10" t="str">
        <f>_xlfn.CONCAT($C$7,"D")</f>
        <v>MOD</v>
      </c>
      <c r="G19" s="19" t="s">
        <v>45</v>
      </c>
      <c r="H19" s="8"/>
      <c r="I19" s="19" t="s">
        <v>47</v>
      </c>
    </row>
    <row r="20" spans="3:47" ht="15.75" customHeight="1" x14ac:dyDescent="0.25">
      <c r="H20"/>
      <c r="AE20" s="13"/>
      <c r="AF20" s="13"/>
      <c r="AG20" s="13"/>
      <c r="AH20" s="13"/>
      <c r="AI20" s="13"/>
      <c r="AS20" s="13"/>
      <c r="AT20" s="13"/>
      <c r="AU20" s="13"/>
    </row>
    <row r="21" spans="3:47" x14ac:dyDescent="0.25">
      <c r="H21"/>
      <c r="Z21" s="27" t="s">
        <v>48</v>
      </c>
      <c r="AA21" s="27"/>
      <c r="AB21" s="27"/>
      <c r="AC21" s="27"/>
      <c r="AD21" s="27"/>
      <c r="AE21" s="27"/>
      <c r="AF21" s="27"/>
      <c r="AG21" s="27"/>
      <c r="AH21" s="27"/>
      <c r="AI21" s="27"/>
      <c r="AN21" s="27" t="s">
        <v>48</v>
      </c>
      <c r="AO21" s="27"/>
      <c r="AP21" s="27"/>
      <c r="AQ21" s="27"/>
      <c r="AR21" s="27"/>
      <c r="AS21" s="27"/>
      <c r="AT21" s="27"/>
      <c r="AU21" s="27"/>
    </row>
    <row r="22" spans="3:47" x14ac:dyDescent="0.25">
      <c r="D22" s="27" t="s">
        <v>48</v>
      </c>
      <c r="E22" s="27"/>
      <c r="F22" s="27"/>
      <c r="G22" s="27"/>
      <c r="H22" s="27"/>
      <c r="I22" s="27"/>
    </row>
    <row r="23" spans="3:47" x14ac:dyDescent="0.25">
      <c r="H23"/>
      <c r="Z23" s="18" t="s">
        <v>37</v>
      </c>
      <c r="AA23" s="18">
        <v>0</v>
      </c>
      <c r="AB23" s="18">
        <f t="shared" ref="AB23:AI23" si="2">AA23+1</f>
        <v>1</v>
      </c>
      <c r="AC23" s="18">
        <f t="shared" si="2"/>
        <v>2</v>
      </c>
      <c r="AD23" s="18">
        <f t="shared" si="2"/>
        <v>3</v>
      </c>
      <c r="AE23" s="18">
        <f t="shared" si="2"/>
        <v>4</v>
      </c>
      <c r="AF23" s="18">
        <f t="shared" si="2"/>
        <v>5</v>
      </c>
      <c r="AG23" s="18">
        <f t="shared" si="2"/>
        <v>6</v>
      </c>
      <c r="AH23" s="18">
        <f t="shared" si="2"/>
        <v>7</v>
      </c>
      <c r="AI23" s="18">
        <f t="shared" si="2"/>
        <v>8</v>
      </c>
      <c r="AN23" s="18" t="s">
        <v>37</v>
      </c>
      <c r="AO23" s="18">
        <v>0</v>
      </c>
      <c r="AP23" s="18">
        <f t="shared" ref="AP23:AU23" si="3">AO23+1</f>
        <v>1</v>
      </c>
      <c r="AQ23" s="18">
        <f t="shared" si="3"/>
        <v>2</v>
      </c>
      <c r="AR23" s="18">
        <f t="shared" si="3"/>
        <v>3</v>
      </c>
      <c r="AS23" s="18">
        <f t="shared" si="3"/>
        <v>4</v>
      </c>
      <c r="AT23" s="18">
        <f t="shared" si="3"/>
        <v>5</v>
      </c>
      <c r="AU23" s="18">
        <f t="shared" si="3"/>
        <v>6</v>
      </c>
    </row>
    <row r="24" spans="3:47" x14ac:dyDescent="0.25">
      <c r="D24" s="18" t="s">
        <v>37</v>
      </c>
      <c r="E24" s="18">
        <v>0</v>
      </c>
      <c r="F24" s="18">
        <f>E24+1</f>
        <v>1</v>
      </c>
      <c r="G24" s="18">
        <f>F24+1</f>
        <v>2</v>
      </c>
      <c r="H24" s="18">
        <f>G24+1</f>
        <v>3</v>
      </c>
      <c r="I24" s="18">
        <f>H24+1</f>
        <v>4</v>
      </c>
      <c r="Z24" s="10" t="s">
        <v>42</v>
      </c>
      <c r="AA24" s="12">
        <f t="shared" ref="AA24:AI24" si="4">AVERAGE(AA26/AA25,AA27/AA28)</f>
        <v>832.57853267889436</v>
      </c>
      <c r="AB24" s="12">
        <f t="shared" si="4"/>
        <v>834.57790616211719</v>
      </c>
      <c r="AC24" s="12">
        <f t="shared" si="4"/>
        <v>836.58208098739794</v>
      </c>
      <c r="AD24" s="12">
        <f t="shared" si="4"/>
        <v>838.59106868479125</v>
      </c>
      <c r="AE24" s="12">
        <f t="shared" si="4"/>
        <v>840.60488081204016</v>
      </c>
      <c r="AF24" s="12">
        <f t="shared" si="4"/>
        <v>842.62352895464323</v>
      </c>
      <c r="AG24" s="12">
        <f t="shared" si="4"/>
        <v>844.64702472591989</v>
      </c>
      <c r="AH24" s="12">
        <f t="shared" si="4"/>
        <v>846.67537976707911</v>
      </c>
      <c r="AI24" s="12">
        <f t="shared" si="4"/>
        <v>848.70860574728442</v>
      </c>
      <c r="AN24" s="10" t="s">
        <v>42</v>
      </c>
      <c r="AO24" s="12">
        <f t="shared" ref="AO24:AU24" si="5">AVERAGE(AO26/AO25,AO27/AO28)</f>
        <v>803.43496087951053</v>
      </c>
      <c r="AP24" s="12">
        <f t="shared" si="5"/>
        <v>805.36434831051736</v>
      </c>
      <c r="AQ24" s="12">
        <f t="shared" si="5"/>
        <v>807.29836901744579</v>
      </c>
      <c r="AR24" s="12">
        <f t="shared" si="5"/>
        <v>809.23703412675286</v>
      </c>
      <c r="AS24" s="12">
        <f t="shared" si="5"/>
        <v>811.18035479161426</v>
      </c>
      <c r="AT24" s="12">
        <f t="shared" si="5"/>
        <v>813.12834219198999</v>
      </c>
      <c r="AU24" s="12">
        <f t="shared" si="5"/>
        <v>815.08100753468693</v>
      </c>
    </row>
    <row r="25" spans="3:47" x14ac:dyDescent="0.25">
      <c r="D25" s="10" t="s">
        <v>42</v>
      </c>
      <c r="E25" s="12">
        <f>AVERAGE(E27/E26,E28/E29)</f>
        <v>832.57853267889436</v>
      </c>
      <c r="F25" s="12">
        <f>AVERAGE(F27/F26,F28/F29)</f>
        <v>834.57790616211719</v>
      </c>
      <c r="G25" s="12">
        <f>AVERAGE(G27/G26,G28/G29)</f>
        <v>836.58208098739794</v>
      </c>
      <c r="H25" s="12">
        <f>AVERAGE(H27/H26,H28/H29)</f>
        <v>838.59106868479125</v>
      </c>
      <c r="I25" s="12">
        <f>AVERAGE(I27/I26,I28/I29)</f>
        <v>840.60488081204016</v>
      </c>
      <c r="Y25" s="40" t="str">
        <f>$C$6</f>
        <v>VALE</v>
      </c>
      <c r="Z25" s="10" t="s">
        <v>5</v>
      </c>
      <c r="AA25" s="28">
        <f>E26</f>
        <v>6.32</v>
      </c>
      <c r="AB25" s="11">
        <f t="shared" ref="AB25:AI25" si="6">AA25</f>
        <v>6.32</v>
      </c>
      <c r="AC25" s="11">
        <f t="shared" si="6"/>
        <v>6.32</v>
      </c>
      <c r="AD25" s="11">
        <f t="shared" si="6"/>
        <v>6.32</v>
      </c>
      <c r="AE25" s="11">
        <f t="shared" si="6"/>
        <v>6.32</v>
      </c>
      <c r="AF25" s="11">
        <f t="shared" si="6"/>
        <v>6.32</v>
      </c>
      <c r="AG25" s="11">
        <f t="shared" si="6"/>
        <v>6.32</v>
      </c>
      <c r="AH25" s="11">
        <f t="shared" si="6"/>
        <v>6.32</v>
      </c>
      <c r="AI25" s="11">
        <f t="shared" si="6"/>
        <v>6.32</v>
      </c>
      <c r="AM25" s="40" t="str">
        <f>AN16</f>
        <v>VALE</v>
      </c>
      <c r="AN25" s="10" t="s">
        <v>5</v>
      </c>
      <c r="AO25" s="28">
        <f>AA25</f>
        <v>6.32</v>
      </c>
      <c r="AP25" s="11">
        <f t="shared" ref="AP25:AU25" si="7">AO25</f>
        <v>6.32</v>
      </c>
      <c r="AQ25" s="11">
        <f t="shared" si="7"/>
        <v>6.32</v>
      </c>
      <c r="AR25" s="11">
        <f t="shared" si="7"/>
        <v>6.32</v>
      </c>
      <c r="AS25" s="11">
        <f t="shared" si="7"/>
        <v>6.32</v>
      </c>
      <c r="AT25" s="11">
        <f t="shared" si="7"/>
        <v>6.32</v>
      </c>
      <c r="AU25" s="11">
        <f t="shared" si="7"/>
        <v>6.32</v>
      </c>
    </row>
    <row r="26" spans="3:47" x14ac:dyDescent="0.25">
      <c r="C26" s="33" t="str">
        <f>$C$6</f>
        <v>VALE</v>
      </c>
      <c r="D26" s="10" t="s">
        <v>84</v>
      </c>
      <c r="E26" s="28">
        <f>VLOOKUP(C26,df_mep!A:O,MATCH(D26,df_mep[#Headers],0),0)</f>
        <v>6.32</v>
      </c>
      <c r="F26" s="11">
        <f>E26</f>
        <v>6.32</v>
      </c>
      <c r="G26" s="11">
        <f>F26</f>
        <v>6.32</v>
      </c>
      <c r="H26" s="11">
        <f>G26</f>
        <v>6.32</v>
      </c>
      <c r="I26" s="11">
        <f>H26</f>
        <v>6.32</v>
      </c>
      <c r="K26" s="12"/>
      <c r="Y26" s="40"/>
      <c r="Z26" s="20" t="s">
        <v>2</v>
      </c>
      <c r="AA26" s="29">
        <f>E27</f>
        <v>5750</v>
      </c>
      <c r="AB26" s="16">
        <f t="shared" ref="AB26:AI27" si="8">AA26*(1+$M$4)</f>
        <v>5763.8081839457727</v>
      </c>
      <c r="AC26" s="16">
        <f t="shared" si="8"/>
        <v>5777.6495271861331</v>
      </c>
      <c r="AD26" s="16">
        <f t="shared" si="8"/>
        <v>5791.5241093505838</v>
      </c>
      <c r="AE26" s="16">
        <f t="shared" si="8"/>
        <v>5805.4320102598513</v>
      </c>
      <c r="AF26" s="16">
        <f t="shared" si="8"/>
        <v>5819.3733099263463</v>
      </c>
      <c r="AG26" s="16">
        <f t="shared" si="8"/>
        <v>5833.3480885546214</v>
      </c>
      <c r="AH26" s="16">
        <f t="shared" si="8"/>
        <v>5847.3564265418363</v>
      </c>
      <c r="AI26" s="16">
        <f t="shared" si="8"/>
        <v>5861.3984044782164</v>
      </c>
      <c r="AM26" s="40"/>
      <c r="AN26" s="20" t="s">
        <v>2</v>
      </c>
      <c r="AO26" s="29">
        <f>AA26</f>
        <v>5750</v>
      </c>
      <c r="AP26" s="16">
        <f t="shared" ref="AP26:AU27" si="9">AO26*(1+$M$4)</f>
        <v>5763.8081839457727</v>
      </c>
      <c r="AQ26" s="16">
        <f t="shared" si="9"/>
        <v>5777.6495271861331</v>
      </c>
      <c r="AR26" s="16">
        <f t="shared" si="9"/>
        <v>5791.5241093505838</v>
      </c>
      <c r="AS26" s="16">
        <f t="shared" si="9"/>
        <v>5805.4320102598513</v>
      </c>
      <c r="AT26" s="16">
        <f t="shared" si="9"/>
        <v>5819.3733099263463</v>
      </c>
      <c r="AU26" s="16">
        <f t="shared" si="9"/>
        <v>5833.3480885546214</v>
      </c>
    </row>
    <row r="27" spans="3:47" x14ac:dyDescent="0.25">
      <c r="C27" s="33" t="str">
        <f>$C$6</f>
        <v>VALE</v>
      </c>
      <c r="D27" s="20" t="s">
        <v>80</v>
      </c>
      <c r="E27" s="28">
        <f>VLOOKUP(C27,df_mep!A:O,MATCH(D27,df_mep[#Headers],0),0)</f>
        <v>5750</v>
      </c>
      <c r="F27" s="16">
        <f>E27*(1+$M$4)</f>
        <v>5763.8081839457727</v>
      </c>
      <c r="G27" s="16">
        <f>F27*(1+$M$4)</f>
        <v>5777.6495271861331</v>
      </c>
      <c r="H27" s="16">
        <f>G27*(1+$M$4)</f>
        <v>5791.5241093505838</v>
      </c>
      <c r="I27" s="16">
        <f>H27*(1+$M$4)</f>
        <v>5805.4320102598513</v>
      </c>
      <c r="K27" s="12"/>
      <c r="Y27" s="40" t="str">
        <f>$C$7</f>
        <v>MO</v>
      </c>
      <c r="Z27" s="20" t="s">
        <v>3</v>
      </c>
      <c r="AA27" s="29">
        <f>E28</f>
        <v>9253</v>
      </c>
      <c r="AB27" s="16">
        <f t="shared" si="8"/>
        <v>9275.2203697478672</v>
      </c>
      <c r="AC27" s="16">
        <f t="shared" si="8"/>
        <v>9297.4941000092676</v>
      </c>
      <c r="AD27" s="16">
        <f t="shared" si="8"/>
        <v>9319.8213189253838</v>
      </c>
      <c r="AE27" s="16">
        <f t="shared" si="8"/>
        <v>9342.2021549451147</v>
      </c>
      <c r="AF27" s="16">
        <f t="shared" si="8"/>
        <v>9364.6367368258234</v>
      </c>
      <c r="AG27" s="16">
        <f t="shared" si="8"/>
        <v>9387.1251936340723</v>
      </c>
      <c r="AH27" s="16">
        <f t="shared" si="8"/>
        <v>9409.6676547463667</v>
      </c>
      <c r="AI27" s="16">
        <f t="shared" si="8"/>
        <v>9432.2642498499008</v>
      </c>
      <c r="AM27" s="40" t="str">
        <f>AN17</f>
        <v>AL30</v>
      </c>
      <c r="AN27" s="20" t="s">
        <v>3</v>
      </c>
      <c r="AO27" s="29">
        <v>21100</v>
      </c>
      <c r="AP27" s="16">
        <f t="shared" si="9"/>
        <v>21150.67003152275</v>
      </c>
      <c r="AQ27" s="16">
        <f t="shared" si="9"/>
        <v>21201.46174323955</v>
      </c>
      <c r="AR27" s="16">
        <f t="shared" si="9"/>
        <v>21252.375427356055</v>
      </c>
      <c r="AS27" s="16">
        <f t="shared" si="9"/>
        <v>21303.41137677963</v>
      </c>
      <c r="AT27" s="16">
        <f t="shared" si="9"/>
        <v>21354.569885121029</v>
      </c>
      <c r="AU27" s="16">
        <f t="shared" si="9"/>
        <v>21405.851246696093</v>
      </c>
    </row>
    <row r="28" spans="3:47" x14ac:dyDescent="0.25">
      <c r="C28" s="33" t="str">
        <f>$C$7</f>
        <v>MO</v>
      </c>
      <c r="D28" s="20" t="s">
        <v>81</v>
      </c>
      <c r="E28" s="28">
        <f>VLOOKUP(C28,df_mep!A:O,MATCH(D28,df_mep[#Headers],0),0)</f>
        <v>9253</v>
      </c>
      <c r="F28" s="16">
        <f>E28*(1+$M$4)</f>
        <v>9275.2203697478672</v>
      </c>
      <c r="G28" s="16">
        <f>F28*(1+$M$4)</f>
        <v>9297.4941000092676</v>
      </c>
      <c r="H28" s="16">
        <f>G28*(1+$M$4)</f>
        <v>9319.8213189253838</v>
      </c>
      <c r="I28" s="16">
        <f>H28*(1+$M$4)</f>
        <v>9342.2021549451147</v>
      </c>
      <c r="K28" s="12"/>
      <c r="Y28" s="40"/>
      <c r="Z28" s="10" t="s">
        <v>4</v>
      </c>
      <c r="AA28" s="28">
        <f>E29</f>
        <v>12.25</v>
      </c>
      <c r="AB28" s="11">
        <f t="shared" ref="AB28:AI28" si="10">AA28</f>
        <v>12.25</v>
      </c>
      <c r="AC28" s="11">
        <f t="shared" si="10"/>
        <v>12.25</v>
      </c>
      <c r="AD28" s="11">
        <f t="shared" si="10"/>
        <v>12.25</v>
      </c>
      <c r="AE28" s="11">
        <f t="shared" si="10"/>
        <v>12.25</v>
      </c>
      <c r="AF28" s="11">
        <f t="shared" si="10"/>
        <v>12.25</v>
      </c>
      <c r="AG28" s="11">
        <f t="shared" si="10"/>
        <v>12.25</v>
      </c>
      <c r="AH28" s="11">
        <f t="shared" si="10"/>
        <v>12.25</v>
      </c>
      <c r="AI28" s="11">
        <f t="shared" si="10"/>
        <v>12.25</v>
      </c>
      <c r="AM28" s="40"/>
      <c r="AN28" s="10" t="s">
        <v>4</v>
      </c>
      <c r="AO28" s="28">
        <v>30.27</v>
      </c>
      <c r="AP28" s="11">
        <f t="shared" ref="AP28:AU28" si="11">AO28</f>
        <v>30.27</v>
      </c>
      <c r="AQ28" s="11">
        <f t="shared" si="11"/>
        <v>30.27</v>
      </c>
      <c r="AR28" s="11">
        <f t="shared" si="11"/>
        <v>30.27</v>
      </c>
      <c r="AS28" s="11">
        <f t="shared" si="11"/>
        <v>30.27</v>
      </c>
      <c r="AT28" s="11">
        <f t="shared" si="11"/>
        <v>30.27</v>
      </c>
      <c r="AU28" s="11">
        <f t="shared" si="11"/>
        <v>30.27</v>
      </c>
    </row>
    <row r="29" spans="3:47" x14ac:dyDescent="0.25">
      <c r="C29" s="33" t="str">
        <f>$C$7</f>
        <v>MO</v>
      </c>
      <c r="D29" s="10" t="s">
        <v>83</v>
      </c>
      <c r="E29" s="28">
        <f>VLOOKUP(C29,df_mep!A:O,MATCH(D29,df_mep[#Headers],0),0)</f>
        <v>12.25</v>
      </c>
      <c r="F29" s="11">
        <f>E29</f>
        <v>12.25</v>
      </c>
      <c r="G29" s="11">
        <f>F29</f>
        <v>12.25</v>
      </c>
      <c r="H29" s="11">
        <f>G29</f>
        <v>12.25</v>
      </c>
      <c r="I29" s="11">
        <f>H29</f>
        <v>12.25</v>
      </c>
      <c r="K29" s="12"/>
    </row>
    <row r="30" spans="3:47" x14ac:dyDescent="0.25">
      <c r="H30"/>
    </row>
    <row r="31" spans="3:47" x14ac:dyDescent="0.25">
      <c r="H31"/>
      <c r="Z31" s="27" t="s">
        <v>50</v>
      </c>
      <c r="AA31" s="27"/>
      <c r="AB31" s="27"/>
      <c r="AC31" s="27"/>
      <c r="AD31" s="27"/>
      <c r="AE31" s="27"/>
      <c r="AF31" s="27"/>
      <c r="AG31" s="27"/>
      <c r="AH31" s="27"/>
      <c r="AI31" s="27"/>
      <c r="AN31" s="27" t="s">
        <v>50</v>
      </c>
      <c r="AO31" s="27"/>
      <c r="AP31" s="27"/>
      <c r="AQ31" s="27"/>
      <c r="AR31" s="27"/>
      <c r="AS31" s="27"/>
      <c r="AT31" s="27"/>
      <c r="AU31" s="27"/>
    </row>
    <row r="32" spans="3:47" x14ac:dyDescent="0.25">
      <c r="D32" s="27" t="s">
        <v>50</v>
      </c>
      <c r="E32" s="27"/>
      <c r="F32" s="27"/>
      <c r="G32" s="27"/>
      <c r="H32" s="27"/>
      <c r="I32" s="27"/>
      <c r="Z32" s="8"/>
      <c r="AA32" s="8"/>
      <c r="AB32" s="8"/>
      <c r="AC32" s="8"/>
      <c r="AD32" s="8"/>
      <c r="AE32" s="8"/>
      <c r="AF32" s="8"/>
      <c r="AG32" s="8"/>
      <c r="AH32" s="8"/>
      <c r="AI32" s="8"/>
      <c r="AN32" s="8"/>
      <c r="AO32" s="8"/>
      <c r="AP32" s="8"/>
      <c r="AQ32" s="8"/>
      <c r="AR32" s="8"/>
      <c r="AS32" s="8"/>
      <c r="AT32" s="8"/>
      <c r="AU32" s="8"/>
    </row>
    <row r="33" spans="4:47" x14ac:dyDescent="0.25">
      <c r="D33" s="8"/>
      <c r="E33" s="8"/>
      <c r="F33" s="8"/>
      <c r="G33" s="8"/>
      <c r="H33" s="8"/>
      <c r="I33" s="8"/>
      <c r="Z33" s="10" t="str">
        <f>_xlfn.CONCAT($C$6,"D")</f>
        <v>VALED</v>
      </c>
      <c r="AA33" s="21">
        <f>ROUNDDOWN(AA3/AA25,0)</f>
        <v>158</v>
      </c>
      <c r="AB33" s="21"/>
      <c r="AC33" s="8"/>
      <c r="AD33" s="21"/>
      <c r="AE33" s="21"/>
      <c r="AF33" s="21"/>
      <c r="AG33" s="21"/>
      <c r="AH33" s="21"/>
      <c r="AI33" s="21"/>
      <c r="AN33" s="10" t="str">
        <f>AN15</f>
        <v>VALED</v>
      </c>
      <c r="AO33" s="21">
        <f>ROUNDDOWN(AO3/AO25,0)</f>
        <v>158</v>
      </c>
      <c r="AP33" s="21"/>
      <c r="AQ33" s="8"/>
      <c r="AR33" s="21"/>
      <c r="AS33" s="21"/>
      <c r="AT33" s="21"/>
      <c r="AU33" s="21"/>
    </row>
    <row r="34" spans="4:47" x14ac:dyDescent="0.25">
      <c r="D34" s="10" t="str">
        <f>_xlfn.CONCAT($C$6,"D")</f>
        <v>VALED</v>
      </c>
      <c r="E34" s="21">
        <f>ROUNDDOWN(D4/E26,0)</f>
        <v>79</v>
      </c>
      <c r="F34" s="21"/>
      <c r="G34" s="8"/>
      <c r="H34" s="21"/>
      <c r="I34" s="21"/>
      <c r="Z34" s="10" t="str">
        <f>$C$6</f>
        <v>VALE</v>
      </c>
      <c r="AB34" s="21"/>
      <c r="AC34" s="21">
        <f>-AA33</f>
        <v>-158</v>
      </c>
      <c r="AD34" s="21"/>
      <c r="AE34" s="21"/>
      <c r="AF34" s="21"/>
      <c r="AG34" s="21"/>
      <c r="AH34" s="21"/>
      <c r="AI34" s="21"/>
      <c r="AN34" s="10" t="str">
        <f>AN16</f>
        <v>VALE</v>
      </c>
      <c r="AP34" s="21"/>
      <c r="AQ34" s="21">
        <f>-AO33</f>
        <v>-158</v>
      </c>
      <c r="AR34" s="21"/>
      <c r="AS34" s="21"/>
      <c r="AT34" s="21"/>
      <c r="AU34" s="21"/>
    </row>
    <row r="35" spans="4:47" x14ac:dyDescent="0.25">
      <c r="D35" s="10" t="str">
        <f>$C$6</f>
        <v>VALE</v>
      </c>
      <c r="F35" s="21"/>
      <c r="G35" s="21">
        <f>-E34</f>
        <v>-79</v>
      </c>
      <c r="H35" s="21"/>
      <c r="I35" s="21"/>
      <c r="Z35" s="10" t="str">
        <f>$C$7</f>
        <v>MO</v>
      </c>
      <c r="AA35" s="21"/>
      <c r="AB35" s="21"/>
      <c r="AD35" s="21"/>
      <c r="AE35" s="21">
        <f>ROUNDDOWN(AE42/AE27,0)</f>
        <v>97</v>
      </c>
      <c r="AF35" s="21"/>
      <c r="AG35" s="21"/>
      <c r="AH35" s="21"/>
      <c r="AI35" s="21"/>
      <c r="AN35" s="10" t="str">
        <f>AN17</f>
        <v>AL30</v>
      </c>
      <c r="AO35" s="21"/>
      <c r="AP35" s="21"/>
      <c r="AR35" s="21"/>
      <c r="AS35" s="21">
        <f>ROUNDDOWN(AS42/AS27,0)</f>
        <v>42</v>
      </c>
      <c r="AT35" s="21"/>
      <c r="AU35" s="21"/>
    </row>
    <row r="36" spans="4:47" x14ac:dyDescent="0.25">
      <c r="D36" s="10" t="str">
        <f>$C$7</f>
        <v>MO</v>
      </c>
      <c r="E36" s="21">
        <f>ROUNDDOWN(D3/G28,0)</f>
        <v>44</v>
      </c>
      <c r="F36" s="21"/>
      <c r="H36" s="21"/>
      <c r="I36" s="21"/>
      <c r="Z36" s="10" t="str">
        <f>_xlfn.CONCAT($C$7,"D")</f>
        <v>MOD</v>
      </c>
      <c r="AA36" s="21"/>
      <c r="AB36" s="21"/>
      <c r="AD36" s="21"/>
      <c r="AE36" s="8"/>
      <c r="AF36" s="8"/>
      <c r="AG36" s="21">
        <f>-AE35</f>
        <v>-97</v>
      </c>
      <c r="AH36" s="21"/>
      <c r="AI36" s="21"/>
      <c r="AN36" s="10" t="str">
        <f>AN18</f>
        <v>AL30D</v>
      </c>
      <c r="AO36" s="21"/>
      <c r="AP36" s="21"/>
      <c r="AR36" s="21"/>
      <c r="AS36" s="8"/>
      <c r="AT36" s="8"/>
      <c r="AU36" s="21">
        <f>-AS35</f>
        <v>-42</v>
      </c>
    </row>
    <row r="37" spans="4:47" x14ac:dyDescent="0.25">
      <c r="D37" s="10" t="str">
        <f>_xlfn.CONCAT($C$7,"D")</f>
        <v>MOD</v>
      </c>
      <c r="E37" s="21"/>
      <c r="F37" s="21"/>
      <c r="G37" s="21">
        <f>-E36</f>
        <v>-44</v>
      </c>
      <c r="H37" s="21"/>
      <c r="I37" s="8"/>
    </row>
    <row r="38" spans="4:47" x14ac:dyDescent="0.25">
      <c r="H38"/>
    </row>
    <row r="39" spans="4:47" x14ac:dyDescent="0.25">
      <c r="H39"/>
      <c r="Z39" s="27" t="s">
        <v>23</v>
      </c>
      <c r="AA39" s="27"/>
      <c r="AB39" s="27"/>
      <c r="AC39" s="27"/>
      <c r="AD39" s="27"/>
      <c r="AE39" s="27"/>
      <c r="AF39" s="27"/>
      <c r="AG39" s="27"/>
      <c r="AH39" s="27"/>
      <c r="AI39" s="27"/>
      <c r="AN39" s="27" t="s">
        <v>23</v>
      </c>
      <c r="AO39" s="27"/>
      <c r="AP39" s="27"/>
      <c r="AQ39" s="27"/>
      <c r="AR39" s="27"/>
      <c r="AS39" s="27"/>
      <c r="AT39" s="27"/>
      <c r="AU39" s="27"/>
    </row>
    <row r="40" spans="4:47" x14ac:dyDescent="0.25">
      <c r="D40" s="27" t="s">
        <v>23</v>
      </c>
      <c r="E40" s="27"/>
      <c r="F40" s="27"/>
      <c r="G40" s="27"/>
      <c r="H40" s="27"/>
      <c r="I40" s="27"/>
      <c r="Z40" s="8"/>
      <c r="AA40" s="8"/>
      <c r="AB40" s="8"/>
      <c r="AC40" s="8"/>
      <c r="AD40" s="8"/>
      <c r="AE40" s="8"/>
      <c r="AF40" s="8"/>
      <c r="AG40" s="8"/>
      <c r="AH40" s="8"/>
      <c r="AI40" s="8"/>
      <c r="AN40" s="8"/>
      <c r="AO40" s="8"/>
      <c r="AP40" s="8"/>
      <c r="AQ40" s="8"/>
      <c r="AR40" s="8"/>
      <c r="AS40" s="8"/>
      <c r="AT40" s="8"/>
      <c r="AU40" s="8"/>
    </row>
    <row r="41" spans="4:47" x14ac:dyDescent="0.25">
      <c r="D41" s="8"/>
      <c r="E41" s="8"/>
      <c r="F41" s="8"/>
      <c r="G41" s="8"/>
      <c r="H41" s="8"/>
      <c r="I41" s="8"/>
      <c r="Z41" s="1" t="str">
        <f>_xlfn.CONCAT("Compro: ",$C$6,"D")</f>
        <v>Compro: VALED</v>
      </c>
      <c r="AA41" s="11">
        <f>-AA33*AA25</f>
        <v>-998.56000000000006</v>
      </c>
      <c r="AB41" s="11"/>
      <c r="AC41" s="11"/>
      <c r="AD41" s="11"/>
      <c r="AE41" s="11"/>
      <c r="AF41" s="11"/>
      <c r="AG41" s="11"/>
      <c r="AH41" s="11"/>
      <c r="AI41" s="11"/>
      <c r="AN41" s="1" t="str">
        <f>_xlfn.CONCAT("Compro: ",$C$6,"D")</f>
        <v>Compro: VALED</v>
      </c>
      <c r="AO41" s="11">
        <f>-AO33*AO25</f>
        <v>-998.56000000000006</v>
      </c>
      <c r="AP41" s="11"/>
      <c r="AQ41" s="11"/>
      <c r="AR41" s="11"/>
      <c r="AS41" s="11"/>
      <c r="AT41" s="11"/>
      <c r="AU41" s="11"/>
    </row>
    <row r="42" spans="4:47" x14ac:dyDescent="0.25">
      <c r="D42" s="1" t="str">
        <f>_xlfn.CONCAT("Compro: ",$C$6,"D")</f>
        <v>Compro: VALED</v>
      </c>
      <c r="E42" s="11">
        <f>-E34*E26</f>
        <v>-499.28000000000003</v>
      </c>
      <c r="F42" s="11"/>
      <c r="G42" s="11"/>
      <c r="H42" s="11"/>
      <c r="I42" s="11"/>
      <c r="Z42" s="1" t="str">
        <f>_xlfn.CONCAT("Vendo: ",$C$6)</f>
        <v>Vendo: VALE</v>
      </c>
      <c r="AA42" s="8"/>
      <c r="AB42" s="8"/>
      <c r="AD42" s="8"/>
      <c r="AE42" s="16">
        <f>-AC34*AC26</f>
        <v>912868.625295409</v>
      </c>
      <c r="AF42" s="16"/>
      <c r="AG42" s="16"/>
      <c r="AH42" s="16"/>
      <c r="AI42" s="16"/>
      <c r="AN42" s="1" t="str">
        <f>_xlfn.CONCAT("Vendo: ",$C$6)</f>
        <v>Vendo: VALE</v>
      </c>
      <c r="AO42" s="8"/>
      <c r="AP42" s="8"/>
      <c r="AR42" s="8"/>
      <c r="AS42" s="16">
        <f>-AQ34*AQ26</f>
        <v>912868.625295409</v>
      </c>
      <c r="AT42" s="16"/>
      <c r="AU42" s="16"/>
    </row>
    <row r="43" spans="4:47" x14ac:dyDescent="0.25">
      <c r="D43" s="1" t="str">
        <f>_xlfn.CONCAT("Vendo: ",$C$6)</f>
        <v>Vendo: VALE</v>
      </c>
      <c r="E43" s="8"/>
      <c r="F43" s="8"/>
      <c r="G43" s="16"/>
      <c r="H43" s="16"/>
      <c r="I43" s="16">
        <f>-G35*G27</f>
        <v>456434.3126477045</v>
      </c>
      <c r="Z43" s="1" t="str">
        <f>_xlfn.CONCAT("Compro: ",$C$7)</f>
        <v>Compro: MO</v>
      </c>
      <c r="AA43" s="8"/>
      <c r="AB43" s="8"/>
      <c r="AD43" s="8"/>
      <c r="AE43" s="16">
        <f>-AE35*AE27</f>
        <v>-906193.60902967607</v>
      </c>
      <c r="AF43" s="16"/>
      <c r="AG43" s="16"/>
      <c r="AH43" s="16"/>
      <c r="AI43" s="16"/>
      <c r="AN43" s="1" t="str">
        <f>_xlfn.CONCAT("Compro: ",$C$7)</f>
        <v>Compro: MO</v>
      </c>
      <c r="AO43" s="8"/>
      <c r="AP43" s="8"/>
      <c r="AR43" s="8"/>
      <c r="AS43" s="16">
        <f>-AS35*AS27</f>
        <v>-894743.27782474447</v>
      </c>
      <c r="AT43" s="16"/>
      <c r="AU43" s="16"/>
    </row>
    <row r="44" spans="4:47" x14ac:dyDescent="0.25">
      <c r="D44" s="1" t="str">
        <f>_xlfn.CONCAT("Compro: ",$C$7)</f>
        <v>Compro: MO</v>
      </c>
      <c r="E44" s="16">
        <f>-E36*E28</f>
        <v>-407132</v>
      </c>
      <c r="F44" s="11"/>
      <c r="G44" s="11"/>
      <c r="H44" s="11"/>
      <c r="I44" s="11"/>
      <c r="Z44" s="1" t="str">
        <f>_xlfn.CONCAT("Vendo: ",$C$7,"D")</f>
        <v>Vendo: MOD</v>
      </c>
      <c r="AA44" s="8"/>
      <c r="AB44" s="8"/>
      <c r="AC44" s="8"/>
      <c r="AD44" s="8"/>
      <c r="AF44" s="11"/>
      <c r="AG44" s="11"/>
      <c r="AH44" s="11"/>
      <c r="AI44" s="11">
        <f>-AG36*AE28</f>
        <v>1188.25</v>
      </c>
      <c r="AN44" s="1" t="str">
        <f>_xlfn.CONCAT("Vendo: ",$C$7,"D")</f>
        <v>Vendo: MOD</v>
      </c>
      <c r="AO44" s="8"/>
      <c r="AP44" s="8"/>
      <c r="AQ44" s="8"/>
      <c r="AR44" s="8"/>
      <c r="AT44" s="11"/>
      <c r="AU44" s="11">
        <f>-AU36*AS28</f>
        <v>1271.3399999999999</v>
      </c>
    </row>
    <row r="45" spans="4:47" ht="15.75" thickBot="1" x14ac:dyDescent="0.3">
      <c r="D45" s="1" t="str">
        <f>_xlfn.CONCAT("Vendo: ",$C$7,"D")</f>
        <v>Vendo: MOD</v>
      </c>
      <c r="E45" s="11"/>
      <c r="F45" s="11"/>
      <c r="G45" s="11"/>
      <c r="H45" s="11"/>
      <c r="I45" s="11">
        <f>-G37*G29</f>
        <v>539</v>
      </c>
      <c r="Z45" s="1" t="s">
        <v>35</v>
      </c>
      <c r="AA45" s="22"/>
      <c r="AB45" s="22"/>
      <c r="AC45" s="22"/>
      <c r="AD45" s="22"/>
      <c r="AE45" s="22"/>
      <c r="AF45" s="23"/>
      <c r="AG45" s="23"/>
      <c r="AH45" s="23"/>
      <c r="AI45" s="23">
        <f>-AI44*$D$5</f>
        <v>-2.9706250000000001</v>
      </c>
      <c r="AN45" s="1" t="s">
        <v>35</v>
      </c>
      <c r="AO45" s="22"/>
      <c r="AP45" s="22"/>
      <c r="AQ45" s="22"/>
      <c r="AR45" s="22"/>
      <c r="AS45" s="22"/>
      <c r="AT45" s="23"/>
      <c r="AU45" s="23">
        <f>-AU44*$D$5</f>
        <v>-3.17835</v>
      </c>
    </row>
    <row r="46" spans="4:47" ht="16.5" thickTop="1" thickBot="1" x14ac:dyDescent="0.3">
      <c r="D46" s="1" t="s">
        <v>35</v>
      </c>
      <c r="E46" s="23"/>
      <c r="F46" s="23"/>
      <c r="G46" s="23"/>
      <c r="H46" s="23"/>
      <c r="I46" s="23">
        <f>-I45*$D$5</f>
        <v>-1.3474999999999999</v>
      </c>
      <c r="Z46" s="24" t="s">
        <v>31</v>
      </c>
      <c r="AA46" s="25">
        <f t="shared" ref="AA46:AI46" si="12">AA41+AA44+AA45+SUM(AA42:AA43)/AA24</f>
        <v>-998.56000000000006</v>
      </c>
      <c r="AB46" s="25">
        <f t="shared" si="12"/>
        <v>0</v>
      </c>
      <c r="AC46" s="25">
        <f t="shared" si="12"/>
        <v>0</v>
      </c>
      <c r="AD46" s="25">
        <f t="shared" si="12"/>
        <v>0</v>
      </c>
      <c r="AE46" s="25">
        <f t="shared" si="12"/>
        <v>7.9407298459708482</v>
      </c>
      <c r="AF46" s="25">
        <f t="shared" si="12"/>
        <v>0</v>
      </c>
      <c r="AG46" s="25">
        <f t="shared" si="12"/>
        <v>0</v>
      </c>
      <c r="AH46" s="25">
        <f t="shared" si="12"/>
        <v>0</v>
      </c>
      <c r="AI46" s="25">
        <f t="shared" si="12"/>
        <v>1185.2793750000001</v>
      </c>
      <c r="AN46" s="24" t="s">
        <v>31</v>
      </c>
      <c r="AO46" s="25">
        <f t="shared" ref="AO46:AU46" si="13">AO41+AO44+AO45+SUM(AO42:AO43)/AO24</f>
        <v>-998.56000000000006</v>
      </c>
      <c r="AP46" s="25">
        <f t="shared" si="13"/>
        <v>0</v>
      </c>
      <c r="AQ46" s="25">
        <f t="shared" si="13"/>
        <v>0</v>
      </c>
      <c r="AR46" s="25">
        <f t="shared" si="13"/>
        <v>0</v>
      </c>
      <c r="AS46" s="25">
        <f t="shared" si="13"/>
        <v>22.344411281164213</v>
      </c>
      <c r="AT46" s="25">
        <f t="shared" si="13"/>
        <v>0</v>
      </c>
      <c r="AU46" s="25">
        <f t="shared" si="13"/>
        <v>1268.16165</v>
      </c>
    </row>
    <row r="47" spans="4:47" ht="15.75" thickTop="1" x14ac:dyDescent="0.25">
      <c r="D47" s="24" t="s">
        <v>31</v>
      </c>
      <c r="E47" s="25">
        <f>E42+E45+E46+SUM(E43:E44)/E25</f>
        <v>-988.28131821801503</v>
      </c>
      <c r="F47" s="25">
        <f>F42+F45+F46+SUM(F43:F44)/F25</f>
        <v>0</v>
      </c>
      <c r="G47" s="25">
        <f>G42+G45+G46+SUM(G43:G44)/G25</f>
        <v>0</v>
      </c>
      <c r="H47" s="25">
        <f>H42+H45+H46+SUM(H43:H44)/H25</f>
        <v>0</v>
      </c>
      <c r="I47" s="25">
        <f>I42+I45+I46+SUM(I43:I44)/I25</f>
        <v>1080.6356815951158</v>
      </c>
      <c r="Z47" s="24" t="s">
        <v>43</v>
      </c>
      <c r="AA47" s="25">
        <f>SUM(AA46:AI46)</f>
        <v>194.66010484597086</v>
      </c>
      <c r="AB47" s="8"/>
      <c r="AC47" s="8"/>
      <c r="AD47" s="8"/>
      <c r="AE47" s="8"/>
      <c r="AF47" s="8"/>
      <c r="AG47" s="8"/>
      <c r="AH47" s="8"/>
      <c r="AI47" s="8"/>
      <c r="AN47" s="24" t="s">
        <v>43</v>
      </c>
      <c r="AO47" s="25">
        <f>SUM(AO46:AU46)</f>
        <v>291.94606128116413</v>
      </c>
      <c r="AP47" s="8"/>
      <c r="AQ47" s="8"/>
      <c r="AR47" s="8"/>
      <c r="AS47" s="8"/>
      <c r="AT47" s="8"/>
      <c r="AU47" s="8"/>
    </row>
    <row r="48" spans="4:47" x14ac:dyDescent="0.25">
      <c r="D48" s="24" t="s">
        <v>43</v>
      </c>
      <c r="E48" s="25">
        <f>SUM(E47:I47)</f>
        <v>92.354363377100753</v>
      </c>
      <c r="F48" s="8"/>
      <c r="G48" s="8"/>
      <c r="H48" s="8"/>
      <c r="I48" s="8"/>
      <c r="Z48" s="24" t="s">
        <v>32</v>
      </c>
      <c r="AA48" s="26">
        <f>-AA47/AA46</f>
        <v>0.19494081962623264</v>
      </c>
      <c r="AB48" s="8"/>
      <c r="AC48" s="8"/>
      <c r="AD48" s="8"/>
      <c r="AE48" s="8"/>
      <c r="AF48" s="8"/>
      <c r="AG48" s="8"/>
      <c r="AH48" s="8"/>
      <c r="AI48" s="8"/>
      <c r="AN48" s="24" t="s">
        <v>32</v>
      </c>
      <c r="AO48" s="26">
        <f>-AO47/AO46</f>
        <v>0.29236706986176508</v>
      </c>
      <c r="AP48" s="8"/>
      <c r="AQ48" s="8"/>
      <c r="AR48" s="8"/>
      <c r="AS48" s="8"/>
      <c r="AT48" s="8"/>
      <c r="AU48" s="8"/>
    </row>
    <row r="49" spans="4:41" x14ac:dyDescent="0.25">
      <c r="D49" s="24" t="s">
        <v>32</v>
      </c>
      <c r="E49" s="26">
        <f>-E48/E47</f>
        <v>9.3449467954758364E-2</v>
      </c>
      <c r="F49" s="8"/>
      <c r="G49" s="8"/>
      <c r="H49" s="8"/>
      <c r="I49" s="8"/>
    </row>
    <row r="50" spans="4:41" x14ac:dyDescent="0.25">
      <c r="H50"/>
      <c r="Z50" s="24" t="s">
        <v>57</v>
      </c>
      <c r="AA50" s="15">
        <f>(1+AA48)^(1/AI23)-1</f>
        <v>2.2511731894018228E-2</v>
      </c>
      <c r="AN50" s="24" t="s">
        <v>57</v>
      </c>
      <c r="AO50" s="15">
        <f>(1+AO48)^(1/15)-1</f>
        <v>1.7245378732861916E-2</v>
      </c>
    </row>
    <row r="51" spans="4:41" x14ac:dyDescent="0.25">
      <c r="D51" s="24" t="s">
        <v>57</v>
      </c>
      <c r="E51" s="15">
        <f>(1+E49)^(1/I24)-1</f>
        <v>2.25856157295099E-2</v>
      </c>
      <c r="H51"/>
      <c r="Z51" s="24" t="s">
        <v>56</v>
      </c>
      <c r="AA51" s="15">
        <f>(1+AA50)^30-1</f>
        <v>0.95006455687878333</v>
      </c>
      <c r="AN51" s="24" t="s">
        <v>56</v>
      </c>
      <c r="AO51" s="15">
        <f>(1+AO50)^30-1</f>
        <v>0.67021264326308216</v>
      </c>
    </row>
    <row r="52" spans="4:41" x14ac:dyDescent="0.25">
      <c r="D52" s="24" t="s">
        <v>56</v>
      </c>
      <c r="E52" s="15">
        <f>(1+E51)^30-1</f>
        <v>0.95429617499989794</v>
      </c>
      <c r="F52" s="15"/>
      <c r="H52"/>
      <c r="Z52" s="24" t="s">
        <v>58</v>
      </c>
      <c r="AA52" s="15">
        <f>(1+AA50)^365-1</f>
        <v>3379.0985689125932</v>
      </c>
      <c r="AN52" s="24" t="s">
        <v>58</v>
      </c>
      <c r="AO52" s="15">
        <f>(1+AO50)^365-1</f>
        <v>512.32194444744198</v>
      </c>
    </row>
    <row r="53" spans="4:41" x14ac:dyDescent="0.25">
      <c r="D53" s="24" t="s">
        <v>58</v>
      </c>
      <c r="E53" s="15">
        <f>(1+E51)^365-1</f>
        <v>3469.4275406888569</v>
      </c>
      <c r="H53"/>
    </row>
    <row r="54" spans="4:41" x14ac:dyDescent="0.25">
      <c r="H54"/>
    </row>
    <row r="55" spans="4:41" x14ac:dyDescent="0.25">
      <c r="H55"/>
    </row>
    <row r="56" spans="4:41" x14ac:dyDescent="0.25">
      <c r="H56"/>
    </row>
    <row r="58" spans="4:41" x14ac:dyDescent="0.25">
      <c r="P58" s="32"/>
    </row>
  </sheetData>
  <mergeCells count="4">
    <mergeCell ref="AM25:AM26"/>
    <mergeCell ref="AM27:AM28"/>
    <mergeCell ref="Y25:Y26"/>
    <mergeCell ref="Y27:Y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8221-65C8-4DE3-800E-E0D1B260F341}">
  <dimension ref="E14:K17"/>
  <sheetViews>
    <sheetView showGridLines="0" zoomScaleNormal="100" workbookViewId="0">
      <selection activeCell="A16" sqref="A16"/>
    </sheetView>
  </sheetViews>
  <sheetFormatPr defaultRowHeight="15" x14ac:dyDescent="0.25"/>
  <cols>
    <col min="3" max="3" width="12" bestFit="1" customWidth="1"/>
    <col min="6" max="6" width="12" bestFit="1" customWidth="1"/>
    <col min="9" max="9" width="12.28515625" bestFit="1" customWidth="1"/>
    <col min="11" max="11" width="12.28515625" bestFit="1" customWidth="1"/>
  </cols>
  <sheetData>
    <row r="14" spans="5:11" ht="15.75" thickBot="1" x14ac:dyDescent="0.3">
      <c r="E14" s="44"/>
      <c r="F14" s="44"/>
      <c r="G14" s="44"/>
      <c r="H14" s="44"/>
      <c r="I14" s="44"/>
      <c r="J14" s="44"/>
      <c r="K14" s="44"/>
    </row>
    <row r="16" spans="5:11" ht="18.75" x14ac:dyDescent="0.3">
      <c r="E16" s="42" t="s">
        <v>407</v>
      </c>
      <c r="F16" s="43"/>
      <c r="G16" s="43"/>
      <c r="H16" s="45" t="s">
        <v>408</v>
      </c>
      <c r="I16" s="46">
        <f>SUMPRODUCT(df_mep!C:C,df_mep!I:I,df_mep!N:N,df_mep!R:R)/SUMPRODUCT(df_mep!C:C,df_mep!I:I,df_mep!R:R)</f>
        <v>839.29994968422625</v>
      </c>
      <c r="J16" s="45" t="s">
        <v>409</v>
      </c>
      <c r="K16" s="46">
        <f>SUMPRODUCT(df_mep!C:C,df_mep!I:I,df_mep!O:O,df_mep!R:R)/SUMPRODUCT(df_mep!C:C,df_mep!I:I,df_mep!R:R)</f>
        <v>857.4349800488784</v>
      </c>
    </row>
    <row r="17" spans="5:11" ht="15.75" thickBot="1" x14ac:dyDescent="0.3">
      <c r="E17" s="44"/>
      <c r="F17" s="44"/>
      <c r="G17" s="44"/>
      <c r="H17" s="44"/>
      <c r="I17" s="44"/>
      <c r="J17" s="44"/>
      <c r="K17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92C3-B893-4B87-B562-6AFB17057EB2}">
  <dimension ref="B3:M19"/>
  <sheetViews>
    <sheetView tabSelected="1" zoomScale="130" zoomScaleNormal="130" workbookViewId="0">
      <selection activeCell="L5" sqref="L5"/>
    </sheetView>
  </sheetViews>
  <sheetFormatPr defaultRowHeight="15" x14ac:dyDescent="0.25"/>
  <cols>
    <col min="3" max="3" width="10.28515625" bestFit="1" customWidth="1"/>
    <col min="4" max="4" width="8.140625" bestFit="1" customWidth="1"/>
    <col min="5" max="5" width="9.5703125" bestFit="1" customWidth="1"/>
    <col min="6" max="6" width="3.7109375" bestFit="1" customWidth="1"/>
    <col min="7" max="7" width="7" bestFit="1" customWidth="1"/>
    <col min="8" max="8" width="7" customWidth="1"/>
    <col min="9" max="9" width="7.28515625" bestFit="1" customWidth="1"/>
    <col min="10" max="10" width="10" bestFit="1" customWidth="1"/>
    <col min="11" max="11" width="8.28515625" bestFit="1" customWidth="1"/>
    <col min="12" max="12" width="14" bestFit="1" customWidth="1"/>
    <col min="13" max="13" width="12" bestFit="1" customWidth="1"/>
  </cols>
  <sheetData>
    <row r="3" spans="2:13" x14ac:dyDescent="0.25">
      <c r="C3" s="48" t="s">
        <v>424</v>
      </c>
      <c r="D3" s="48" t="s">
        <v>422</v>
      </c>
      <c r="E3" s="48" t="s">
        <v>428</v>
      </c>
      <c r="F3" s="48" t="s">
        <v>421</v>
      </c>
      <c r="G3" s="48" t="s">
        <v>419</v>
      </c>
      <c r="H3" s="48" t="s">
        <v>430</v>
      </c>
      <c r="I3" s="48" t="s">
        <v>420</v>
      </c>
      <c r="J3" s="48" t="s">
        <v>22</v>
      </c>
      <c r="K3" s="48" t="s">
        <v>425</v>
      </c>
      <c r="L3" s="48" t="s">
        <v>423</v>
      </c>
      <c r="M3" s="48" t="s">
        <v>6</v>
      </c>
    </row>
    <row r="4" spans="2:13" x14ac:dyDescent="0.25">
      <c r="C4" t="s">
        <v>13</v>
      </c>
      <c r="D4" t="str">
        <f>_xlfn.CONCAT(C4,"D")</f>
        <v>KOD</v>
      </c>
      <c r="E4">
        <v>2</v>
      </c>
      <c r="F4">
        <v>1</v>
      </c>
      <c r="G4" s="47">
        <v>45196</v>
      </c>
      <c r="H4" s="57">
        <v>0.50069444444444444</v>
      </c>
      <c r="I4" s="47">
        <f>WORKDAY(G4,E4)</f>
        <v>45198</v>
      </c>
      <c r="J4" s="6">
        <v>11.9</v>
      </c>
      <c r="K4" t="s">
        <v>427</v>
      </c>
      <c r="L4" s="6">
        <f>-J4*F4</f>
        <v>-11.9</v>
      </c>
      <c r="M4" s="2"/>
    </row>
    <row r="5" spans="2:13" x14ac:dyDescent="0.25">
      <c r="B5" s="47"/>
      <c r="C5" s="49" t="str">
        <f>C4</f>
        <v>KO</v>
      </c>
      <c r="D5" s="50" t="str">
        <f>C4</f>
        <v>KO</v>
      </c>
      <c r="E5" s="50">
        <v>2</v>
      </c>
      <c r="F5" s="50">
        <f>-F4</f>
        <v>-1</v>
      </c>
      <c r="G5" s="49">
        <f>I4</f>
        <v>45198</v>
      </c>
      <c r="H5" s="58">
        <v>0.50069444444444444</v>
      </c>
      <c r="I5" s="49">
        <f>WORKDAY(G5,E5)</f>
        <v>45202</v>
      </c>
      <c r="J5" s="53">
        <v>8821.4500000000007</v>
      </c>
      <c r="K5" s="50" t="s">
        <v>426</v>
      </c>
      <c r="L5" s="53">
        <f>-J5*F5</f>
        <v>8821.4500000000007</v>
      </c>
      <c r="M5" s="52">
        <f>-L5/L4</f>
        <v>741.29831932773118</v>
      </c>
    </row>
    <row r="6" spans="2:13" x14ac:dyDescent="0.25">
      <c r="C6" t="s">
        <v>19</v>
      </c>
      <c r="D6" t="str">
        <f>_xlfn.CONCAT(C6,"D")</f>
        <v>VISTD</v>
      </c>
      <c r="E6">
        <v>2</v>
      </c>
      <c r="F6">
        <v>1</v>
      </c>
      <c r="G6" s="47">
        <v>45196</v>
      </c>
      <c r="H6" s="57">
        <v>0.50069444444444444</v>
      </c>
      <c r="I6" s="47">
        <f>WORKDAY(G6,E6)</f>
        <v>45198</v>
      </c>
      <c r="J6" s="6">
        <v>32.04</v>
      </c>
      <c r="K6" t="s">
        <v>427</v>
      </c>
      <c r="L6" s="6">
        <f t="shared" ref="L6:L17" si="0">-J6*F6</f>
        <v>-32.04</v>
      </c>
      <c r="M6" s="2"/>
    </row>
    <row r="7" spans="2:13" x14ac:dyDescent="0.25">
      <c r="C7" s="49" t="str">
        <f>C6</f>
        <v>VIST</v>
      </c>
      <c r="D7" s="50" t="str">
        <f>C6</f>
        <v>VIST</v>
      </c>
      <c r="E7" s="50">
        <v>2</v>
      </c>
      <c r="F7" s="50">
        <f>-F6</f>
        <v>-1</v>
      </c>
      <c r="G7" s="49">
        <f>I6</f>
        <v>45198</v>
      </c>
      <c r="H7" s="58">
        <v>0.50069444444444444</v>
      </c>
      <c r="I7" s="49">
        <f>WORKDAY(G7,E7)</f>
        <v>45202</v>
      </c>
      <c r="J7" s="53">
        <v>24572.19</v>
      </c>
      <c r="K7" s="50" t="s">
        <v>427</v>
      </c>
      <c r="L7" s="53">
        <f t="shared" si="0"/>
        <v>24572.19</v>
      </c>
      <c r="M7" s="52">
        <f>-L7/L6</f>
        <v>766.92228464419475</v>
      </c>
    </row>
    <row r="8" spans="2:13" x14ac:dyDescent="0.25">
      <c r="C8" t="s">
        <v>26</v>
      </c>
      <c r="D8" t="str">
        <f>C8</f>
        <v>NKE</v>
      </c>
      <c r="E8">
        <v>2</v>
      </c>
      <c r="F8">
        <v>2</v>
      </c>
      <c r="G8" s="47">
        <v>45197</v>
      </c>
      <c r="H8" s="57">
        <v>0.50069444444444444</v>
      </c>
      <c r="I8" s="47">
        <f>WORKDAY(G8,E8)</f>
        <v>45201</v>
      </c>
      <c r="J8" s="4">
        <v>6015.82</v>
      </c>
      <c r="K8" t="s">
        <v>426</v>
      </c>
      <c r="L8" s="4">
        <f t="shared" si="0"/>
        <v>-12031.64</v>
      </c>
      <c r="M8" s="2">
        <f>-L8/L9</f>
        <v>691.47356321839084</v>
      </c>
    </row>
    <row r="9" spans="2:13" x14ac:dyDescent="0.25">
      <c r="C9" s="49" t="str">
        <f>C8</f>
        <v>NKE</v>
      </c>
      <c r="D9" s="50" t="str">
        <f>_xlfn.CONCAT(C8,"D")</f>
        <v>NKED</v>
      </c>
      <c r="E9" s="50">
        <v>2</v>
      </c>
      <c r="F9" s="50">
        <f>-F8</f>
        <v>-2</v>
      </c>
      <c r="G9" s="49">
        <f>I8</f>
        <v>45201</v>
      </c>
      <c r="H9" s="58">
        <v>0.50069444444444444</v>
      </c>
      <c r="I9" s="49">
        <f>WORKDAY(G9,E9)</f>
        <v>45203</v>
      </c>
      <c r="J9" s="54">
        <v>8.6999999999999993</v>
      </c>
      <c r="K9" s="50" t="s">
        <v>427</v>
      </c>
      <c r="L9" s="54">
        <f t="shared" si="0"/>
        <v>17.399999999999999</v>
      </c>
      <c r="M9" s="52"/>
    </row>
    <row r="10" spans="2:13" x14ac:dyDescent="0.25">
      <c r="C10" t="s">
        <v>74</v>
      </c>
      <c r="D10" t="str">
        <f>C10</f>
        <v>WBA</v>
      </c>
      <c r="E10">
        <v>2</v>
      </c>
      <c r="F10">
        <v>6</v>
      </c>
      <c r="G10" s="47">
        <v>45198</v>
      </c>
      <c r="H10" s="57">
        <v>0.50069444444444444</v>
      </c>
      <c r="I10" s="47">
        <f>WORKDAY(G10,E10)</f>
        <v>45202</v>
      </c>
      <c r="J10" s="4">
        <v>6089.89</v>
      </c>
      <c r="K10" t="s">
        <v>426</v>
      </c>
      <c r="L10" s="4">
        <f t="shared" si="0"/>
        <v>-36539.340000000004</v>
      </c>
      <c r="M10" s="2">
        <f>-L10/SUM(L11:L12)</f>
        <v>755.72574974146846</v>
      </c>
    </row>
    <row r="11" spans="2:13" x14ac:dyDescent="0.25">
      <c r="C11" s="51" t="str">
        <f>C10</f>
        <v>WBA</v>
      </c>
      <c r="D11" s="43" t="str">
        <f>_xlfn.CONCAT(C10,"D")</f>
        <v>WBAD</v>
      </c>
      <c r="E11" s="43">
        <v>2</v>
      </c>
      <c r="F11" s="43">
        <v>-1</v>
      </c>
      <c r="G11" s="51">
        <v>45203</v>
      </c>
      <c r="H11" s="57">
        <v>0.50069444444444444</v>
      </c>
      <c r="I11" s="51">
        <f>WORKDAY(G11,E11)</f>
        <v>45205</v>
      </c>
      <c r="J11" s="55">
        <v>8.35</v>
      </c>
      <c r="K11" s="43" t="s">
        <v>427</v>
      </c>
      <c r="L11" s="55">
        <f t="shared" si="0"/>
        <v>8.35</v>
      </c>
      <c r="M11" s="56"/>
    </row>
    <row r="12" spans="2:13" x14ac:dyDescent="0.25">
      <c r="C12" s="49" t="str">
        <f>C11</f>
        <v>WBA</v>
      </c>
      <c r="D12" s="50" t="str">
        <f>_xlfn.CONCAT(C11,"D")</f>
        <v>WBAD</v>
      </c>
      <c r="E12" s="50">
        <v>2</v>
      </c>
      <c r="F12" s="50">
        <f>-(F10+F11)</f>
        <v>-5</v>
      </c>
      <c r="G12" s="49">
        <v>45203</v>
      </c>
      <c r="H12" s="58">
        <v>0.50069444444444444</v>
      </c>
      <c r="I12" s="49">
        <f>WORKDAY(G12,E12)</f>
        <v>45205</v>
      </c>
      <c r="J12" s="54">
        <v>8</v>
      </c>
      <c r="K12" s="50" t="s">
        <v>427</v>
      </c>
      <c r="L12" s="54">
        <f t="shared" si="0"/>
        <v>40</v>
      </c>
      <c r="M12" s="52"/>
    </row>
    <row r="13" spans="2:13" x14ac:dyDescent="0.25">
      <c r="C13" t="s">
        <v>26</v>
      </c>
      <c r="D13" t="str">
        <f>C13</f>
        <v>NKE</v>
      </c>
      <c r="E13">
        <v>0</v>
      </c>
      <c r="F13">
        <v>26</v>
      </c>
      <c r="G13" s="47">
        <v>45201</v>
      </c>
      <c r="H13" s="57">
        <v>0.50069444444444444</v>
      </c>
      <c r="I13" s="47">
        <f>WORKDAY(G13,E13)</f>
        <v>45201</v>
      </c>
      <c r="J13" s="4">
        <v>6506.29</v>
      </c>
      <c r="K13" t="s">
        <v>426</v>
      </c>
      <c r="L13" s="4">
        <f t="shared" si="0"/>
        <v>-169163.54</v>
      </c>
      <c r="M13" s="2">
        <f>-L13/SUM(L14:L15)</f>
        <v>772.33045701502067</v>
      </c>
    </row>
    <row r="14" spans="2:13" x14ac:dyDescent="0.25">
      <c r="C14" s="47" t="str">
        <f>C13</f>
        <v>NKE</v>
      </c>
      <c r="D14" t="str">
        <f>_xlfn.CONCAT(C13,"D")</f>
        <v>NKED</v>
      </c>
      <c r="E14">
        <v>2</v>
      </c>
      <c r="F14">
        <v>-17</v>
      </c>
      <c r="G14" s="47">
        <f>I13</f>
        <v>45201</v>
      </c>
      <c r="H14" s="57">
        <v>0.50069444444444444</v>
      </c>
      <c r="I14" s="47">
        <f>WORKDAY(G14,E14)</f>
        <v>45203</v>
      </c>
      <c r="J14" s="4">
        <v>8.49</v>
      </c>
      <c r="K14" t="s">
        <v>427</v>
      </c>
      <c r="L14" s="4">
        <f t="shared" si="0"/>
        <v>144.33000000000001</v>
      </c>
      <c r="M14" s="2"/>
    </row>
    <row r="15" spans="2:13" x14ac:dyDescent="0.25">
      <c r="C15" s="49" t="str">
        <f>C14</f>
        <v>NKE</v>
      </c>
      <c r="D15" s="50" t="str">
        <f>_xlfn.CONCAT(C14,"D")</f>
        <v>NKED</v>
      </c>
      <c r="E15" s="50">
        <v>2</v>
      </c>
      <c r="F15" s="50">
        <f>-(F13+F14)</f>
        <v>-9</v>
      </c>
      <c r="G15" s="49">
        <v>45203</v>
      </c>
      <c r="H15" s="58">
        <v>0.50069444444444444</v>
      </c>
      <c r="I15" s="49">
        <f>WORKDAY(G15,E15)</f>
        <v>45205</v>
      </c>
      <c r="J15" s="54">
        <v>8.3000000000000007</v>
      </c>
      <c r="K15" s="50" t="s">
        <v>427</v>
      </c>
      <c r="L15" s="54">
        <f t="shared" si="0"/>
        <v>74.7</v>
      </c>
      <c r="M15" s="52"/>
    </row>
    <row r="16" spans="2:13" x14ac:dyDescent="0.25">
      <c r="C16" t="s">
        <v>17</v>
      </c>
      <c r="D16" t="str">
        <f>C16</f>
        <v>PYPL</v>
      </c>
      <c r="E16">
        <v>2</v>
      </c>
      <c r="F16">
        <v>16</v>
      </c>
      <c r="G16" s="47">
        <v>45197</v>
      </c>
      <c r="H16" s="57">
        <v>0.50069444444444444</v>
      </c>
      <c r="I16" s="47">
        <f>WORKDAY(G16,E16)</f>
        <v>45201</v>
      </c>
      <c r="J16" s="4">
        <v>6085.89</v>
      </c>
      <c r="K16" t="s">
        <v>426</v>
      </c>
      <c r="L16" s="4">
        <f t="shared" si="0"/>
        <v>-97374.24</v>
      </c>
      <c r="M16" s="2">
        <f>-L16/L17</f>
        <v>791.40312093628086</v>
      </c>
    </row>
    <row r="17" spans="3:13" x14ac:dyDescent="0.25">
      <c r="C17" s="49" t="str">
        <f>C16</f>
        <v>PYPL</v>
      </c>
      <c r="D17" s="50" t="str">
        <f>_xlfn.CONCAT(C16,"D")</f>
        <v>PYPLD</v>
      </c>
      <c r="E17" s="50">
        <v>2</v>
      </c>
      <c r="F17" s="50">
        <f>-F16</f>
        <v>-16</v>
      </c>
      <c r="G17" s="49">
        <v>45203</v>
      </c>
      <c r="H17" s="58">
        <v>0.50069444444444444</v>
      </c>
      <c r="I17" s="49">
        <f>WORKDAY(G17,E17)</f>
        <v>45205</v>
      </c>
      <c r="J17" s="54">
        <v>7.69</v>
      </c>
      <c r="K17" s="50" t="s">
        <v>427</v>
      </c>
      <c r="L17" s="54">
        <f t="shared" si="0"/>
        <v>123.04</v>
      </c>
      <c r="M17" s="52"/>
    </row>
    <row r="18" spans="3:13" x14ac:dyDescent="0.25">
      <c r="C18" t="s">
        <v>73</v>
      </c>
      <c r="D18" t="str">
        <f>C18</f>
        <v>VZ</v>
      </c>
      <c r="E18">
        <v>3</v>
      </c>
      <c r="F18">
        <v>2</v>
      </c>
      <c r="G18" s="47">
        <v>45203</v>
      </c>
      <c r="H18" s="57">
        <v>0.62083333333333335</v>
      </c>
      <c r="I18" s="47">
        <f>WORKDAY(G18,E18)</f>
        <v>45208</v>
      </c>
      <c r="J18" s="4">
        <v>14095.5</v>
      </c>
      <c r="K18" t="s">
        <v>426</v>
      </c>
      <c r="L18" s="4">
        <f t="shared" ref="L18:L19" si="1">-J18*F18</f>
        <v>-28191</v>
      </c>
      <c r="M18" s="2">
        <f>-L18/L19</f>
        <v>783.08333333333337</v>
      </c>
    </row>
    <row r="19" spans="3:13" x14ac:dyDescent="0.25">
      <c r="C19" s="49" t="str">
        <f>C18</f>
        <v>VZ</v>
      </c>
      <c r="D19" s="50" t="str">
        <f>_xlfn.CONCAT(C18,"D")</f>
        <v>VZD</v>
      </c>
      <c r="E19" s="50">
        <v>2</v>
      </c>
      <c r="F19" s="50">
        <f>-F18</f>
        <v>-2</v>
      </c>
      <c r="G19" s="49">
        <f>I18</f>
        <v>45208</v>
      </c>
      <c r="H19" s="58">
        <f>H18</f>
        <v>0.62083333333333335</v>
      </c>
      <c r="I19" s="49">
        <f>WORKDAY(G19,E19)</f>
        <v>45210</v>
      </c>
      <c r="J19" s="54">
        <v>18</v>
      </c>
      <c r="K19" s="50" t="s">
        <v>427</v>
      </c>
      <c r="L19" s="54">
        <f t="shared" si="1"/>
        <v>36</v>
      </c>
      <c r="M19" s="52"/>
    </row>
  </sheetData>
  <pageMargins left="0.7" right="0.7" top="0.75" bottom="0.75" header="0.3" footer="0.3"/>
  <ignoredErrors>
    <ignoredError sqref="D5:D6 D9:D10 D13 D16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5 f 2 b 7 d c - 9 d a 9 - 4 8 c 8 - a b 7 0 - 4 0 b e 6 d 9 a 8 9 a 5 "   x m l n s = " h t t p : / / s c h e m a s . m i c r o s o f t . c o m / D a t a M a s h u p " > A A A A A I M E A A B Q S w M E F A A C A A g A Z n N E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Z n N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z R F f a L g Z A f Q E A A A 8 D A A A T A B w A R m 9 y b X V s Y X M v U 2 V j d G l v b j E u b S C i G A A o o B Q A A A A A A A A A A A A A A A A A A A A A A A A A A A B 9 k U F P 4 z A Q h e + V + h + s c G k l K 1 J h l w M o h 2 5 S x B 4 W A S k n s o o c Z 9 p G 2 J 7 I Y 1 d U F f 8 d p y k C s e n 6 E v t 9 z y / z E g L p G j Q s 7 5 + z 6 / F o P K K N s F C z e l V q a F n C F L j x i I W V o 7 c S g p L S N s 5 Q e g 3 G T W 4 a B X G K x o U D T a L 0 q n g i s F S s o A b b S I y 1 t + 1 m V 3 x c o C J 3 K F / Y 4 l V u h F l D 0 X q l S m H X J X V 6 U Q s n C v S u 9 c H a D x F L 2 k Z T / p y B a n T j w C Y R j z h L U X l t K J l d c L Y w E u v G r J P Z + c 9 z z h 4 8 O s j d T k H y u Y 3 v 0 M D f K e / b n E X 3 F n V g N b s F E W a l K F R b i i o Y j + S o T / r i n D 0 f 9 b l S u R R K W E q c 9 V 8 j 0 0 O l m i 1 3 L X z G L a 0 w t E K r + 4 k 7 S J O B 9 / P 9 P q o E Q U k 7 X a E K F V 2 w M g e v 7 o 2 z f U Q b t O 5 O a P i H Y A u m / D X / 0 I 3 X F d g D q Z p 6 G A h 6 G Q a H r O x 0 2 g n U 5 Z 1 A 2 6 4 2 9 O y 3 c Z c / 4 u 4 T f E X Z I P y z u B 9 I C 2 o p U b d W l P P H / P + G p z z 7 Z n i b j k e N G f x f 1 + 9 Q S w E C L Q A U A A I A C A B m c 0 R X r 9 r s P a Q A A A D 2 A A A A E g A A A A A A A A A A A A A A A A A A A A A A Q 2 9 u Z m l n L 1 B h Y 2 t h Z 2 U u e G 1 s U E s B A i 0 A F A A C A A g A Z n N E V w / K 6 a u k A A A A 6 Q A A A B M A A A A A A A A A A A A A A A A A 8 A A A A F t D b 2 5 0 Z W 5 0 X 1 R 5 c G V z X S 5 4 b W x Q S w E C L Q A U A A I A C A B m c 0 R X 2 i 4 G Q H 0 B A A A P A w A A E w A A A A A A A A A A A A A A A A D h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E A A A A A A A A F k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l 9 t Z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Z G Z f b W V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R m X 2 1 l c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I z I i A v P j x F b n R y e S B U e X B l P S J G a W x s T G F z d F V w Z G F 0 Z W Q i I F Z h b H V l P S J k M j A y M y 0 x M C 0 w N F Q x N z o y N z o x M y 4 1 N T M 2 N z c 3 W i I g L z 4 8 R W 5 0 c n k g V H l w Z T 0 i R m l s b E N v b H V t b l R 5 c G V z I i B W Y W x 1 Z T 0 i c 0 J n W U Z C U V V G Q l F V R E F 3 V U Z C U T 0 9 I i A v P j x F b n R y e S B U e X B l P S J G a W x s Q 2 9 s d W 1 u T m F t Z X M i I F Z h b H V l P S J z W y Z x d W 9 0 O 2 J h c 2 V f c 3 l t Y m 9 s J n F 1 b 3 Q 7 L C Z x d W 9 0 O 3 N o b 3 J 0 T m F t Z S Z x d W 9 0 O y w m c X V v d D t v c G V u X 0 J B J n F 1 b 3 Q 7 L C Z x d W 9 0 O 2 J p Z F 9 C Q S Z x d W 9 0 O y w m c X V v d D t h c 2 t f Q k E m c X V v d D s s J n F 1 b 3 Q 7 b 3 B l b l 9 E X 0 J B J n F 1 b 3 Q 7 L C Z x d W 9 0 O 2 J p Z F 9 E X 0 J B J n F 1 b 3 Q 7 L C Z x d W 9 0 O 2 F z a 1 9 E X 0 J B J n F 1 b 3 Q 7 L C Z x d W 9 0 O 3 Z v b H V t Z V 9 C Q S Z x d W 9 0 O y w m c X V v d D t 2 b 2 x 1 b W V f R F 9 C Q S Z x d W 9 0 O y w m c X V v d D t N R V A m c X V v d D s s J n F 1 b 3 Q 7 T U V Q X 2 N v b X B y Y V 9 B U l M m c X V v d D s s J n F 1 b 3 Q 7 T U V Q X 2 N v b X B y Y V 9 V U 0 Q m c X V v d D t d I i A v P j x F b n R y e S B U e X B l P S J R d W V y e U l E I i B W Y W x 1 Z T 0 i c 2 Y 0 M z E 5 M G U z L T J h Z D k t N D M 3 M S 1 i Z G Q w L T U x M T c x Z T U x M T Q z Z S I g L z 4 8 R W 5 0 c n k g V H l w Z T 0 i R m l s b E N v d W 5 0 I i B W Y W x 1 Z T 0 i b D I z O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Z f b W V w L 0 F 1 d G 9 S Z W 1 v d m V k Q 2 9 s d W 1 u c z E u e 2 J h c 2 V f c 3 l t Y m 9 s L D B 9 J n F 1 b 3 Q 7 L C Z x d W 9 0 O 1 N l Y 3 R p b 2 4 x L 2 R m X 2 1 l c C 9 B d X R v U m V t b 3 Z l Z E N v b H V t b n M x L n t z a G 9 y d E 5 h b W U s M X 0 m c X V v d D s s J n F 1 b 3 Q 7 U 2 V j d G l v b j E v Z G Z f b W V w L 0 F 1 d G 9 S Z W 1 v d m V k Q 2 9 s d W 1 u c z E u e 2 9 w Z W 5 f Q k E s M n 0 m c X V v d D s s J n F 1 b 3 Q 7 U 2 V j d G l v b j E v Z G Z f b W V w L 0 F 1 d G 9 S Z W 1 v d m V k Q 2 9 s d W 1 u c z E u e 2 J p Z F 9 C Q S w z f S Z x d W 9 0 O y w m c X V v d D t T Z W N 0 a W 9 u M S 9 k Z l 9 t Z X A v Q X V 0 b 1 J l b W 9 2 Z W R D b 2 x 1 b W 5 z M S 5 7 Y X N r X 0 J B L D R 9 J n F 1 b 3 Q 7 L C Z x d W 9 0 O 1 N l Y 3 R p b 2 4 x L 2 R m X 2 1 l c C 9 B d X R v U m V t b 3 Z l Z E N v b H V t b n M x L n t v c G V u X 0 R f Q k E s N X 0 m c X V v d D s s J n F 1 b 3 Q 7 U 2 V j d G l v b j E v Z G Z f b W V w L 0 F 1 d G 9 S Z W 1 v d m V k Q 2 9 s d W 1 u c z E u e 2 J p Z F 9 E X 0 J B L D Z 9 J n F 1 b 3 Q 7 L C Z x d W 9 0 O 1 N l Y 3 R p b 2 4 x L 2 R m X 2 1 l c C 9 B d X R v U m V t b 3 Z l Z E N v b H V t b n M x L n t h c 2 t f R F 9 C Q S w 3 f S Z x d W 9 0 O y w m c X V v d D t T Z W N 0 a W 9 u M S 9 k Z l 9 t Z X A v Q X V 0 b 1 J l b W 9 2 Z W R D b 2 x 1 b W 5 z M S 5 7 d m 9 s d W 1 l X 0 J B L D h 9 J n F 1 b 3 Q 7 L C Z x d W 9 0 O 1 N l Y 3 R p b 2 4 x L 2 R m X 2 1 l c C 9 B d X R v U m V t b 3 Z l Z E N v b H V t b n M x L n t 2 b 2 x 1 b W V f R F 9 C Q S w 5 f S Z x d W 9 0 O y w m c X V v d D t T Z W N 0 a W 9 u M S 9 k Z l 9 t Z X A v Q X V 0 b 1 J l b W 9 2 Z W R D b 2 x 1 b W 5 z M S 5 7 T U V Q L D E w f S Z x d W 9 0 O y w m c X V v d D t T Z W N 0 a W 9 u M S 9 k Z l 9 t Z X A v Q X V 0 b 1 J l b W 9 2 Z W R D b 2 x 1 b W 5 z M S 5 7 T U V Q X 2 N v b X B y Y V 9 B U l M s M T F 9 J n F 1 b 3 Q 7 L C Z x d W 9 0 O 1 N l Y 3 R p b 2 4 x L 2 R m X 2 1 l c C 9 B d X R v U m V t b 3 Z l Z E N v b H V t b n M x L n t N R V B f Y 2 9 t c H J h X 1 V T R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R m X 2 1 l c C 9 B d X R v U m V t b 3 Z l Z E N v b H V t b n M x L n t i Y X N l X 3 N 5 b W J v b C w w f S Z x d W 9 0 O y w m c X V v d D t T Z W N 0 a W 9 u M S 9 k Z l 9 t Z X A v Q X V 0 b 1 J l b W 9 2 Z W R D b 2 x 1 b W 5 z M S 5 7 c 2 h v c n R O Y W 1 l L D F 9 J n F 1 b 3 Q 7 L C Z x d W 9 0 O 1 N l Y 3 R p b 2 4 x L 2 R m X 2 1 l c C 9 B d X R v U m V t b 3 Z l Z E N v b H V t b n M x L n t v c G V u X 0 J B L D J 9 J n F 1 b 3 Q 7 L C Z x d W 9 0 O 1 N l Y 3 R p b 2 4 x L 2 R m X 2 1 l c C 9 B d X R v U m V t b 3 Z l Z E N v b H V t b n M x L n t i a W R f Q k E s M 3 0 m c X V v d D s s J n F 1 b 3 Q 7 U 2 V j d G l v b j E v Z G Z f b W V w L 0 F 1 d G 9 S Z W 1 v d m V k Q 2 9 s d W 1 u c z E u e 2 F z a 1 9 C Q S w 0 f S Z x d W 9 0 O y w m c X V v d D t T Z W N 0 a W 9 u M S 9 k Z l 9 t Z X A v Q X V 0 b 1 J l b W 9 2 Z W R D b 2 x 1 b W 5 z M S 5 7 b 3 B l b l 9 E X 0 J B L D V 9 J n F 1 b 3 Q 7 L C Z x d W 9 0 O 1 N l Y 3 R p b 2 4 x L 2 R m X 2 1 l c C 9 B d X R v U m V t b 3 Z l Z E N v b H V t b n M x L n t i a W R f R F 9 C Q S w 2 f S Z x d W 9 0 O y w m c X V v d D t T Z W N 0 a W 9 u M S 9 k Z l 9 t Z X A v Q X V 0 b 1 J l b W 9 2 Z W R D b 2 x 1 b W 5 z M S 5 7 Y X N r X 0 R f Q k E s N 3 0 m c X V v d D s s J n F 1 b 3 Q 7 U 2 V j d G l v b j E v Z G Z f b W V w L 0 F 1 d G 9 S Z W 1 v d m V k Q 2 9 s d W 1 u c z E u e 3 Z v b H V t Z V 9 C Q S w 4 f S Z x d W 9 0 O y w m c X V v d D t T Z W N 0 a W 9 u M S 9 k Z l 9 t Z X A v Q X V 0 b 1 J l b W 9 2 Z W R D b 2 x 1 b W 5 z M S 5 7 d m 9 s d W 1 l X 0 R f Q k E s O X 0 m c X V v d D s s J n F 1 b 3 Q 7 U 2 V j d G l v b j E v Z G Z f b W V w L 0 F 1 d G 9 S Z W 1 v d m V k Q 2 9 s d W 1 u c z E u e 0 1 F U C w x M H 0 m c X V v d D s s J n F 1 b 3 Q 7 U 2 V j d G l v b j E v Z G Z f b W V w L 0 F 1 d G 9 S Z W 1 v d m V k Q 2 9 s d W 1 u c z E u e 0 1 F U F 9 j b 2 1 w c m F f Q V J T L D E x f S Z x d W 9 0 O y w m c X V v d D t T Z W N 0 a W 9 u M S 9 k Z l 9 t Z X A v Q X V 0 b 1 J l b W 9 2 Z W R D b 2 x 1 b W 5 z M S 5 7 T U V Q X 2 N v b X B y Y V 9 V U 0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l 9 t Z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b W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1 l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K D d F d k M 0 K T r d Q r h v k 8 s 8 g A A A A A A I A A A A A A A N m A A D A A A A A E A A A A L 4 C A d 2 o M C R z 8 B W 3 G z x V s v c A A A A A B I A A A K A A A A A Q A A A A I A c 6 L C v c E P U J J x P a d 1 v K w F A A A A A Y s N L C u S t 9 5 a 0 M u E c V L 4 j l 7 z g a T G g i y 1 I E L D h z a h 2 Q y X J G U o i 1 A p g h h r c A r P t g Z g P 1 o O A C G h S P I Y M T q e p f G D L 4 a 4 + l C S 2 h j U M 2 i X i I q x e 4 f x Q A A A C b 4 d W g R q s 0 c + v b h S x w N M a W N r f M r g = = < / D a t a M a s h u p > 
</file>

<file path=customXml/itemProps1.xml><?xml version="1.0" encoding="utf-8"?>
<ds:datastoreItem xmlns:ds="http://schemas.openxmlformats.org/officeDocument/2006/customXml" ds:itemID="{D18F994A-750D-476F-B60F-27461DB45D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df_mep</vt:lpstr>
      <vt:lpstr>FF</vt:lpstr>
      <vt:lpstr>ccl</vt:lpstr>
      <vt:lpstr>FF 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Federico Ian</dc:creator>
  <cp:lastModifiedBy>Murphy, Federico Ian</cp:lastModifiedBy>
  <dcterms:created xsi:type="dcterms:W3CDTF">2015-06-05T18:17:20Z</dcterms:created>
  <dcterms:modified xsi:type="dcterms:W3CDTF">2023-10-04T17:56:33Z</dcterms:modified>
</cp:coreProperties>
</file>