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data\outputs\"/>
    </mc:Choice>
  </mc:AlternateContent>
  <xr:revisionPtr revIDLastSave="0" documentId="13_ncr:1_{B2FDFC68-5829-45EE-822C-F178CDBD44F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f_mep" sheetId="3" r:id="rId1"/>
    <sheet name="FF" sheetId="2" r:id="rId2"/>
    <sheet name="ccl" sheetId="6" r:id="rId3"/>
    <sheet name="FF real" sheetId="8" r:id="rId4"/>
  </sheets>
  <definedNames>
    <definedName name="_xlnm._FilterDatabase" localSheetId="3" hidden="1">'FF real'!$C$3:$M$17</definedName>
    <definedName name="ExternalData_1" localSheetId="0" hidden="1">df_mep!$A$1:$O$240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3" l="1"/>
  <c r="J34" i="3"/>
  <c r="J101" i="3"/>
  <c r="J102" i="3"/>
  <c r="J23" i="3"/>
  <c r="J93" i="3"/>
  <c r="J62" i="3"/>
  <c r="J38" i="3"/>
  <c r="J70" i="3"/>
  <c r="J60" i="3"/>
  <c r="J103" i="3"/>
  <c r="J79" i="3"/>
  <c r="J2" i="3"/>
  <c r="J42" i="3"/>
  <c r="J65" i="3"/>
  <c r="J61" i="3"/>
  <c r="J84" i="3"/>
  <c r="J19" i="3"/>
  <c r="J95" i="3"/>
  <c r="J64" i="3"/>
  <c r="J31" i="3"/>
  <c r="J48" i="3"/>
  <c r="J4" i="3"/>
  <c r="J58" i="3"/>
  <c r="J25" i="3"/>
  <c r="J97" i="3"/>
  <c r="J56" i="3"/>
  <c r="J73" i="3"/>
  <c r="J33" i="3"/>
  <c r="J8" i="3"/>
  <c r="J43" i="3"/>
  <c r="J68" i="3"/>
  <c r="J15" i="3"/>
  <c r="J51" i="3"/>
  <c r="J28" i="3"/>
  <c r="J21" i="3"/>
  <c r="J40" i="3"/>
  <c r="J14" i="3"/>
  <c r="J74" i="3"/>
  <c r="J88" i="3"/>
  <c r="J104" i="3"/>
  <c r="J105" i="3"/>
  <c r="J100" i="3"/>
  <c r="J18" i="3"/>
  <c r="J41" i="3"/>
  <c r="J80" i="3"/>
  <c r="J5" i="3"/>
  <c r="J76" i="3"/>
  <c r="J9" i="3"/>
  <c r="J99" i="3"/>
  <c r="J20" i="3"/>
  <c r="J32" i="3"/>
  <c r="J44" i="3"/>
  <c r="J106" i="3"/>
  <c r="J24" i="3"/>
  <c r="J81" i="3"/>
  <c r="J36" i="3"/>
  <c r="J77" i="3"/>
  <c r="J54" i="3"/>
  <c r="J78" i="3"/>
  <c r="J10" i="3"/>
  <c r="J52" i="3"/>
  <c r="J82" i="3"/>
  <c r="J67" i="3"/>
  <c r="J50" i="3"/>
  <c r="J98" i="3"/>
  <c r="J72" i="3"/>
  <c r="J37" i="3"/>
  <c r="J96" i="3"/>
  <c r="J27" i="3"/>
  <c r="J83" i="3"/>
  <c r="J85" i="3"/>
  <c r="J59" i="3"/>
  <c r="J55" i="3"/>
  <c r="J107" i="3"/>
  <c r="J87" i="3"/>
  <c r="J57" i="3"/>
  <c r="J75" i="3"/>
  <c r="J53" i="3"/>
  <c r="J7" i="3"/>
  <c r="J39" i="3"/>
  <c r="J3" i="3"/>
  <c r="J17" i="3"/>
  <c r="J30" i="3"/>
  <c r="J13" i="3"/>
  <c r="J12" i="3"/>
  <c r="J6" i="3"/>
  <c r="J92" i="3"/>
  <c r="J90" i="3"/>
  <c r="J49" i="3"/>
  <c r="J71" i="3"/>
  <c r="J16" i="3"/>
  <c r="J108" i="3"/>
  <c r="J29" i="3"/>
  <c r="J109" i="3"/>
  <c r="J26" i="3"/>
  <c r="J35" i="3"/>
  <c r="J63" i="3"/>
  <c r="J45" i="3"/>
  <c r="J22" i="3"/>
  <c r="J46" i="3"/>
  <c r="J86" i="3"/>
  <c r="J89" i="3"/>
  <c r="J69" i="3"/>
  <c r="J94" i="3"/>
  <c r="J91" i="3"/>
  <c r="J66" i="3"/>
  <c r="J11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L47" i="3"/>
  <c r="L34" i="3"/>
  <c r="L101" i="3"/>
  <c r="L102" i="3"/>
  <c r="L23" i="3"/>
  <c r="L93" i="3"/>
  <c r="L62" i="3"/>
  <c r="L38" i="3"/>
  <c r="L70" i="3"/>
  <c r="L60" i="3"/>
  <c r="L103" i="3"/>
  <c r="L79" i="3"/>
  <c r="L2" i="3"/>
  <c r="L42" i="3"/>
  <c r="L65" i="3"/>
  <c r="L61" i="3"/>
  <c r="L84" i="3"/>
  <c r="L19" i="3"/>
  <c r="L95" i="3"/>
  <c r="L64" i="3"/>
  <c r="L31" i="3"/>
  <c r="L48" i="3"/>
  <c r="L4" i="3"/>
  <c r="L58" i="3"/>
  <c r="L25" i="3"/>
  <c r="L97" i="3"/>
  <c r="L56" i="3"/>
  <c r="L73" i="3"/>
  <c r="L33" i="3"/>
  <c r="L8" i="3"/>
  <c r="L43" i="3"/>
  <c r="L68" i="3"/>
  <c r="L15" i="3"/>
  <c r="L51" i="3"/>
  <c r="L28" i="3"/>
  <c r="L21" i="3"/>
  <c r="L40" i="3"/>
  <c r="L14" i="3"/>
  <c r="L74" i="3"/>
  <c r="L88" i="3"/>
  <c r="L104" i="3"/>
  <c r="L105" i="3"/>
  <c r="L100" i="3"/>
  <c r="L18" i="3"/>
  <c r="L41" i="3"/>
  <c r="L80" i="3"/>
  <c r="L5" i="3"/>
  <c r="L76" i="3"/>
  <c r="L9" i="3"/>
  <c r="L99" i="3"/>
  <c r="L20" i="3"/>
  <c r="L32" i="3"/>
  <c r="L44" i="3"/>
  <c r="L106" i="3"/>
  <c r="L24" i="3"/>
  <c r="L81" i="3"/>
  <c r="L36" i="3"/>
  <c r="L77" i="3"/>
  <c r="L54" i="3"/>
  <c r="L78" i="3"/>
  <c r="L10" i="3"/>
  <c r="L52" i="3"/>
  <c r="L82" i="3"/>
  <c r="L67" i="3"/>
  <c r="L50" i="3"/>
  <c r="L98" i="3"/>
  <c r="L72" i="3"/>
  <c r="L37" i="3"/>
  <c r="L96" i="3"/>
  <c r="L27" i="3"/>
  <c r="L83" i="3"/>
  <c r="L85" i="3"/>
  <c r="L59" i="3"/>
  <c r="L55" i="3"/>
  <c r="L107" i="3"/>
  <c r="L87" i="3"/>
  <c r="L57" i="3"/>
  <c r="L75" i="3"/>
  <c r="L53" i="3"/>
  <c r="L7" i="3"/>
  <c r="L39" i="3"/>
  <c r="L3" i="3"/>
  <c r="L17" i="3"/>
  <c r="L30" i="3"/>
  <c r="L13" i="3"/>
  <c r="L12" i="3"/>
  <c r="L6" i="3"/>
  <c r="L92" i="3"/>
  <c r="L90" i="3"/>
  <c r="L49" i="3"/>
  <c r="L71" i="3"/>
  <c r="L16" i="3"/>
  <c r="L108" i="3"/>
  <c r="L29" i="3"/>
  <c r="L109" i="3"/>
  <c r="L26" i="3"/>
  <c r="L35" i="3"/>
  <c r="L63" i="3"/>
  <c r="L45" i="3"/>
  <c r="L22" i="3"/>
  <c r="L46" i="3"/>
  <c r="L86" i="3"/>
  <c r="L89" i="3"/>
  <c r="L69" i="3"/>
  <c r="L94" i="3"/>
  <c r="L91" i="3"/>
  <c r="L66" i="3"/>
  <c r="L11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P47" i="3"/>
  <c r="P34" i="3"/>
  <c r="P101" i="3"/>
  <c r="P102" i="3"/>
  <c r="P23" i="3"/>
  <c r="P93" i="3"/>
  <c r="P62" i="3"/>
  <c r="P38" i="3"/>
  <c r="P70" i="3"/>
  <c r="P60" i="3"/>
  <c r="P103" i="3"/>
  <c r="P79" i="3"/>
  <c r="P2" i="3"/>
  <c r="P42" i="3"/>
  <c r="P65" i="3"/>
  <c r="P61" i="3"/>
  <c r="P84" i="3"/>
  <c r="P19" i="3"/>
  <c r="P95" i="3"/>
  <c r="P64" i="3"/>
  <c r="P31" i="3"/>
  <c r="P48" i="3"/>
  <c r="P4" i="3"/>
  <c r="R4" i="3" s="1"/>
  <c r="P58" i="3"/>
  <c r="P25" i="3"/>
  <c r="P97" i="3"/>
  <c r="P56" i="3"/>
  <c r="P73" i="3"/>
  <c r="P33" i="3"/>
  <c r="P8" i="3"/>
  <c r="P43" i="3"/>
  <c r="P68" i="3"/>
  <c r="P15" i="3"/>
  <c r="P51" i="3"/>
  <c r="P28" i="3"/>
  <c r="P21" i="3"/>
  <c r="P40" i="3"/>
  <c r="P14" i="3"/>
  <c r="P74" i="3"/>
  <c r="P88" i="3"/>
  <c r="P104" i="3"/>
  <c r="P105" i="3"/>
  <c r="P100" i="3"/>
  <c r="P18" i="3"/>
  <c r="P41" i="3"/>
  <c r="P80" i="3"/>
  <c r="P5" i="3"/>
  <c r="P76" i="3"/>
  <c r="P9" i="3"/>
  <c r="P99" i="3"/>
  <c r="P20" i="3"/>
  <c r="P32" i="3"/>
  <c r="P44" i="3"/>
  <c r="P106" i="3"/>
  <c r="P24" i="3"/>
  <c r="R24" i="3" s="1"/>
  <c r="P81" i="3"/>
  <c r="R81" i="3" s="1"/>
  <c r="P36" i="3"/>
  <c r="P77" i="3"/>
  <c r="P54" i="3"/>
  <c r="P78" i="3"/>
  <c r="P10" i="3"/>
  <c r="P52" i="3"/>
  <c r="P82" i="3"/>
  <c r="P67" i="3"/>
  <c r="P50" i="3"/>
  <c r="P98" i="3"/>
  <c r="P72" i="3"/>
  <c r="P37" i="3"/>
  <c r="P96" i="3"/>
  <c r="P27" i="3"/>
  <c r="P83" i="3"/>
  <c r="P85" i="3"/>
  <c r="P59" i="3"/>
  <c r="P55" i="3"/>
  <c r="P107" i="3"/>
  <c r="P87" i="3"/>
  <c r="P57" i="3"/>
  <c r="P75" i="3"/>
  <c r="P53" i="3"/>
  <c r="P7" i="3"/>
  <c r="P39" i="3"/>
  <c r="P3" i="3"/>
  <c r="P17" i="3"/>
  <c r="P30" i="3"/>
  <c r="P13" i="3"/>
  <c r="P12" i="3"/>
  <c r="P6" i="3"/>
  <c r="R6" i="3" s="1"/>
  <c r="P92" i="3"/>
  <c r="P90" i="3"/>
  <c r="P49" i="3"/>
  <c r="P71" i="3"/>
  <c r="P16" i="3"/>
  <c r="P108" i="3"/>
  <c r="P29" i="3"/>
  <c r="P109" i="3"/>
  <c r="P26" i="3"/>
  <c r="P35" i="3"/>
  <c r="P63" i="3"/>
  <c r="P45" i="3"/>
  <c r="P22" i="3"/>
  <c r="P46" i="3"/>
  <c r="P86" i="3"/>
  <c r="P89" i="3"/>
  <c r="P69" i="3"/>
  <c r="P94" i="3"/>
  <c r="P91" i="3"/>
  <c r="P66" i="3"/>
  <c r="P11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R193" i="3" s="1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Q47" i="3"/>
  <c r="Q34" i="3"/>
  <c r="Q101" i="3"/>
  <c r="Q102" i="3"/>
  <c r="Q23" i="3"/>
  <c r="Q93" i="3"/>
  <c r="R93" i="3" s="1"/>
  <c r="Q62" i="3"/>
  <c r="Q38" i="3"/>
  <c r="Q70" i="3"/>
  <c r="Q60" i="3"/>
  <c r="Q103" i="3"/>
  <c r="Q79" i="3"/>
  <c r="Q2" i="3"/>
  <c r="Q42" i="3"/>
  <c r="Q65" i="3"/>
  <c r="Q61" i="3"/>
  <c r="Q84" i="3"/>
  <c r="Q19" i="3"/>
  <c r="Q95" i="3"/>
  <c r="Q64" i="3"/>
  <c r="Q31" i="3"/>
  <c r="Q48" i="3"/>
  <c r="Q4" i="3"/>
  <c r="Q58" i="3"/>
  <c r="Q25" i="3"/>
  <c r="Q97" i="3"/>
  <c r="Q56" i="3"/>
  <c r="Q73" i="3"/>
  <c r="Q33" i="3"/>
  <c r="Q8" i="3"/>
  <c r="R8" i="3" s="1"/>
  <c r="Q43" i="3"/>
  <c r="Q68" i="3"/>
  <c r="Q15" i="3"/>
  <c r="Q51" i="3"/>
  <c r="Q28" i="3"/>
  <c r="Q21" i="3"/>
  <c r="Q40" i="3"/>
  <c r="Q14" i="3"/>
  <c r="Q74" i="3"/>
  <c r="Q88" i="3"/>
  <c r="Q104" i="3"/>
  <c r="Q105" i="3"/>
  <c r="Q100" i="3"/>
  <c r="Q18" i="3"/>
  <c r="Q41" i="3"/>
  <c r="Q80" i="3"/>
  <c r="Q5" i="3"/>
  <c r="Q76" i="3"/>
  <c r="Q9" i="3"/>
  <c r="Q99" i="3"/>
  <c r="Q20" i="3"/>
  <c r="Q32" i="3"/>
  <c r="Q44" i="3"/>
  <c r="Q106" i="3"/>
  <c r="R106" i="3" s="1"/>
  <c r="Q24" i="3"/>
  <c r="Q81" i="3"/>
  <c r="Q36" i="3"/>
  <c r="Q77" i="3"/>
  <c r="Q54" i="3"/>
  <c r="Q78" i="3"/>
  <c r="Q10" i="3"/>
  <c r="Q52" i="3"/>
  <c r="Q82" i="3"/>
  <c r="Q67" i="3"/>
  <c r="Q50" i="3"/>
  <c r="Q98" i="3"/>
  <c r="Q72" i="3"/>
  <c r="Q37" i="3"/>
  <c r="Q96" i="3"/>
  <c r="Q27" i="3"/>
  <c r="Q83" i="3"/>
  <c r="Q85" i="3"/>
  <c r="Q59" i="3"/>
  <c r="Q55" i="3"/>
  <c r="Q107" i="3"/>
  <c r="Q87" i="3"/>
  <c r="Q57" i="3"/>
  <c r="Q75" i="3"/>
  <c r="Q53" i="3"/>
  <c r="Q7" i="3"/>
  <c r="Q39" i="3"/>
  <c r="Q3" i="3"/>
  <c r="Q17" i="3"/>
  <c r="Q30" i="3"/>
  <c r="Q13" i="3"/>
  <c r="Q12" i="3"/>
  <c r="Q6" i="3"/>
  <c r="Q92" i="3"/>
  <c r="Q90" i="3"/>
  <c r="Q49" i="3"/>
  <c r="Q71" i="3"/>
  <c r="Q16" i="3"/>
  <c r="Q108" i="3"/>
  <c r="Q29" i="3"/>
  <c r="Q109" i="3"/>
  <c r="Q26" i="3"/>
  <c r="Q35" i="3"/>
  <c r="Q63" i="3"/>
  <c r="Q45" i="3"/>
  <c r="Q22" i="3"/>
  <c r="Q46" i="3"/>
  <c r="Q86" i="3"/>
  <c r="Q89" i="3"/>
  <c r="Q69" i="3"/>
  <c r="Q94" i="3"/>
  <c r="Q91" i="3"/>
  <c r="Q66" i="3"/>
  <c r="Q11" i="3"/>
  <c r="Q110" i="3"/>
  <c r="Q111" i="3"/>
  <c r="R111" i="3" s="1"/>
  <c r="Q112" i="3"/>
  <c r="Q113" i="3"/>
  <c r="Q114" i="3"/>
  <c r="Q115" i="3"/>
  <c r="Q116" i="3"/>
  <c r="Q117" i="3"/>
  <c r="Q118" i="3"/>
  <c r="Q119" i="3"/>
  <c r="R119" i="3" s="1"/>
  <c r="Q120" i="3"/>
  <c r="Q121" i="3"/>
  <c r="Q122" i="3"/>
  <c r="Q123" i="3"/>
  <c r="Q124" i="3"/>
  <c r="Q125" i="3"/>
  <c r="Q126" i="3"/>
  <c r="Q127" i="3"/>
  <c r="R127" i="3" s="1"/>
  <c r="Q128" i="3"/>
  <c r="Q129" i="3"/>
  <c r="Q130" i="3"/>
  <c r="Q131" i="3"/>
  <c r="Q132" i="3"/>
  <c r="Q133" i="3"/>
  <c r="Q134" i="3"/>
  <c r="Q135" i="3"/>
  <c r="R135" i="3" s="1"/>
  <c r="Q136" i="3"/>
  <c r="Q137" i="3"/>
  <c r="Q138" i="3"/>
  <c r="Q139" i="3"/>
  <c r="Q140" i="3"/>
  <c r="Q141" i="3"/>
  <c r="Q142" i="3"/>
  <c r="Q143" i="3"/>
  <c r="R143" i="3" s="1"/>
  <c r="Q144" i="3"/>
  <c r="Q145" i="3"/>
  <c r="Q146" i="3"/>
  <c r="Q147" i="3"/>
  <c r="Q148" i="3"/>
  <c r="Q149" i="3"/>
  <c r="Q150" i="3"/>
  <c r="Q151" i="3"/>
  <c r="R151" i="3" s="1"/>
  <c r="Q152" i="3"/>
  <c r="Q153" i="3"/>
  <c r="Q154" i="3"/>
  <c r="Q155" i="3"/>
  <c r="Q156" i="3"/>
  <c r="Q157" i="3"/>
  <c r="Q158" i="3"/>
  <c r="Q159" i="3"/>
  <c r="R159" i="3" s="1"/>
  <c r="Q160" i="3"/>
  <c r="Q161" i="3"/>
  <c r="Q162" i="3"/>
  <c r="Q163" i="3"/>
  <c r="Q164" i="3"/>
  <c r="Q165" i="3"/>
  <c r="Q166" i="3"/>
  <c r="Q167" i="3"/>
  <c r="R167" i="3" s="1"/>
  <c r="Q168" i="3"/>
  <c r="Q169" i="3"/>
  <c r="Q170" i="3"/>
  <c r="R170" i="3" s="1"/>
  <c r="Q171" i="3"/>
  <c r="Q172" i="3"/>
  <c r="Q173" i="3"/>
  <c r="Q174" i="3"/>
  <c r="Q175" i="3"/>
  <c r="R175" i="3" s="1"/>
  <c r="Q176" i="3"/>
  <c r="Q177" i="3"/>
  <c r="Q178" i="3"/>
  <c r="Q179" i="3"/>
  <c r="Q180" i="3"/>
  <c r="Q181" i="3"/>
  <c r="Q182" i="3"/>
  <c r="Q183" i="3"/>
  <c r="R183" i="3" s="1"/>
  <c r="Q184" i="3"/>
  <c r="Q185" i="3"/>
  <c r="Q186" i="3"/>
  <c r="Q187" i="3"/>
  <c r="Q188" i="3"/>
  <c r="Q189" i="3"/>
  <c r="Q190" i="3"/>
  <c r="Q191" i="3"/>
  <c r="R191" i="3" s="1"/>
  <c r="Q192" i="3"/>
  <c r="Q193" i="3"/>
  <c r="Q194" i="3"/>
  <c r="Q195" i="3"/>
  <c r="Q196" i="3"/>
  <c r="Q197" i="3"/>
  <c r="Q198" i="3"/>
  <c r="Q199" i="3"/>
  <c r="R199" i="3" s="1"/>
  <c r="Q200" i="3"/>
  <c r="Q201" i="3"/>
  <c r="Q202" i="3"/>
  <c r="Q203" i="3"/>
  <c r="Q204" i="3"/>
  <c r="Q205" i="3"/>
  <c r="Q206" i="3"/>
  <c r="Q207" i="3"/>
  <c r="R207" i="3" s="1"/>
  <c r="Q208" i="3"/>
  <c r="Q209" i="3"/>
  <c r="Q210" i="3"/>
  <c r="Q211" i="3"/>
  <c r="Q212" i="3"/>
  <c r="Q213" i="3"/>
  <c r="Q214" i="3"/>
  <c r="Q215" i="3"/>
  <c r="R215" i="3" s="1"/>
  <c r="Q216" i="3"/>
  <c r="Q217" i="3"/>
  <c r="Q218" i="3"/>
  <c r="R218" i="3" s="1"/>
  <c r="Q219" i="3"/>
  <c r="Q220" i="3"/>
  <c r="Q221" i="3"/>
  <c r="Q222" i="3"/>
  <c r="Q223" i="3"/>
  <c r="R223" i="3" s="1"/>
  <c r="Q224" i="3"/>
  <c r="Q225" i="3"/>
  <c r="Q226" i="3"/>
  <c r="Q227" i="3"/>
  <c r="Q228" i="3"/>
  <c r="Q229" i="3"/>
  <c r="Q230" i="3"/>
  <c r="Q231" i="3"/>
  <c r="R231" i="3" s="1"/>
  <c r="Q232" i="3"/>
  <c r="Q233" i="3"/>
  <c r="Q234" i="3"/>
  <c r="Q235" i="3"/>
  <c r="Q236" i="3"/>
  <c r="Q237" i="3"/>
  <c r="Q238" i="3"/>
  <c r="Q239" i="3"/>
  <c r="R239" i="3" s="1"/>
  <c r="Q240" i="3"/>
  <c r="R62" i="3"/>
  <c r="R38" i="3"/>
  <c r="R58" i="3"/>
  <c r="R74" i="3"/>
  <c r="R88" i="3"/>
  <c r="R83" i="3"/>
  <c r="R85" i="3"/>
  <c r="R92" i="3"/>
  <c r="R89" i="3"/>
  <c r="R69" i="3"/>
  <c r="R120" i="3"/>
  <c r="R121" i="3"/>
  <c r="R136" i="3"/>
  <c r="R137" i="3"/>
  <c r="R152" i="3"/>
  <c r="R153" i="3"/>
  <c r="S47" i="3"/>
  <c r="S34" i="3"/>
  <c r="S101" i="3"/>
  <c r="S102" i="3"/>
  <c r="S23" i="3"/>
  <c r="S93" i="3"/>
  <c r="S62" i="3"/>
  <c r="S38" i="3"/>
  <c r="S70" i="3"/>
  <c r="S60" i="3"/>
  <c r="S103" i="3"/>
  <c r="S79" i="3"/>
  <c r="S2" i="3"/>
  <c r="S42" i="3"/>
  <c r="S65" i="3"/>
  <c r="S61" i="3"/>
  <c r="S84" i="3"/>
  <c r="S19" i="3"/>
  <c r="S95" i="3"/>
  <c r="S64" i="3"/>
  <c r="S31" i="3"/>
  <c r="S48" i="3"/>
  <c r="S4" i="3"/>
  <c r="S58" i="3"/>
  <c r="S25" i="3"/>
  <c r="S97" i="3"/>
  <c r="S56" i="3"/>
  <c r="S73" i="3"/>
  <c r="S33" i="3"/>
  <c r="S8" i="3"/>
  <c r="S43" i="3"/>
  <c r="S68" i="3"/>
  <c r="S15" i="3"/>
  <c r="S51" i="3"/>
  <c r="S28" i="3"/>
  <c r="S21" i="3"/>
  <c r="S40" i="3"/>
  <c r="S14" i="3"/>
  <c r="S74" i="3"/>
  <c r="S88" i="3"/>
  <c r="S104" i="3"/>
  <c r="S105" i="3"/>
  <c r="S100" i="3"/>
  <c r="S18" i="3"/>
  <c r="S41" i="3"/>
  <c r="S80" i="3"/>
  <c r="S5" i="3"/>
  <c r="S76" i="3"/>
  <c r="S9" i="3"/>
  <c r="S99" i="3"/>
  <c r="S20" i="3"/>
  <c r="S32" i="3"/>
  <c r="S44" i="3"/>
  <c r="S106" i="3"/>
  <c r="S24" i="3"/>
  <c r="S81" i="3"/>
  <c r="S36" i="3"/>
  <c r="S77" i="3"/>
  <c r="S54" i="3"/>
  <c r="S78" i="3"/>
  <c r="S10" i="3"/>
  <c r="S52" i="3"/>
  <c r="S82" i="3"/>
  <c r="S67" i="3"/>
  <c r="S50" i="3"/>
  <c r="S98" i="3"/>
  <c r="S72" i="3"/>
  <c r="S37" i="3"/>
  <c r="S96" i="3"/>
  <c r="S27" i="3"/>
  <c r="S83" i="3"/>
  <c r="S85" i="3"/>
  <c r="S59" i="3"/>
  <c r="S55" i="3"/>
  <c r="S107" i="3"/>
  <c r="S87" i="3"/>
  <c r="S57" i="3"/>
  <c r="S75" i="3"/>
  <c r="S53" i="3"/>
  <c r="S7" i="3"/>
  <c r="S39" i="3"/>
  <c r="S3" i="3"/>
  <c r="S17" i="3"/>
  <c r="S30" i="3"/>
  <c r="S13" i="3"/>
  <c r="S12" i="3"/>
  <c r="S6" i="3"/>
  <c r="S92" i="3"/>
  <c r="S90" i="3"/>
  <c r="S49" i="3"/>
  <c r="S71" i="3"/>
  <c r="S16" i="3"/>
  <c r="S108" i="3"/>
  <c r="S29" i="3"/>
  <c r="S109" i="3"/>
  <c r="S26" i="3"/>
  <c r="S35" i="3"/>
  <c r="S63" i="3"/>
  <c r="S45" i="3"/>
  <c r="S22" i="3"/>
  <c r="S46" i="3"/>
  <c r="S86" i="3"/>
  <c r="S89" i="3"/>
  <c r="S69" i="3"/>
  <c r="S94" i="3"/>
  <c r="S91" i="3"/>
  <c r="S66" i="3"/>
  <c r="S11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T47" i="3"/>
  <c r="T34" i="3"/>
  <c r="T101" i="3"/>
  <c r="T102" i="3"/>
  <c r="T23" i="3"/>
  <c r="T93" i="3"/>
  <c r="T62" i="3"/>
  <c r="T38" i="3"/>
  <c r="T70" i="3"/>
  <c r="T60" i="3"/>
  <c r="T103" i="3"/>
  <c r="T79" i="3"/>
  <c r="T2" i="3"/>
  <c r="T42" i="3"/>
  <c r="T65" i="3"/>
  <c r="T61" i="3"/>
  <c r="T84" i="3"/>
  <c r="T19" i="3"/>
  <c r="T95" i="3"/>
  <c r="T64" i="3"/>
  <c r="T31" i="3"/>
  <c r="T48" i="3"/>
  <c r="T4" i="3"/>
  <c r="T58" i="3"/>
  <c r="T25" i="3"/>
  <c r="T97" i="3"/>
  <c r="T56" i="3"/>
  <c r="T73" i="3"/>
  <c r="T33" i="3"/>
  <c r="T8" i="3"/>
  <c r="T43" i="3"/>
  <c r="T68" i="3"/>
  <c r="T15" i="3"/>
  <c r="T51" i="3"/>
  <c r="T28" i="3"/>
  <c r="T21" i="3"/>
  <c r="T40" i="3"/>
  <c r="T14" i="3"/>
  <c r="T74" i="3"/>
  <c r="T88" i="3"/>
  <c r="T104" i="3"/>
  <c r="T105" i="3"/>
  <c r="T100" i="3"/>
  <c r="T18" i="3"/>
  <c r="T41" i="3"/>
  <c r="T80" i="3"/>
  <c r="T5" i="3"/>
  <c r="T76" i="3"/>
  <c r="T9" i="3"/>
  <c r="T99" i="3"/>
  <c r="T20" i="3"/>
  <c r="T32" i="3"/>
  <c r="T44" i="3"/>
  <c r="T106" i="3"/>
  <c r="T24" i="3"/>
  <c r="T81" i="3"/>
  <c r="T36" i="3"/>
  <c r="T77" i="3"/>
  <c r="T54" i="3"/>
  <c r="T78" i="3"/>
  <c r="T10" i="3"/>
  <c r="T52" i="3"/>
  <c r="T82" i="3"/>
  <c r="T67" i="3"/>
  <c r="T50" i="3"/>
  <c r="T98" i="3"/>
  <c r="T72" i="3"/>
  <c r="T37" i="3"/>
  <c r="T96" i="3"/>
  <c r="T27" i="3"/>
  <c r="T83" i="3"/>
  <c r="T85" i="3"/>
  <c r="T59" i="3"/>
  <c r="T55" i="3"/>
  <c r="T107" i="3"/>
  <c r="T87" i="3"/>
  <c r="T57" i="3"/>
  <c r="T75" i="3"/>
  <c r="T53" i="3"/>
  <c r="T7" i="3"/>
  <c r="T39" i="3"/>
  <c r="T3" i="3"/>
  <c r="T17" i="3"/>
  <c r="T30" i="3"/>
  <c r="T13" i="3"/>
  <c r="T12" i="3"/>
  <c r="T6" i="3"/>
  <c r="T92" i="3"/>
  <c r="T90" i="3"/>
  <c r="T49" i="3"/>
  <c r="T71" i="3"/>
  <c r="T16" i="3"/>
  <c r="T108" i="3"/>
  <c r="T29" i="3"/>
  <c r="T109" i="3"/>
  <c r="T26" i="3"/>
  <c r="T35" i="3"/>
  <c r="T63" i="3"/>
  <c r="T45" i="3"/>
  <c r="T22" i="3"/>
  <c r="T46" i="3"/>
  <c r="T86" i="3"/>
  <c r="T89" i="3"/>
  <c r="T69" i="3"/>
  <c r="T94" i="3"/>
  <c r="T91" i="3"/>
  <c r="T66" i="3"/>
  <c r="T11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R86" i="3" l="1"/>
  <c r="R29" i="3"/>
  <c r="R12" i="3"/>
  <c r="R75" i="3"/>
  <c r="R27" i="3"/>
  <c r="R52" i="3"/>
  <c r="R80" i="3"/>
  <c r="R14" i="3"/>
  <c r="R48" i="3"/>
  <c r="R42" i="3"/>
  <c r="R235" i="3"/>
  <c r="R227" i="3"/>
  <c r="R219" i="3"/>
  <c r="R211" i="3"/>
  <c r="R203" i="3"/>
  <c r="R195" i="3"/>
  <c r="R187" i="3"/>
  <c r="R179" i="3"/>
  <c r="R171" i="3"/>
  <c r="R163" i="3"/>
  <c r="R155" i="3"/>
  <c r="R147" i="3"/>
  <c r="R139" i="3"/>
  <c r="R131" i="3"/>
  <c r="R123" i="3"/>
  <c r="R115" i="3"/>
  <c r="R91" i="3"/>
  <c r="R63" i="3"/>
  <c r="R49" i="3"/>
  <c r="R3" i="3"/>
  <c r="R55" i="3"/>
  <c r="R98" i="3"/>
  <c r="R77" i="3"/>
  <c r="R99" i="3"/>
  <c r="R105" i="3"/>
  <c r="R51" i="3"/>
  <c r="R97" i="3"/>
  <c r="R19" i="3"/>
  <c r="R60" i="3"/>
  <c r="R34" i="3"/>
  <c r="R234" i="3"/>
  <c r="R226" i="3"/>
  <c r="R210" i="3"/>
  <c r="R202" i="3"/>
  <c r="R194" i="3"/>
  <c r="R186" i="3"/>
  <c r="R178" i="3"/>
  <c r="R162" i="3"/>
  <c r="R154" i="3"/>
  <c r="R146" i="3"/>
  <c r="R138" i="3"/>
  <c r="R130" i="3"/>
  <c r="R122" i="3"/>
  <c r="R114" i="3"/>
  <c r="R94" i="3"/>
  <c r="R35" i="3"/>
  <c r="R90" i="3"/>
  <c r="R39" i="3"/>
  <c r="R59" i="3"/>
  <c r="R50" i="3"/>
  <c r="R36" i="3"/>
  <c r="R9" i="3"/>
  <c r="R104" i="3"/>
  <c r="R15" i="3"/>
  <c r="R25" i="3"/>
  <c r="R84" i="3"/>
  <c r="R70" i="3"/>
  <c r="R47" i="3"/>
  <c r="R201" i="3"/>
  <c r="R185" i="3"/>
  <c r="R177" i="3"/>
  <c r="R169" i="3"/>
  <c r="R161" i="3"/>
  <c r="R145" i="3"/>
  <c r="R129" i="3"/>
  <c r="R113" i="3"/>
  <c r="R26" i="3"/>
  <c r="R7" i="3"/>
  <c r="R67" i="3"/>
  <c r="R76" i="3"/>
  <c r="R68" i="3"/>
  <c r="R61" i="3"/>
  <c r="R160" i="3"/>
  <c r="R144" i="3"/>
  <c r="R128" i="3"/>
  <c r="R112" i="3"/>
  <c r="R109" i="3"/>
  <c r="R53" i="3"/>
  <c r="R82" i="3"/>
  <c r="R5" i="3"/>
  <c r="R43" i="3"/>
  <c r="R65" i="3"/>
  <c r="R233" i="3"/>
  <c r="R225" i="3"/>
  <c r="R217" i="3"/>
  <c r="R209" i="3"/>
  <c r="R240" i="3"/>
  <c r="R232" i="3"/>
  <c r="R224" i="3"/>
  <c r="R216" i="3"/>
  <c r="R208" i="3"/>
  <c r="R200" i="3"/>
  <c r="R192" i="3"/>
  <c r="R184" i="3"/>
  <c r="R176" i="3"/>
  <c r="R168" i="3"/>
  <c r="R238" i="3"/>
  <c r="R230" i="3"/>
  <c r="R222" i="3"/>
  <c r="R214" i="3"/>
  <c r="R206" i="3"/>
  <c r="R198" i="3"/>
  <c r="R190" i="3"/>
  <c r="R182" i="3"/>
  <c r="R174" i="3"/>
  <c r="R166" i="3"/>
  <c r="R158" i="3"/>
  <c r="R150" i="3"/>
  <c r="R142" i="3"/>
  <c r="R134" i="3"/>
  <c r="R126" i="3"/>
  <c r="R118" i="3"/>
  <c r="R110" i="3"/>
  <c r="R46" i="3"/>
  <c r="R108" i="3"/>
  <c r="R13" i="3"/>
  <c r="R57" i="3"/>
  <c r="R96" i="3"/>
  <c r="R10" i="3"/>
  <c r="R44" i="3"/>
  <c r="R41" i="3"/>
  <c r="R40" i="3"/>
  <c r="R33" i="3"/>
  <c r="R31" i="3"/>
  <c r="R2" i="3"/>
  <c r="R23" i="3"/>
  <c r="R237" i="3"/>
  <c r="R229" i="3"/>
  <c r="R221" i="3"/>
  <c r="R213" i="3"/>
  <c r="R205" i="3"/>
  <c r="R197" i="3"/>
  <c r="R189" i="3"/>
  <c r="R181" i="3"/>
  <c r="R173" i="3"/>
  <c r="R165" i="3"/>
  <c r="R157" i="3"/>
  <c r="R149" i="3"/>
  <c r="R141" i="3"/>
  <c r="R133" i="3"/>
  <c r="R125" i="3"/>
  <c r="R117" i="3"/>
  <c r="R11" i="3"/>
  <c r="R22" i="3"/>
  <c r="R16" i="3"/>
  <c r="R30" i="3"/>
  <c r="R87" i="3"/>
  <c r="R37" i="3"/>
  <c r="R78" i="3"/>
  <c r="R32" i="3"/>
  <c r="R18" i="3"/>
  <c r="R21" i="3"/>
  <c r="R73" i="3"/>
  <c r="R64" i="3"/>
  <c r="R79" i="3"/>
  <c r="R102" i="3"/>
  <c r="R236" i="3"/>
  <c r="R228" i="3"/>
  <c r="R220" i="3"/>
  <c r="R212" i="3"/>
  <c r="R204" i="3"/>
  <c r="R196" i="3"/>
  <c r="R188" i="3"/>
  <c r="R180" i="3"/>
  <c r="R172" i="3"/>
  <c r="R164" i="3"/>
  <c r="R156" i="3"/>
  <c r="R148" i="3"/>
  <c r="R140" i="3"/>
  <c r="R132" i="3"/>
  <c r="R124" i="3"/>
  <c r="R116" i="3"/>
  <c r="R66" i="3"/>
  <c r="R45" i="3"/>
  <c r="R71" i="3"/>
  <c r="R17" i="3"/>
  <c r="R107" i="3"/>
  <c r="R72" i="3"/>
  <c r="R54" i="3"/>
  <c r="R20" i="3"/>
  <c r="R100" i="3"/>
  <c r="R28" i="3"/>
  <c r="R56" i="3"/>
  <c r="R95" i="3"/>
  <c r="R103" i="3"/>
  <c r="R101" i="3"/>
  <c r="H19" i="8"/>
  <c r="F19" i="8"/>
  <c r="L19" i="8" s="1"/>
  <c r="D19" i="8"/>
  <c r="C19" i="8"/>
  <c r="L18" i="8"/>
  <c r="M18" i="8" s="1"/>
  <c r="I18" i="8"/>
  <c r="G19" i="8" s="1"/>
  <c r="I19" i="8" s="1"/>
  <c r="D18" i="8"/>
  <c r="L6" i="8"/>
  <c r="L8" i="8"/>
  <c r="L10" i="8"/>
  <c r="L11" i="8"/>
  <c r="L13" i="8"/>
  <c r="L14" i="8"/>
  <c r="L16" i="8"/>
  <c r="L4" i="8"/>
  <c r="F12" i="8"/>
  <c r="L12" i="8" s="1"/>
  <c r="F17" i="8"/>
  <c r="L17" i="8" s="1"/>
  <c r="D17" i="8"/>
  <c r="C17" i="8"/>
  <c r="I16" i="8"/>
  <c r="I17" i="8" s="1"/>
  <c r="D16" i="8"/>
  <c r="F15" i="8"/>
  <c r="L15" i="8" s="1"/>
  <c r="I15" i="8"/>
  <c r="I13" i="8"/>
  <c r="G14" i="8" s="1"/>
  <c r="I14" i="8" s="1"/>
  <c r="I10" i="8"/>
  <c r="I11" i="8" s="1"/>
  <c r="I12" i="8" s="1"/>
  <c r="I8" i="8"/>
  <c r="G9" i="8" s="1"/>
  <c r="I9" i="8" s="1"/>
  <c r="I6" i="8"/>
  <c r="I4" i="8"/>
  <c r="G5" i="8" s="1"/>
  <c r="I5" i="8" s="1"/>
  <c r="D14" i="8"/>
  <c r="C14" i="8"/>
  <c r="D15" i="8" s="1"/>
  <c r="D13" i="8"/>
  <c r="D11" i="8"/>
  <c r="C11" i="8"/>
  <c r="D12" i="8" s="1"/>
  <c r="D10" i="8"/>
  <c r="F5" i="8"/>
  <c r="L5" i="8" s="1"/>
  <c r="D5" i="8"/>
  <c r="C5" i="8"/>
  <c r="D4" i="8"/>
  <c r="F9" i="8"/>
  <c r="L9" i="8" s="1"/>
  <c r="D9" i="8"/>
  <c r="C9" i="8"/>
  <c r="D8" i="8"/>
  <c r="F7" i="8"/>
  <c r="L7" i="8" s="1"/>
  <c r="D7" i="8"/>
  <c r="G7" i="8"/>
  <c r="I7" i="8" s="1"/>
  <c r="C7" i="8"/>
  <c r="D6" i="8"/>
  <c r="M10" i="8" l="1"/>
  <c r="C12" i="8"/>
  <c r="M13" i="8"/>
  <c r="M7" i="8"/>
  <c r="C15" i="8"/>
  <c r="M16" i="8"/>
  <c r="M5" i="8"/>
  <c r="M8" i="8"/>
  <c r="AO6" i="2"/>
  <c r="AP28" i="2"/>
  <c r="AQ28" i="2" s="1"/>
  <c r="AR28" i="2" s="1"/>
  <c r="AS28" i="2" s="1"/>
  <c r="AT28" i="2" s="1"/>
  <c r="AU28" i="2" s="1"/>
  <c r="AN35" i="2"/>
  <c r="AN36" i="2"/>
  <c r="AM27" i="2"/>
  <c r="AP23" i="2"/>
  <c r="AQ23" i="2" s="1"/>
  <c r="AR23" i="2" s="1"/>
  <c r="AS23" i="2" s="1"/>
  <c r="AT23" i="2" s="1"/>
  <c r="AU23" i="2" s="1"/>
  <c r="AP14" i="2"/>
  <c r="AQ14" i="2" s="1"/>
  <c r="AR14" i="2" s="1"/>
  <c r="AS14" i="2" s="1"/>
  <c r="AT14" i="2" s="1"/>
  <c r="AU14" i="2" s="1"/>
  <c r="AB23" i="2"/>
  <c r="AC23" i="2" s="1"/>
  <c r="AD23" i="2" s="1"/>
  <c r="AE23" i="2" s="1"/>
  <c r="AF23" i="2" s="1"/>
  <c r="AG23" i="2" s="1"/>
  <c r="AH23" i="2" s="1"/>
  <c r="AI23" i="2" s="1"/>
  <c r="AB14" i="2"/>
  <c r="AC14" i="2" s="1"/>
  <c r="AD14" i="2" s="1"/>
  <c r="F24" i="2"/>
  <c r="G24" i="2" s="1"/>
  <c r="H24" i="2" s="1"/>
  <c r="I24" i="2" s="1"/>
  <c r="F15" i="2"/>
  <c r="G15" i="2" s="1"/>
  <c r="H15" i="2" s="1"/>
  <c r="I15" i="2" s="1"/>
  <c r="M4" i="2"/>
  <c r="AP27" i="2" l="1"/>
  <c r="AQ27" i="2" s="1"/>
  <c r="AR27" i="2" s="1"/>
  <c r="AS27" i="2" s="1"/>
  <c r="AT27" i="2" s="1"/>
  <c r="AU27" i="2" s="1"/>
  <c r="AE14" i="2"/>
  <c r="AF14" i="2" s="1"/>
  <c r="AG14" i="2" s="1"/>
  <c r="K16" i="6" l="1"/>
  <c r="I16" i="6"/>
  <c r="D7" i="2" l="1"/>
  <c r="C7" i="2" s="1"/>
  <c r="D6" i="2"/>
  <c r="C6" i="2" l="1"/>
  <c r="Y27" i="2" l="1"/>
  <c r="Z33" i="2"/>
  <c r="D18" i="2"/>
  <c r="AN44" i="2"/>
  <c r="Y25" i="2"/>
  <c r="Z35" i="2"/>
  <c r="C28" i="2"/>
  <c r="E28" i="2" s="1"/>
  <c r="F28" i="2" s="1"/>
  <c r="G28" i="2" s="1"/>
  <c r="H28" i="2" s="1"/>
  <c r="I28" i="2" s="1"/>
  <c r="C29" i="2"/>
  <c r="E29" i="2" s="1"/>
  <c r="AA28" i="2" s="1"/>
  <c r="AB28" i="2" s="1"/>
  <c r="AC28" i="2" s="1"/>
  <c r="AD28" i="2" s="1"/>
  <c r="AE28" i="2" s="1"/>
  <c r="AF28" i="2" s="1"/>
  <c r="AG28" i="2" s="1"/>
  <c r="AH28" i="2" s="1"/>
  <c r="AI28" i="2" s="1"/>
  <c r="D34" i="2"/>
  <c r="D43" i="2"/>
  <c r="C26" i="2"/>
  <c r="E26" i="2" s="1"/>
  <c r="AA25" i="2" s="1"/>
  <c r="D45" i="2"/>
  <c r="E7" i="2"/>
  <c r="Z34" i="2"/>
  <c r="D42" i="2"/>
  <c r="C27" i="2"/>
  <c r="E27" i="2" s="1"/>
  <c r="F27" i="2" s="1"/>
  <c r="D19" i="2"/>
  <c r="Z42" i="2"/>
  <c r="D36" i="2"/>
  <c r="Z41" i="2"/>
  <c r="Z18" i="2"/>
  <c r="E6" i="2"/>
  <c r="Z44" i="2"/>
  <c r="D35" i="2"/>
  <c r="Z16" i="2"/>
  <c r="Z17" i="2"/>
  <c r="AN43" i="2"/>
  <c r="AN15" i="2"/>
  <c r="AN33" i="2" s="1"/>
  <c r="AN16" i="2"/>
  <c r="AN34" i="2" s="1"/>
  <c r="D16" i="2"/>
  <c r="Z43" i="2"/>
  <c r="AN41" i="2"/>
  <c r="D17" i="2"/>
  <c r="Z36" i="2"/>
  <c r="Z15" i="2"/>
  <c r="D37" i="2"/>
  <c r="D44" i="2"/>
  <c r="AN42" i="2"/>
  <c r="F29" i="2" l="1"/>
  <c r="G29" i="2" s="1"/>
  <c r="H29" i="2" s="1"/>
  <c r="I29" i="2" s="1"/>
  <c r="F26" i="2"/>
  <c r="G26" i="2" s="1"/>
  <c r="H26" i="2" s="1"/>
  <c r="I26" i="2" s="1"/>
  <c r="E34" i="2"/>
  <c r="E42" i="2" s="1"/>
  <c r="AA27" i="2"/>
  <c r="AB27" i="2" s="1"/>
  <c r="AC27" i="2" s="1"/>
  <c r="AD27" i="2" s="1"/>
  <c r="AE27" i="2" s="1"/>
  <c r="AF27" i="2" s="1"/>
  <c r="AG27" i="2" s="1"/>
  <c r="AH27" i="2" s="1"/>
  <c r="AI27" i="2" s="1"/>
  <c r="AA26" i="2"/>
  <c r="AB26" i="2" s="1"/>
  <c r="AM25" i="2"/>
  <c r="E25" i="2"/>
  <c r="D3" i="2" s="1"/>
  <c r="E36" i="2" s="1"/>
  <c r="E44" i="2" s="1"/>
  <c r="AB25" i="2"/>
  <c r="AC25" i="2" s="1"/>
  <c r="AD25" i="2" s="1"/>
  <c r="AE25" i="2" s="1"/>
  <c r="AF25" i="2" s="1"/>
  <c r="AG25" i="2" s="1"/>
  <c r="AH25" i="2" s="1"/>
  <c r="AI25" i="2" s="1"/>
  <c r="AA33" i="2"/>
  <c r="AO25" i="2"/>
  <c r="G27" i="2"/>
  <c r="G35" i="2" l="1"/>
  <c r="I43" i="2" s="1"/>
  <c r="AA24" i="2"/>
  <c r="F25" i="2"/>
  <c r="F47" i="2" s="1"/>
  <c r="AO26" i="2"/>
  <c r="AP26" i="2" s="1"/>
  <c r="G37" i="2"/>
  <c r="I45" i="2" s="1"/>
  <c r="I46" i="2" s="1"/>
  <c r="E47" i="2"/>
  <c r="AC26" i="2"/>
  <c r="AB24" i="2"/>
  <c r="AB46" i="2" s="1"/>
  <c r="AO33" i="2"/>
  <c r="AP25" i="2"/>
  <c r="AQ25" i="2" s="1"/>
  <c r="AR25" i="2" s="1"/>
  <c r="AS25" i="2" s="1"/>
  <c r="AT25" i="2" s="1"/>
  <c r="AU25" i="2" s="1"/>
  <c r="AA41" i="2"/>
  <c r="AC34" i="2"/>
  <c r="H27" i="2"/>
  <c r="G25" i="2"/>
  <c r="G47" i="2" s="1"/>
  <c r="AA46" i="2" l="1"/>
  <c r="AO24" i="2"/>
  <c r="AO5" i="2"/>
  <c r="AO7" i="2" s="1"/>
  <c r="AO41" i="2"/>
  <c r="AQ34" i="2"/>
  <c r="H25" i="2"/>
  <c r="H47" i="2" s="1"/>
  <c r="I27" i="2"/>
  <c r="I25" i="2" s="1"/>
  <c r="I47" i="2" s="1"/>
  <c r="AE42" i="2"/>
  <c r="AP24" i="2"/>
  <c r="AP46" i="2" s="1"/>
  <c r="AQ26" i="2"/>
  <c r="AD26" i="2"/>
  <c r="AC24" i="2"/>
  <c r="AC46" i="2" s="1"/>
  <c r="AO46" i="2" l="1"/>
  <c r="AS42" i="2"/>
  <c r="AS35" i="2" s="1"/>
  <c r="E48" i="2"/>
  <c r="E49" i="2" s="1"/>
  <c r="E51" i="2" s="1"/>
  <c r="AE35" i="2"/>
  <c r="AD24" i="2"/>
  <c r="AD46" i="2" s="1"/>
  <c r="AE26" i="2"/>
  <c r="AR26" i="2"/>
  <c r="AQ24" i="2"/>
  <c r="AQ46" i="2" s="1"/>
  <c r="E53" i="2" l="1"/>
  <c r="E52" i="2"/>
  <c r="AU36" i="2"/>
  <c r="AU44" i="2" s="1"/>
  <c r="AS43" i="2"/>
  <c r="AE24" i="2"/>
  <c r="AF26" i="2"/>
  <c r="AG36" i="2"/>
  <c r="AI44" i="2" s="1"/>
  <c r="AE43" i="2"/>
  <c r="AR24" i="2"/>
  <c r="AR46" i="2" s="1"/>
  <c r="AS26" i="2"/>
  <c r="AI45" i="2" l="1"/>
  <c r="AU45" i="2"/>
  <c r="AS24" i="2"/>
  <c r="AS46" i="2" s="1"/>
  <c r="AT26" i="2"/>
  <c r="AG26" i="2"/>
  <c r="AF24" i="2"/>
  <c r="AF46" i="2" s="1"/>
  <c r="AE46" i="2"/>
  <c r="AT24" i="2" l="1"/>
  <c r="AT46" i="2" s="1"/>
  <c r="AU26" i="2"/>
  <c r="AU24" i="2" s="1"/>
  <c r="AU46" i="2" s="1"/>
  <c r="AG24" i="2"/>
  <c r="AG46" i="2" s="1"/>
  <c r="AH26" i="2"/>
  <c r="AO47" i="2" l="1"/>
  <c r="AO48" i="2" s="1"/>
  <c r="AO50" i="2" s="1"/>
  <c r="AO52" i="2" s="1"/>
  <c r="AH24" i="2"/>
  <c r="AH46" i="2" s="1"/>
  <c r="AI26" i="2"/>
  <c r="AI24" i="2" s="1"/>
  <c r="AI46" i="2" s="1"/>
  <c r="AO51" i="2" l="1"/>
  <c r="AA47" i="2"/>
  <c r="AA48" i="2" s="1"/>
  <c r="AA50" i="2" s="1"/>
  <c r="AA51" i="2" s="1"/>
  <c r="AA5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4054AD-9948-4C23-B93A-679D824983B2}" keepAlive="1" name="Query - df_mep" description="Connection to the 'df_mep' query in the workbook." type="5" refreshedVersion="8" background="1" saveData="1">
    <dbPr connection="Provider=Microsoft.Mashup.OleDb.1;Data Source=$Workbook$;Location=df_mep;Extended Properties=&quot;&quot;" command="SELECT * FROM [df_mep]"/>
  </connection>
</connections>
</file>

<file path=xl/sharedStrings.xml><?xml version="1.0" encoding="utf-8"?>
<sst xmlns="http://schemas.openxmlformats.org/spreadsheetml/2006/main" count="625" uniqueCount="411">
  <si>
    <t>base_symbol</t>
  </si>
  <si>
    <t>shortName</t>
  </si>
  <si>
    <t>bid</t>
  </si>
  <si>
    <t>ask</t>
  </si>
  <si>
    <t>bid_D</t>
  </si>
  <si>
    <t>ask_D</t>
  </si>
  <si>
    <t>MEP</t>
  </si>
  <si>
    <t>MEP_compra_ARS</t>
  </si>
  <si>
    <t>MEP_compra_USD</t>
  </si>
  <si>
    <t>AAPL</t>
  </si>
  <si>
    <t>AMD</t>
  </si>
  <si>
    <t>AMZN</t>
  </si>
  <si>
    <t>BABA</t>
  </si>
  <si>
    <t>KO</t>
  </si>
  <si>
    <t>MELI</t>
  </si>
  <si>
    <t>MSFT</t>
  </si>
  <si>
    <t>NVDA</t>
  </si>
  <si>
    <t>PYPL</t>
  </si>
  <si>
    <t>TSLA</t>
  </si>
  <si>
    <t>VIST</t>
  </si>
  <si>
    <t>SPY</t>
  </si>
  <si>
    <t>precio</t>
  </si>
  <si>
    <t>FF</t>
  </si>
  <si>
    <t>MCD</t>
  </si>
  <si>
    <t>NKE</t>
  </si>
  <si>
    <t>PBR</t>
  </si>
  <si>
    <t>DIA</t>
  </si>
  <si>
    <t>FF USD</t>
  </si>
  <si>
    <t>Rend</t>
  </si>
  <si>
    <t>INTC</t>
  </si>
  <si>
    <t>Comisión</t>
  </si>
  <si>
    <t>dia</t>
  </si>
  <si>
    <t>compro T2</t>
  </si>
  <si>
    <t>inflacion</t>
  </si>
  <si>
    <t>anual</t>
  </si>
  <si>
    <t>diaria</t>
  </si>
  <si>
    <t>$/USD</t>
  </si>
  <si>
    <t>NPV</t>
  </si>
  <si>
    <t>liq compra
liq venta</t>
  </si>
  <si>
    <t>vendo T2</t>
  </si>
  <si>
    <t>liq compra</t>
  </si>
  <si>
    <t>liq venta</t>
  </si>
  <si>
    <t>Proyeccion precios</t>
  </si>
  <si>
    <t>Comision</t>
  </si>
  <si>
    <t>Compras + ventas</t>
  </si>
  <si>
    <t>Calendario liquidaciones</t>
  </si>
  <si>
    <t>Inversion $</t>
  </si>
  <si>
    <t>Inversion USD</t>
  </si>
  <si>
    <t>TEM</t>
  </si>
  <si>
    <t>TED</t>
  </si>
  <si>
    <t>TEA</t>
  </si>
  <si>
    <t>AL30</t>
  </si>
  <si>
    <t>AL30D</t>
  </si>
  <si>
    <t>spread</t>
  </si>
  <si>
    <t>Comprando y vendiendo en ARS y USD</t>
  </si>
  <si>
    <t>JNJ</t>
  </si>
  <si>
    <t>VZ</t>
  </si>
  <si>
    <t>WBA</t>
  </si>
  <si>
    <t>QQQ</t>
  </si>
  <si>
    <t>XLE</t>
  </si>
  <si>
    <t>open_BA</t>
  </si>
  <si>
    <t>bid_BA</t>
  </si>
  <si>
    <t>ask_BA</t>
  </si>
  <si>
    <t>open_D_BA</t>
  </si>
  <si>
    <t>bid_D_BA</t>
  </si>
  <si>
    <t>ask_D_BA</t>
  </si>
  <si>
    <t>volume_BA</t>
  </si>
  <si>
    <t>volume_D_BA</t>
  </si>
  <si>
    <t>Johnson &amp; Johnson</t>
  </si>
  <si>
    <t>DIS</t>
  </si>
  <si>
    <t>GOOGL</t>
  </si>
  <si>
    <t>JPM</t>
  </si>
  <si>
    <t>PEP</t>
  </si>
  <si>
    <t>PFE</t>
  </si>
  <si>
    <t>WMT</t>
  </si>
  <si>
    <t>EWZ</t>
  </si>
  <si>
    <t>conviene entrar ARS</t>
  </si>
  <si>
    <t>conviene entrar USD</t>
  </si>
  <si>
    <t>can_use</t>
  </si>
  <si>
    <t>BRKB</t>
  </si>
  <si>
    <t>META</t>
  </si>
  <si>
    <t/>
  </si>
  <si>
    <t>spread ars</t>
  </si>
  <si>
    <t>spread USD</t>
  </si>
  <si>
    <t>CONTADO CON LIQUI</t>
  </si>
  <si>
    <t>Compra</t>
  </si>
  <si>
    <t>Venta</t>
  </si>
  <si>
    <t>volume_money_BA</t>
  </si>
  <si>
    <t>volume_money_D_BA</t>
  </si>
  <si>
    <t>opero</t>
  </si>
  <si>
    <t>liquido</t>
  </si>
  <si>
    <t>VN</t>
  </si>
  <si>
    <t>simbolo</t>
  </si>
  <si>
    <t>valor</t>
  </si>
  <si>
    <t>simbolo_b</t>
  </si>
  <si>
    <t>moneda</t>
  </si>
  <si>
    <t>ARS</t>
  </si>
  <si>
    <t>USD</t>
  </si>
  <si>
    <t>plazo (T+)</t>
  </si>
  <si>
    <t>hora</t>
  </si>
  <si>
    <t>AAL</t>
  </si>
  <si>
    <t>American Airlines Group Inc.</t>
  </si>
  <si>
    <t>Apple</t>
  </si>
  <si>
    <t>ABEV</t>
  </si>
  <si>
    <t>Ambev</t>
  </si>
  <si>
    <t>ABT</t>
  </si>
  <si>
    <t>Abbott Laboratories</t>
  </si>
  <si>
    <t>Advanced Micro Devices</t>
  </si>
  <si>
    <t>Amazon</t>
  </si>
  <si>
    <t>ARKK</t>
  </si>
  <si>
    <t>Etf Ark Innovation</t>
  </si>
  <si>
    <t>AVGO</t>
  </si>
  <si>
    <t>Broadcom Inc.</t>
  </si>
  <si>
    <t>AXP</t>
  </si>
  <si>
    <t>American Express</t>
  </si>
  <si>
    <t>AZN</t>
  </si>
  <si>
    <t>Astrazeneca</t>
  </si>
  <si>
    <t>Alibaba Group</t>
  </si>
  <si>
    <t>BBD</t>
  </si>
  <si>
    <t>Banco Bradesco S.A.</t>
  </si>
  <si>
    <t>BIDU</t>
  </si>
  <si>
    <t>Baidu</t>
  </si>
  <si>
    <t>BIOX</t>
  </si>
  <si>
    <t>Bioceres Crop Solutions Corp</t>
  </si>
  <si>
    <t>BITF</t>
  </si>
  <si>
    <t>Bitfarms Ltd.</t>
  </si>
  <si>
    <t>BMY</t>
  </si>
  <si>
    <t>Bristol-Myers Squibb Co</t>
  </si>
  <si>
    <t>BP</t>
  </si>
  <si>
    <t>Berkshire Hathaway</t>
  </si>
  <si>
    <t>CAT</t>
  </si>
  <si>
    <t>Caterpillar</t>
  </si>
  <si>
    <t>COIN</t>
  </si>
  <si>
    <t>Coinbase Global Inc.</t>
  </si>
  <si>
    <t>CSCO</t>
  </si>
  <si>
    <t>Cisco Systems</t>
  </si>
  <si>
    <t>CVX</t>
  </si>
  <si>
    <t>Chevron</t>
  </si>
  <si>
    <t>DE</t>
  </si>
  <si>
    <t>Deere</t>
  </si>
  <si>
    <t>DESP</t>
  </si>
  <si>
    <t>Despegar</t>
  </si>
  <si>
    <t>Etf Spdr Dow Jones Industrial</t>
  </si>
  <si>
    <t>The Walt Disney Company</t>
  </si>
  <si>
    <t>EA</t>
  </si>
  <si>
    <t>Electronic Arts Inc.</t>
  </si>
  <si>
    <t>EBAY</t>
  </si>
  <si>
    <t>eBay</t>
  </si>
  <si>
    <t>EEM</t>
  </si>
  <si>
    <t>Etf Ishares Msci Emerging Market</t>
  </si>
  <si>
    <t>ERJ</t>
  </si>
  <si>
    <t>Embraer S.A.</t>
  </si>
  <si>
    <t>ETSY</t>
  </si>
  <si>
    <t>Etsy Inc</t>
  </si>
  <si>
    <t>Etf Ishares Msci Brazil</t>
  </si>
  <si>
    <t>F</t>
  </si>
  <si>
    <t>Ford Motor Company</t>
  </si>
  <si>
    <t>GILD</t>
  </si>
  <si>
    <t>Gilead Sciences</t>
  </si>
  <si>
    <t>GLOB</t>
  </si>
  <si>
    <t>Globant</t>
  </si>
  <si>
    <t>GM</t>
  </si>
  <si>
    <t>General Motors Co.</t>
  </si>
  <si>
    <t>Google</t>
  </si>
  <si>
    <t>GOLD</t>
  </si>
  <si>
    <t>Barrick Gold</t>
  </si>
  <si>
    <t>GSK</t>
  </si>
  <si>
    <t>GlaxoSmithKline</t>
  </si>
  <si>
    <t>HMY</t>
  </si>
  <si>
    <t>Harmony Gold</t>
  </si>
  <si>
    <t>HUT</t>
  </si>
  <si>
    <t>Hut 8 Mining Corp.</t>
  </si>
  <si>
    <t>IBM</t>
  </si>
  <si>
    <t>Intel</t>
  </si>
  <si>
    <t>ITUB</t>
  </si>
  <si>
    <t>Banco ItaÃº Unibanco S.A.</t>
  </si>
  <si>
    <t>IWM</t>
  </si>
  <si>
    <t>Etf Ishares Trust Russell 2000</t>
  </si>
  <si>
    <t>JMIA</t>
  </si>
  <si>
    <t>Jumia Technologies Ag</t>
  </si>
  <si>
    <t>JPMorgan Chase &amp; Co.</t>
  </si>
  <si>
    <t>The Coca-Cola Company</t>
  </si>
  <si>
    <t>LMT</t>
  </si>
  <si>
    <t>Lockheed Martin</t>
  </si>
  <si>
    <t>LRCX</t>
  </si>
  <si>
    <t>Lam Research Corp.</t>
  </si>
  <si>
    <t>MA</t>
  </si>
  <si>
    <t>Mastercard</t>
  </si>
  <si>
    <t>Mcdonald's</t>
  </si>
  <si>
    <t>MercadoLibre</t>
  </si>
  <si>
    <t>Meta Platforms Inc</t>
  </si>
  <si>
    <t>MMM</t>
  </si>
  <si>
    <t>3M</t>
  </si>
  <si>
    <t>MO</t>
  </si>
  <si>
    <t>Altria Group</t>
  </si>
  <si>
    <t>MOS</t>
  </si>
  <si>
    <t>The Mosaic Co</t>
  </si>
  <si>
    <t>MRK</t>
  </si>
  <si>
    <t>Merck</t>
  </si>
  <si>
    <t>Microsoft</t>
  </si>
  <si>
    <t>NFLX</t>
  </si>
  <si>
    <t>Netflix</t>
  </si>
  <si>
    <t>NIO</t>
  </si>
  <si>
    <t>Nio Inc.</t>
  </si>
  <si>
    <t>Nike</t>
  </si>
  <si>
    <t>Nvidia</t>
  </si>
  <si>
    <t>NVS</t>
  </si>
  <si>
    <t>Novartis AG</t>
  </si>
  <si>
    <t>OXY</t>
  </si>
  <si>
    <t>Occidental Petroleum Corporation</t>
  </si>
  <si>
    <t>PAAS</t>
  </si>
  <si>
    <t>Pan American Silver Corp.</t>
  </si>
  <si>
    <t>Petroleo Brasileiro S.A.</t>
  </si>
  <si>
    <t>Pepsico</t>
  </si>
  <si>
    <t>Pfizer</t>
  </si>
  <si>
    <t>PG</t>
  </si>
  <si>
    <t>Procter &amp; Gamble</t>
  </si>
  <si>
    <t>PSX</t>
  </si>
  <si>
    <t>Phillips 66</t>
  </si>
  <si>
    <t>Paypal Holdings Inc.</t>
  </si>
  <si>
    <t>QCOM</t>
  </si>
  <si>
    <t>Qualcomm</t>
  </si>
  <si>
    <t>Etf Invesco Qqq Trust</t>
  </si>
  <si>
    <t>RIO</t>
  </si>
  <si>
    <t>Rio Tinto</t>
  </si>
  <si>
    <t>SATL</t>
  </si>
  <si>
    <t>Satellogic Inc.</t>
  </si>
  <si>
    <t>SHOP</t>
  </si>
  <si>
    <t>Shopify Inc.</t>
  </si>
  <si>
    <t>SID</t>
  </si>
  <si>
    <t>Companhia SiderÃºrgica Nacional</t>
  </si>
  <si>
    <t>SNOW</t>
  </si>
  <si>
    <t>Snowflake Inc</t>
  </si>
  <si>
    <t>SPGI</t>
  </si>
  <si>
    <t>S&amp;P Global Inc.</t>
  </si>
  <si>
    <t>SPOT</t>
  </si>
  <si>
    <t>Spotify Technology S.A.</t>
  </si>
  <si>
    <t>Etf Spdr S&amp;P 500</t>
  </si>
  <si>
    <t>SQ</t>
  </si>
  <si>
    <t>Square Inc</t>
  </si>
  <si>
    <t>T</t>
  </si>
  <si>
    <t>AT&amp;T</t>
  </si>
  <si>
    <t>TEN</t>
  </si>
  <si>
    <t>Tenaris</t>
  </si>
  <si>
    <t>TM</t>
  </si>
  <si>
    <t>Toyota Motors</t>
  </si>
  <si>
    <t>Tesla</t>
  </si>
  <si>
    <t>TWLO</t>
  </si>
  <si>
    <t>Twilio Inc.</t>
  </si>
  <si>
    <t>TXN</t>
  </si>
  <si>
    <t>Texas Instruments</t>
  </si>
  <si>
    <t>TXR</t>
  </si>
  <si>
    <t>Ternium</t>
  </si>
  <si>
    <t>VALE</t>
  </si>
  <si>
    <t>Vale</t>
  </si>
  <si>
    <t>V</t>
  </si>
  <si>
    <t xml:space="preserve">Visa </t>
  </si>
  <si>
    <t>Vista Energy S.A.B. De C.V.</t>
  </si>
  <si>
    <t>Verizon Communications</t>
  </si>
  <si>
    <t>Walgreens Boots Alliance Inc</t>
  </si>
  <si>
    <t>WFC</t>
  </si>
  <si>
    <t>Wells Fargo</t>
  </si>
  <si>
    <t>Walmart</t>
  </si>
  <si>
    <t>X</t>
  </si>
  <si>
    <t>United States Steel</t>
  </si>
  <si>
    <t>Etf Spdr Energy Sector</t>
  </si>
  <si>
    <t>XLF</t>
  </si>
  <si>
    <t>Etf Spdr Financial Sector</t>
  </si>
  <si>
    <t>XOM</t>
  </si>
  <si>
    <t>Exxon Mobil</t>
  </si>
  <si>
    <t>ZM</t>
  </si>
  <si>
    <t>Zoom Video Communications Inc</t>
  </si>
  <si>
    <t>ABBV</t>
  </si>
  <si>
    <t>ABNB</t>
  </si>
  <si>
    <t>ADBE</t>
  </si>
  <si>
    <t>ADGO</t>
  </si>
  <si>
    <t>ADI</t>
  </si>
  <si>
    <t>ADP</t>
  </si>
  <si>
    <t>ADS</t>
  </si>
  <si>
    <t>AEM</t>
  </si>
  <si>
    <t>AIG</t>
  </si>
  <si>
    <t>AMAT</t>
  </si>
  <si>
    <t>AMGN</t>
  </si>
  <si>
    <t>AMX</t>
  </si>
  <si>
    <t>ANF</t>
  </si>
  <si>
    <t>AOCA</t>
  </si>
  <si>
    <t>ARCO</t>
  </si>
  <si>
    <t>ASR</t>
  </si>
  <si>
    <t>AVY</t>
  </si>
  <si>
    <t>BA</t>
  </si>
  <si>
    <t>BAYN</t>
  </si>
  <si>
    <t>BB</t>
  </si>
  <si>
    <t>BBVA</t>
  </si>
  <si>
    <t>BCS</t>
  </si>
  <si>
    <t>BHP</t>
  </si>
  <si>
    <t>BIIB</t>
  </si>
  <si>
    <t>BK</t>
  </si>
  <si>
    <t>BNG</t>
  </si>
  <si>
    <t>BRFS</t>
  </si>
  <si>
    <t>BSBR</t>
  </si>
  <si>
    <t>C</t>
  </si>
  <si>
    <t>CAAP</t>
  </si>
  <si>
    <t>CAH</t>
  </si>
  <si>
    <t>CAR</t>
  </si>
  <si>
    <t>CDE</t>
  </si>
  <si>
    <t>CL</t>
  </si>
  <si>
    <t>COST</t>
  </si>
  <si>
    <t>CRM</t>
  </si>
  <si>
    <t>CX</t>
  </si>
  <si>
    <t>DD</t>
  </si>
  <si>
    <t>DEO</t>
  </si>
  <si>
    <t>DOCU</t>
  </si>
  <si>
    <t>DOW</t>
  </si>
  <si>
    <t>E</t>
  </si>
  <si>
    <t>EBR</t>
  </si>
  <si>
    <t>EFX</t>
  </si>
  <si>
    <t>ERIC</t>
  </si>
  <si>
    <t>FCX</t>
  </si>
  <si>
    <t>FDX</t>
  </si>
  <si>
    <t>FMX</t>
  </si>
  <si>
    <t>FSLR</t>
  </si>
  <si>
    <t>GE</t>
  </si>
  <si>
    <t>GFI</t>
  </si>
  <si>
    <t>GGB</t>
  </si>
  <si>
    <t>GLW</t>
  </si>
  <si>
    <t>GPRK</t>
  </si>
  <si>
    <t>GRMN</t>
  </si>
  <si>
    <t>GS</t>
  </si>
  <si>
    <t>HAL</t>
  </si>
  <si>
    <t>HD</t>
  </si>
  <si>
    <t>HDB</t>
  </si>
  <si>
    <t>HL</t>
  </si>
  <si>
    <t>HMC</t>
  </si>
  <si>
    <t>HOG</t>
  </si>
  <si>
    <t>HON</t>
  </si>
  <si>
    <t>HPQ</t>
  </si>
  <si>
    <t>HSBC</t>
  </si>
  <si>
    <t>HSY</t>
  </si>
  <si>
    <t>HWM</t>
  </si>
  <si>
    <t>IFF</t>
  </si>
  <si>
    <t>INFY</t>
  </si>
  <si>
    <t>ING</t>
  </si>
  <si>
    <t>IP</t>
  </si>
  <si>
    <t>JD</t>
  </si>
  <si>
    <t>KMB</t>
  </si>
  <si>
    <t>KOF</t>
  </si>
  <si>
    <t>LLY</t>
  </si>
  <si>
    <t>LVS</t>
  </si>
  <si>
    <t>LYG</t>
  </si>
  <si>
    <t>MDT</t>
  </si>
  <si>
    <t>MMC</t>
  </si>
  <si>
    <t>MSI</t>
  </si>
  <si>
    <t>MSTR</t>
  </si>
  <si>
    <t>MU</t>
  </si>
  <si>
    <t>NEM</t>
  </si>
  <si>
    <t>NGG</t>
  </si>
  <si>
    <t>NOKA</t>
  </si>
  <si>
    <t>NTCO</t>
  </si>
  <si>
    <t>NTES</t>
  </si>
  <si>
    <t>NUE</t>
  </si>
  <si>
    <t>ORAN</t>
  </si>
  <si>
    <t>ORCL</t>
  </si>
  <si>
    <t>PANW</t>
  </si>
  <si>
    <t>PBI</t>
  </si>
  <si>
    <t>PHG</t>
  </si>
  <si>
    <t>PKS</t>
  </si>
  <si>
    <t>RBLX</t>
  </si>
  <si>
    <t>RTX</t>
  </si>
  <si>
    <t>SAN</t>
  </si>
  <si>
    <t>SAP</t>
  </si>
  <si>
    <t>SBS</t>
  </si>
  <si>
    <t>SBUX</t>
  </si>
  <si>
    <t>SCCO</t>
  </si>
  <si>
    <t>SE</t>
  </si>
  <si>
    <t>SHEL</t>
  </si>
  <si>
    <t>SLB</t>
  </si>
  <si>
    <t>SMSN</t>
  </si>
  <si>
    <t>SNA</t>
  </si>
  <si>
    <t>SNAP</t>
  </si>
  <si>
    <t>SONY</t>
  </si>
  <si>
    <t>SUZ</t>
  </si>
  <si>
    <t>SYY</t>
  </si>
  <si>
    <t>TCOM</t>
  </si>
  <si>
    <t>TEFOF</t>
  </si>
  <si>
    <t>TGT</t>
  </si>
  <si>
    <t>TIMB</t>
  </si>
  <si>
    <t>TMO</t>
  </si>
  <si>
    <t>TRIP</t>
  </si>
  <si>
    <t>TSM</t>
  </si>
  <si>
    <t>TTE</t>
  </si>
  <si>
    <t>TV</t>
  </si>
  <si>
    <t>UAL</t>
  </si>
  <si>
    <t>UBER</t>
  </si>
  <si>
    <t>UGP</t>
  </si>
  <si>
    <t>UL</t>
  </si>
  <si>
    <t>UNH</t>
  </si>
  <si>
    <t>UNP</t>
  </si>
  <si>
    <t>UPST</t>
  </si>
  <si>
    <t>USB</t>
  </si>
  <si>
    <t>VIV</t>
  </si>
  <si>
    <t>VOD</t>
  </si>
  <si>
    <t>VRSN</t>
  </si>
  <si>
    <t>WBO</t>
  </si>
  <si>
    <t>XP</t>
  </si>
  <si>
    <t>XRX</t>
  </si>
  <si>
    <t>YELP</t>
  </si>
  <si>
    <t>YY</t>
  </si>
  <si>
    <t>Abbvie Inc.</t>
  </si>
  <si>
    <t>Goldman Sachs</t>
  </si>
  <si>
    <t>Uber Technologies, Inc.</t>
  </si>
  <si>
    <t>Upstart Holdings,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</si>
</sst>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[$USD]\ #,##0.00"/>
    <numFmt numFmtId="169" formatCode="[$USD]\ #,##0"/>
    <numFmt numFmtId="170" formatCode="0\ &quot;V.N.&quot;"/>
    <numFmt numFmtId="171" formatCode="0.00000000000000%"/>
    <numFmt numFmtId="172" formatCode="[$USD]\ #,##0.00_);\([$USD]\ #,##0.00\)"/>
    <numFmt numFmtId="173" formatCode="[$-409]d\-mmm;@"/>
    <numFmt numFmtId="174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4"/>
      <color rgb="FF079A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79A7D"/>
      </bottom>
      <diagonal/>
    </border>
    <border>
      <left/>
      <right/>
      <top/>
      <bottom style="thin">
        <color rgb="FF079A7D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44" fontId="0" fillId="0" borderId="0" xfId="2" applyFont="1"/>
    <xf numFmtId="164" fontId="0" fillId="0" borderId="0" xfId="2" applyNumberFormat="1" applyFont="1"/>
    <xf numFmtId="165" fontId="0" fillId="0" borderId="0" xfId="2" applyNumberFormat="1" applyFont="1"/>
    <xf numFmtId="166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left"/>
    </xf>
    <xf numFmtId="10" fontId="0" fillId="0" borderId="0" xfId="3" applyNumberFormat="1" applyFont="1" applyAlignment="1">
      <alignment horizontal="left"/>
    </xf>
    <xf numFmtId="10" fontId="0" fillId="0" borderId="0" xfId="3" applyNumberFormat="1" applyFont="1"/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2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10" fontId="2" fillId="0" borderId="0" xfId="3" applyNumberFormat="1" applyFont="1" applyAlignment="1">
      <alignment horizontal="center"/>
    </xf>
    <xf numFmtId="0" fontId="4" fillId="5" borderId="0" xfId="0" applyFont="1" applyFill="1"/>
    <xf numFmtId="168" fontId="0" fillId="4" borderId="0" xfId="0" applyNumberForma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9" fontId="0" fillId="4" borderId="0" xfId="0" applyNumberFormat="1" applyFill="1"/>
    <xf numFmtId="10" fontId="0" fillId="4" borderId="0" xfId="3" applyNumberFormat="1" applyFont="1" applyFill="1"/>
    <xf numFmtId="171" fontId="0" fillId="0" borderId="0" xfId="0" applyNumberFormat="1"/>
    <xf numFmtId="0" fontId="0" fillId="3" borderId="2" xfId="0" applyFill="1" applyBorder="1" applyAlignment="1">
      <alignment vertical="center"/>
    </xf>
    <xf numFmtId="172" fontId="0" fillId="0" borderId="0" xfId="2" applyNumberFormat="1" applyFont="1"/>
    <xf numFmtId="167" fontId="0" fillId="0" borderId="0" xfId="3" applyNumberFormat="1" applyFont="1" applyAlignment="1">
      <alignment horizontal="center"/>
    </xf>
    <xf numFmtId="167" fontId="0" fillId="0" borderId="0" xfId="0" applyNumberFormat="1"/>
    <xf numFmtId="167" fontId="0" fillId="0" borderId="0" xfId="2" applyNumberFormat="1" applyFont="1"/>
    <xf numFmtId="167" fontId="0" fillId="0" borderId="0" xfId="3" applyNumberFormat="1" applyFont="1"/>
    <xf numFmtId="0" fontId="0" fillId="0" borderId="0" xfId="1" applyNumberFormat="1" applyFont="1"/>
    <xf numFmtId="0" fontId="5" fillId="0" borderId="0" xfId="0" applyFont="1"/>
    <xf numFmtId="0" fontId="0" fillId="0" borderId="3" xfId="0" applyBorder="1"/>
    <xf numFmtId="0" fontId="6" fillId="0" borderId="0" xfId="0" applyFont="1" applyAlignment="1">
      <alignment horizontal="right" vertical="center"/>
    </xf>
    <xf numFmtId="164" fontId="7" fillId="0" borderId="0" xfId="2" applyNumberFormat="1" applyFont="1" applyBorder="1"/>
    <xf numFmtId="173" fontId="0" fillId="0" borderId="0" xfId="0" applyNumberFormat="1"/>
    <xf numFmtId="0" fontId="0" fillId="6" borderId="0" xfId="0" applyFill="1"/>
    <xf numFmtId="173" fontId="0" fillId="0" borderId="4" xfId="0" applyNumberFormat="1" applyBorder="1"/>
    <xf numFmtId="0" fontId="0" fillId="0" borderId="4" xfId="0" applyBorder="1"/>
    <xf numFmtId="44" fontId="0" fillId="0" borderId="4" xfId="2" applyFont="1" applyBorder="1"/>
    <xf numFmtId="165" fontId="0" fillId="0" borderId="4" xfId="2" applyNumberFormat="1" applyFont="1" applyBorder="1"/>
    <xf numFmtId="168" fontId="0" fillId="0" borderId="4" xfId="0" applyNumberFormat="1" applyBorder="1"/>
    <xf numFmtId="44" fontId="0" fillId="0" borderId="0" xfId="2" applyFont="1" applyBorder="1"/>
    <xf numFmtId="174" fontId="0" fillId="0" borderId="0" xfId="0" applyNumberFormat="1"/>
    <xf numFmtId="174" fontId="0" fillId="0" borderId="4" xfId="0" applyNumberFormat="1" applyBorder="1"/>
    <xf numFmtId="0" fontId="0" fillId="3" borderId="2" xfId="0" applyFill="1" applyBorder="1" applyAlignment="1">
      <alignment horizontal="center" vertical="center"/>
    </xf>
    <xf numFmtId="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0">
    <dxf>
      <numFmt numFmtId="167" formatCode="0.0%"/>
    </dxf>
    <dxf>
      <numFmt numFmtId="167" formatCode="0.0%"/>
    </dxf>
    <dxf>
      <numFmt numFmtId="0" formatCode="General"/>
    </dxf>
    <dxf>
      <numFmt numFmtId="167" formatCode="0.0%"/>
    </dxf>
    <dxf>
      <numFmt numFmtId="167" formatCode="0.0%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numFmt numFmtId="166" formatCode="_(* #,##0_);_(* \(#,##0\);_(* &quot;-&quot;??_);_(@_)"/>
    </dxf>
    <dxf>
      <numFmt numFmtId="172" formatCode="[$USD]\ #,##0.00_);\([$USD]\ #,##0.00\)"/>
    </dxf>
    <dxf>
      <numFmt numFmtId="172" formatCode="[$USD]\ #,##0.00_);\([$USD]\ #,##0.00\)"/>
    </dxf>
    <dxf>
      <numFmt numFmtId="172" formatCode="[$USD]\ #,##0.00_);\([$USD]\ #,##0.00\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79A7D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C096D3-0DE4-4285-8E91-BC336AD69BF9}" autoFormatId="16" applyNumberFormats="0" applyBorderFormats="0" applyFontFormats="0" applyPatternFormats="0" applyAlignmentFormats="0" applyWidthHeightFormats="0">
  <queryTableRefresh nextId="21" unboundColumnsRight="5">
    <queryTableFields count="20">
      <queryTableField id="1" name="base_symbol" tableColumnId="1"/>
      <queryTableField id="2" name="shortName" tableColumnId="2"/>
      <queryTableField id="3" name="open_BA" tableColumnId="3"/>
      <queryTableField id="4" name="bid_BA" tableColumnId="4"/>
      <queryTableField id="5" name="ask_BA" tableColumnId="5"/>
      <queryTableField id="6" name="open_D_BA" tableColumnId="6"/>
      <queryTableField id="7" name="bid_D_BA" tableColumnId="7"/>
      <queryTableField id="8" name="ask_D_BA" tableColumnId="8"/>
      <queryTableField id="9" name="volume_BA" tableColumnId="9"/>
      <queryTableField id="19" dataBound="0" tableColumnId="19"/>
      <queryTableField id="10" name="volume_D_BA" tableColumnId="10"/>
      <queryTableField id="20" dataBound="0" tableColumnId="20"/>
      <queryTableField id="11" name="MEP" tableColumnId="11"/>
      <queryTableField id="12" name="MEP_compra_ARS" tableColumnId="12"/>
      <queryTableField id="13" name="MEP_compra_USD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8DBB61-1901-4454-A880-E909C4DDC6A0}" name="df_mep" displayName="df_mep" ref="A1:T240" tableType="queryTable" totalsRowShown="0">
  <autoFilter ref="A1:T240" xr:uid="{8B8DBB61-1901-4454-A880-E909C4DDC6A0}">
    <filterColumn colId="17">
      <filters>
        <filter val="1"/>
      </filters>
    </filterColumn>
  </autoFilter>
  <sortState xmlns:xlrd2="http://schemas.microsoft.com/office/spreadsheetml/2017/richdata2" ref="A12:T99">
    <sortCondition descending="1" ref="L1:L240"/>
  </sortState>
  <tableColumns count="20">
    <tableColumn id="1" xr3:uid="{A25F7CF4-0962-4BFF-82D4-B91C2C7964B0}" uniqueName="1" name="base_symbol" queryTableFieldId="1" dataDxfId="19"/>
    <tableColumn id="2" xr3:uid="{680E661D-B33C-43EC-A2F8-7DE2B25AB53D}" uniqueName="2" name="shortName" queryTableFieldId="2" dataDxfId="18"/>
    <tableColumn id="3" xr3:uid="{83E401EF-CA38-4C5C-A9FF-962A36DD3FD5}" uniqueName="3" name="open_BA" queryTableFieldId="3" dataDxfId="17" dataCellStyle="Currency"/>
    <tableColumn id="4" xr3:uid="{58FF5E4C-2C08-47E3-A3C6-F1F101C404FA}" uniqueName="4" name="bid_BA" queryTableFieldId="4" dataDxfId="16" dataCellStyle="Currency"/>
    <tableColumn id="5" xr3:uid="{2BC89932-DE3B-475E-A284-3F70D0307103}" uniqueName="5" name="ask_BA" queryTableFieldId="5" dataDxfId="15" dataCellStyle="Currency"/>
    <tableColumn id="6" xr3:uid="{C7E85038-7B79-484C-9C34-12FE33F87403}" uniqueName="6" name="open_D_BA" queryTableFieldId="6" dataDxfId="14" dataCellStyle="Currency"/>
    <tableColumn id="7" xr3:uid="{1BCD4DAD-C727-4ABA-9ED9-1880E097BB57}" uniqueName="7" name="bid_D_BA" queryTableFieldId="7" dataDxfId="13" dataCellStyle="Currency"/>
    <tableColumn id="8" xr3:uid="{1AFA65CA-9519-4DE8-AF77-03A5843F185D}" uniqueName="8" name="ask_D_BA" queryTableFieldId="8" dataDxfId="12" dataCellStyle="Currency"/>
    <tableColumn id="9" xr3:uid="{66E9ABB2-EA57-4EE9-8D86-ECB6893B2BE6}" uniqueName="9" name="volume_BA" queryTableFieldId="9" dataDxfId="11" dataCellStyle="Comma"/>
    <tableColumn id="19" xr3:uid="{54034E5B-3B98-4682-95E7-881F79CC0721}" uniqueName="19" name="volume_money_BA" queryTableFieldId="19" dataDxfId="10" dataCellStyle="Comma">
      <calculatedColumnFormula>df_mep[[#This Row],[volume_BA]]*df_mep[[#This Row],[open_BA]]</calculatedColumnFormula>
    </tableColumn>
    <tableColumn id="10" xr3:uid="{AC67D152-9878-45CA-BDE7-D61094A9B9B6}" uniqueName="10" name="volume_D_BA" queryTableFieldId="10" dataDxfId="9" dataCellStyle="Comma"/>
    <tableColumn id="20" xr3:uid="{96073C08-0EF1-4741-887D-5EB2E64F0745}" uniqueName="20" name="volume_money_D_BA" queryTableFieldId="20" dataDxfId="8" dataCellStyle="Comma">
      <calculatedColumnFormula>df_mep[[#This Row],[volume_D_BA]]*df_mep[[#This Row],[open_D_BA]]</calculatedColumnFormula>
    </tableColumn>
    <tableColumn id="11" xr3:uid="{772FC475-4993-4BE3-A46F-835573978718}" uniqueName="11" name="MEP" queryTableFieldId="11" dataDxfId="7" dataCellStyle="Currency"/>
    <tableColumn id="12" xr3:uid="{FA5F905C-A15F-4321-A8CF-7611E34DC901}" uniqueName="12" name="MEP_compra_ARS" queryTableFieldId="12" dataDxfId="6" dataCellStyle="Currency"/>
    <tableColumn id="13" xr3:uid="{02E967CE-14A3-4DCC-A8FC-C96602FC94EB}" uniqueName="13" name="MEP_compra_USD" queryTableFieldId="13" dataDxfId="5" dataCellStyle="Currency"/>
    <tableColumn id="14" xr3:uid="{8F3D5C7E-785E-4708-BA07-68F6B125963A}" uniqueName="14" name="conviene entrar ARS" queryTableFieldId="14" dataDxfId="4" dataCellStyle="Currency">
      <calculatedColumnFormula>MIN(1-df_mep[[#This Row],[MEP_compra_ARS]]/MEDIAN(N:N),100%)</calculatedColumnFormula>
    </tableColumn>
    <tableColumn id="15" xr3:uid="{CBDF9D36-294C-4D8E-B718-EDB9C5ACCA35}" uniqueName="15" name="conviene entrar USD" queryTableFieldId="15" dataDxfId="3" dataCellStyle="Percent">
      <calculatedColumnFormula>df_mep[[#This Row],[MEP_compra_USD]]/MEDIAN(O:O)-1</calculatedColumnFormula>
    </tableColumn>
    <tableColumn id="16" xr3:uid="{65B5EC3D-FDD4-43A5-ABBE-2380967338C3}" uniqueName="16" name="can_use" queryTableFieldId="16" dataDxfId="2" dataCellStyle="Comma">
      <calculatedColumnFormula>IF(AND(
df_mep[[#This Row],[volume_money_BA]]&gt;80000,
df_mep[[#This Row],[volume_money_D_BA]]&gt;2000,
ABS(df_mep[[#This Row],[conviene entrar ARS]])&lt;0.5,
ABS(df_mep[[#This Row],[conviene entrar USD]])&lt;0.5
),1,0)</calculatedColumnFormula>
    </tableColumn>
    <tableColumn id="17" xr3:uid="{03826CDE-0CE1-42B5-9293-C08A7C53A520}" uniqueName="17" name="spread ars" queryTableFieldId="17" dataDxfId="1" dataCellStyle="Percent">
      <calculatedColumnFormula>ABS(df_mep[[#This Row],[bid_BA]]-df_mep[[#This Row],[ask_BA]])/AVERAGE(df_mep[[#This Row],[bid_BA]:[ask_BA]])</calculatedColumnFormula>
    </tableColumn>
    <tableColumn id="18" xr3:uid="{18B17EEB-3F12-49CE-A610-89F304C2E904}" uniqueName="18" name="spread USD" queryTableFieldId="18" dataDxfId="0">
      <calculatedColumnFormula>ABS(df_mep[[#This Row],[bid_D_BA]]-df_mep[[#This Row],[ask_D_BA]])/AVERAGE(df_mep[[#This Row],[bid_D_BA]:[ask_D_BA]])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0FED-9204-44C6-AC20-83C7AE85F5CC}">
  <dimension ref="A1:T240"/>
  <sheetViews>
    <sheetView zoomScale="67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L74" sqref="A1:L74"/>
    </sheetView>
  </sheetViews>
  <sheetFormatPr defaultRowHeight="14.5" x14ac:dyDescent="0.35"/>
  <cols>
    <col min="1" max="1" width="8.7265625" bestFit="1" customWidth="1"/>
    <col min="2" max="2" width="30.36328125" bestFit="1" customWidth="1"/>
    <col min="3" max="5" width="8.7265625" style="4" bestFit="1" customWidth="1"/>
    <col min="6" max="6" width="14.08984375" style="34" bestFit="1" customWidth="1"/>
    <col min="7" max="8" width="13.453125" style="34" bestFit="1" customWidth="1"/>
    <col min="9" max="9" width="15.26953125" style="5" bestFit="1" customWidth="1"/>
    <col min="10" max="12" width="8.7265625" style="5" bestFit="1" customWidth="1"/>
    <col min="13" max="15" width="8.7265625" style="3" bestFit="1" customWidth="1"/>
    <col min="16" max="17" width="8.7265625" style="36" bestFit="1" customWidth="1"/>
    <col min="18" max="18" width="8.7265625" style="39" bestFit="1" customWidth="1"/>
    <col min="19" max="19" width="8.7265625" style="38" bestFit="1" customWidth="1"/>
    <col min="20" max="20" width="8.7265625" bestFit="1" customWidth="1"/>
  </cols>
  <sheetData>
    <row r="1" spans="1:20" x14ac:dyDescent="0.35">
      <c r="A1" t="s">
        <v>0</v>
      </c>
      <c r="B1" t="s">
        <v>1</v>
      </c>
      <c r="C1" s="4" t="s">
        <v>60</v>
      </c>
      <c r="D1" s="4" t="s">
        <v>61</v>
      </c>
      <c r="E1" s="4" t="s">
        <v>62</v>
      </c>
      <c r="F1" s="34" t="s">
        <v>63</v>
      </c>
      <c r="G1" s="34" t="s">
        <v>64</v>
      </c>
      <c r="H1" s="34" t="s">
        <v>65</v>
      </c>
      <c r="I1" s="5" t="s">
        <v>66</v>
      </c>
      <c r="J1" s="5" t="s">
        <v>87</v>
      </c>
      <c r="K1" s="5" t="s">
        <v>67</v>
      </c>
      <c r="L1" s="5" t="s">
        <v>88</v>
      </c>
      <c r="M1" s="3" t="s">
        <v>6</v>
      </c>
      <c r="N1" s="3" t="s">
        <v>7</v>
      </c>
      <c r="O1" s="3" t="s">
        <v>8</v>
      </c>
      <c r="P1" s="35" t="s">
        <v>76</v>
      </c>
      <c r="Q1" s="35" t="s">
        <v>77</v>
      </c>
      <c r="R1" s="39" t="s">
        <v>78</v>
      </c>
      <c r="S1" s="38" t="s">
        <v>82</v>
      </c>
      <c r="T1" s="38" t="s">
        <v>83</v>
      </c>
    </row>
    <row r="2" spans="1:20" hidden="1" x14ac:dyDescent="0.35">
      <c r="A2" s="55" t="s">
        <v>118</v>
      </c>
      <c r="B2" s="55" t="s">
        <v>119</v>
      </c>
      <c r="C2" s="4">
        <v>2681</v>
      </c>
      <c r="D2" s="4">
        <v>2725</v>
      </c>
      <c r="E2" s="4">
        <v>2715</v>
      </c>
      <c r="F2" s="34">
        <v>2681</v>
      </c>
      <c r="G2" s="34">
        <v>2725</v>
      </c>
      <c r="H2" s="34">
        <v>2715</v>
      </c>
      <c r="I2" s="5">
        <v>15897</v>
      </c>
      <c r="J2" s="5">
        <f>df_mep[[#This Row],[volume_BA]]*df_mep[[#This Row],[open_BA]]</f>
        <v>42619857</v>
      </c>
      <c r="K2" s="5">
        <v>15897</v>
      </c>
      <c r="L2" s="5">
        <f>df_mep[[#This Row],[volume_D_BA]]*df_mep[[#This Row],[open_D_BA]]</f>
        <v>42619857</v>
      </c>
      <c r="M2" s="3">
        <v>1</v>
      </c>
      <c r="N2" s="3">
        <v>0.9963302752293578</v>
      </c>
      <c r="O2" s="3">
        <v>1.003683241252302</v>
      </c>
      <c r="P2" s="37">
        <f>MIN(1-df_mep[[#This Row],[MEP_compra_ARS]]/MEDIAN(N:N),100%)</f>
        <v>0.99883497125559284</v>
      </c>
      <c r="Q2" s="38">
        <f>df_mep[[#This Row],[MEP_compra_USD]]/MEDIAN(O:O)-1</f>
        <v>-0.99894455958452744</v>
      </c>
      <c r="R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" s="38">
        <f>ABS(df_mep[[#This Row],[bid_BA]]-df_mep[[#This Row],[ask_BA]])/AVERAGE(df_mep[[#This Row],[bid_BA]:[ask_BA]])</f>
        <v>3.6764705882352941E-3</v>
      </c>
      <c r="T2" s="38">
        <f>ABS(df_mep[[#This Row],[bid_D_BA]]-df_mep[[#This Row],[ask_D_BA]])/AVERAGE(df_mep[[#This Row],[bid_D_BA]:[ask_D_BA]])</f>
        <v>3.6764705882352941E-3</v>
      </c>
    </row>
    <row r="3" spans="1:20" hidden="1" x14ac:dyDescent="0.35">
      <c r="A3" s="55" t="s">
        <v>229</v>
      </c>
      <c r="B3" s="55" t="s">
        <v>230</v>
      </c>
      <c r="C3" s="4">
        <v>16790</v>
      </c>
      <c r="D3" s="4">
        <v>17107</v>
      </c>
      <c r="E3" s="4">
        <v>17060</v>
      </c>
      <c r="F3" s="34">
        <v>16790</v>
      </c>
      <c r="G3" s="34">
        <v>17107</v>
      </c>
      <c r="H3" s="34">
        <v>17060</v>
      </c>
      <c r="I3" s="5">
        <v>44</v>
      </c>
      <c r="J3" s="5">
        <f>df_mep[[#This Row],[volume_BA]]*df_mep[[#This Row],[open_BA]]</f>
        <v>738760</v>
      </c>
      <c r="K3" s="5">
        <v>44</v>
      </c>
      <c r="L3" s="5">
        <f>df_mep[[#This Row],[volume_D_BA]]*df_mep[[#This Row],[open_D_BA]]</f>
        <v>738760</v>
      </c>
      <c r="M3" s="3">
        <v>1</v>
      </c>
      <c r="N3" s="3">
        <v>0.99725258666043137</v>
      </c>
      <c r="O3" s="3">
        <v>1.0027549824150059</v>
      </c>
      <c r="P3" s="37">
        <f>MIN(1-df_mep[[#This Row],[MEP_compra_ARS]]/MEDIAN(N:N),100%)</f>
        <v>0.9988338927785505</v>
      </c>
      <c r="Q3" s="38">
        <f>df_mep[[#This Row],[MEP_compra_USD]]/MEDIAN(O:O)-1</f>
        <v>-0.99894553571111067</v>
      </c>
      <c r="R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" s="38">
        <f>ABS(df_mep[[#This Row],[bid_BA]]-df_mep[[#This Row],[ask_BA]])/AVERAGE(df_mep[[#This Row],[bid_BA]:[ask_BA]])</f>
        <v>2.7511926712910119E-3</v>
      </c>
      <c r="T3" s="36">
        <f>ABS(df_mep[[#This Row],[bid_D_BA]]-df_mep[[#This Row],[ask_D_BA]])/AVERAGE(df_mep[[#This Row],[bid_D_BA]:[ask_D_BA]])</f>
        <v>2.7511926712910119E-3</v>
      </c>
    </row>
    <row r="4" spans="1:20" hidden="1" x14ac:dyDescent="0.35">
      <c r="A4" s="55" t="s">
        <v>134</v>
      </c>
      <c r="B4" s="55" t="s">
        <v>135</v>
      </c>
      <c r="C4" s="4">
        <v>9970</v>
      </c>
      <c r="D4" s="4">
        <v>10316</v>
      </c>
      <c r="E4" s="4">
        <v>10310</v>
      </c>
      <c r="F4" s="34">
        <v>10.95</v>
      </c>
      <c r="G4" s="34">
        <v>16</v>
      </c>
      <c r="H4" s="34">
        <v>9.25</v>
      </c>
      <c r="I4" s="5">
        <v>1717</v>
      </c>
      <c r="J4" s="5">
        <f>df_mep[[#This Row],[volume_BA]]*df_mep[[#This Row],[open_BA]]</f>
        <v>17118490</v>
      </c>
      <c r="K4" s="5">
        <v>0</v>
      </c>
      <c r="L4" s="5">
        <f>df_mep[[#This Row],[volume_D_BA]]*df_mep[[#This Row],[open_D_BA]]</f>
        <v>0</v>
      </c>
      <c r="M4" s="3">
        <v>910.50228310502291</v>
      </c>
      <c r="N4" s="3">
        <v>644.375</v>
      </c>
      <c r="O4" s="3">
        <v>1115.2432432432433</v>
      </c>
      <c r="P4" s="37">
        <f>MIN(1-df_mep[[#This Row],[MEP_compra_ARS]]/MEDIAN(N:N),100%)</f>
        <v>0.24651953690303907</v>
      </c>
      <c r="Q4" s="38">
        <f>df_mep[[#This Row],[MEP_compra_USD]]/MEDIAN(O:O)-1</f>
        <v>0.17275325881999293</v>
      </c>
      <c r="R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" s="38">
        <f>ABS(df_mep[[#This Row],[bid_BA]]-df_mep[[#This Row],[ask_BA]])/AVERAGE(df_mep[[#This Row],[bid_BA]:[ask_BA]])</f>
        <v>5.8178997381945117E-4</v>
      </c>
      <c r="T4" s="36">
        <f>ABS(df_mep[[#This Row],[bid_D_BA]]-df_mep[[#This Row],[ask_D_BA]])/AVERAGE(df_mep[[#This Row],[bid_D_BA]:[ask_D_BA]])</f>
        <v>0.53465346534653468</v>
      </c>
    </row>
    <row r="5" spans="1:20" hidden="1" x14ac:dyDescent="0.35">
      <c r="A5" s="55" t="s">
        <v>174</v>
      </c>
      <c r="B5" s="55" t="s">
        <v>175</v>
      </c>
      <c r="C5" s="4">
        <v>5169.5</v>
      </c>
      <c r="D5" s="4">
        <v>5157</v>
      </c>
      <c r="E5" s="4">
        <v>5100</v>
      </c>
      <c r="F5" s="34">
        <v>5.6</v>
      </c>
      <c r="G5" s="34">
        <v>7.7</v>
      </c>
      <c r="H5" s="34">
        <v>5.2</v>
      </c>
      <c r="I5" s="5">
        <v>525</v>
      </c>
      <c r="J5" s="5">
        <f>df_mep[[#This Row],[volume_BA]]*df_mep[[#This Row],[open_BA]]</f>
        <v>2713987.5</v>
      </c>
      <c r="K5" s="5">
        <v>0</v>
      </c>
      <c r="L5" s="5">
        <f>df_mep[[#This Row],[volume_D_BA]]*df_mep[[#This Row],[open_D_BA]]</f>
        <v>0</v>
      </c>
      <c r="M5" s="3">
        <v>923.12500000000011</v>
      </c>
      <c r="N5" s="3">
        <v>662.33766233766232</v>
      </c>
      <c r="O5" s="3">
        <v>991.73076923076917</v>
      </c>
      <c r="P5" s="37">
        <f>MIN(1-df_mep[[#This Row],[MEP_compra_ARS]]/MEDIAN(N:N),100%)</f>
        <v>0.22551543969778409</v>
      </c>
      <c r="Q5" s="38">
        <f>df_mep[[#This Row],[MEP_compra_USD]]/MEDIAN(O:O)-1</f>
        <v>4.2871587462082861E-2</v>
      </c>
      <c r="R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" s="38">
        <f>ABS(df_mep[[#This Row],[bid_BA]]-df_mep[[#This Row],[ask_BA]])/AVERAGE(df_mep[[#This Row],[bid_BA]:[ask_BA]])</f>
        <v>1.1114360924246856E-2</v>
      </c>
      <c r="T5" s="36">
        <f>ABS(df_mep[[#This Row],[bid_D_BA]]-df_mep[[#This Row],[ask_D_BA]])/AVERAGE(df_mep[[#This Row],[bid_D_BA]:[ask_D_BA]])</f>
        <v>0.38759689922480617</v>
      </c>
    </row>
    <row r="6" spans="1:20" hidden="1" x14ac:dyDescent="0.35">
      <c r="A6" s="55" t="s">
        <v>238</v>
      </c>
      <c r="B6" s="55" t="s">
        <v>239</v>
      </c>
      <c r="C6" s="4">
        <v>2100</v>
      </c>
      <c r="D6" s="4">
        <v>2149</v>
      </c>
      <c r="E6" s="4">
        <v>2125</v>
      </c>
      <c r="F6" s="34">
        <v>2.21</v>
      </c>
      <c r="G6" s="34">
        <v>3</v>
      </c>
      <c r="H6" s="34">
        <v>2</v>
      </c>
      <c r="I6" s="5">
        <v>6884</v>
      </c>
      <c r="J6" s="5">
        <f>df_mep[[#This Row],[volume_BA]]*df_mep[[#This Row],[open_BA]]</f>
        <v>14456400</v>
      </c>
      <c r="K6" s="5">
        <v>0</v>
      </c>
      <c r="L6" s="5">
        <f>df_mep[[#This Row],[volume_D_BA]]*df_mep[[#This Row],[open_D_BA]]</f>
        <v>0</v>
      </c>
      <c r="M6" s="3">
        <v>950.22624434389138</v>
      </c>
      <c r="N6" s="3">
        <v>708.33333333333337</v>
      </c>
      <c r="O6" s="3">
        <v>1074.5</v>
      </c>
      <c r="P6" s="37">
        <f>MIN(1-df_mep[[#This Row],[MEP_compra_ARS]]/MEDIAN(N:N),100%)</f>
        <v>0.17173178967679692</v>
      </c>
      <c r="Q6" s="38">
        <f>df_mep[[#This Row],[MEP_compra_USD]]/MEDIAN(O:O)-1</f>
        <v>0.12990899898887776</v>
      </c>
      <c r="R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" s="38">
        <f>ABS(df_mep[[#This Row],[bid_BA]]-df_mep[[#This Row],[ask_BA]])/AVERAGE(df_mep[[#This Row],[bid_BA]:[ask_BA]])</f>
        <v>1.1230697239120261E-2</v>
      </c>
      <c r="T6" s="36">
        <f>ABS(df_mep[[#This Row],[bid_D_BA]]-df_mep[[#This Row],[ask_D_BA]])/AVERAGE(df_mep[[#This Row],[bid_D_BA]:[ask_D_BA]])</f>
        <v>0.4</v>
      </c>
    </row>
    <row r="7" spans="1:20" hidden="1" x14ac:dyDescent="0.35">
      <c r="A7" s="55" t="s">
        <v>225</v>
      </c>
      <c r="B7" s="55" t="s">
        <v>226</v>
      </c>
      <c r="C7" s="4">
        <v>1000</v>
      </c>
      <c r="D7" s="4">
        <v>1028</v>
      </c>
      <c r="E7" s="4">
        <v>1015</v>
      </c>
      <c r="F7" s="34">
        <v>1.43</v>
      </c>
      <c r="G7" s="34">
        <v>1.43</v>
      </c>
      <c r="H7" s="34">
        <v>1.05</v>
      </c>
      <c r="I7" s="5">
        <v>3253</v>
      </c>
      <c r="J7" s="5">
        <f>df_mep[[#This Row],[volume_BA]]*df_mep[[#This Row],[open_BA]]</f>
        <v>3253000</v>
      </c>
      <c r="K7" s="5">
        <v>10</v>
      </c>
      <c r="L7" s="5">
        <f>df_mep[[#This Row],[volume_D_BA]]*df_mep[[#This Row],[open_D_BA]]</f>
        <v>14.299999999999999</v>
      </c>
      <c r="M7" s="3">
        <v>699.30069930069931</v>
      </c>
      <c r="N7" s="3">
        <v>709.79020979020981</v>
      </c>
      <c r="O7" s="3">
        <v>979.04761904761904</v>
      </c>
      <c r="P7" s="37">
        <f>MIN(1-df_mep[[#This Row],[MEP_compra_ARS]]/MEDIAN(N:N),100%)</f>
        <v>0.17002823515124521</v>
      </c>
      <c r="Q7" s="38">
        <f>df_mep[[#This Row],[MEP_compra_USD]]/MEDIAN(O:O)-1</f>
        <v>2.9534402234098867E-2</v>
      </c>
      <c r="R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" s="38">
        <f>ABS(df_mep[[#This Row],[bid_BA]]-df_mep[[#This Row],[ask_BA]])/AVERAGE(df_mep[[#This Row],[bid_BA]:[ask_BA]])</f>
        <v>1.2726382770435633E-2</v>
      </c>
      <c r="T7" s="36">
        <f>ABS(df_mep[[#This Row],[bid_D_BA]]-df_mep[[#This Row],[ask_D_BA]])/AVERAGE(df_mep[[#This Row],[bid_D_BA]:[ask_D_BA]])</f>
        <v>0.3064516129032257</v>
      </c>
    </row>
    <row r="8" spans="1:20" hidden="1" x14ac:dyDescent="0.35">
      <c r="A8" s="55" t="s">
        <v>146</v>
      </c>
      <c r="B8" s="55" t="s">
        <v>147</v>
      </c>
      <c r="C8" s="4">
        <v>19860</v>
      </c>
      <c r="D8" s="4">
        <v>20187</v>
      </c>
      <c r="E8" s="4">
        <v>19782</v>
      </c>
      <c r="F8" s="34">
        <v>22</v>
      </c>
      <c r="G8" s="34">
        <v>26.3</v>
      </c>
      <c r="H8" s="34">
        <v>21.1</v>
      </c>
      <c r="I8" s="5">
        <v>354</v>
      </c>
      <c r="J8" s="5">
        <f>df_mep[[#This Row],[volume_BA]]*df_mep[[#This Row],[open_BA]]</f>
        <v>7030440</v>
      </c>
      <c r="K8" s="5">
        <v>0</v>
      </c>
      <c r="L8" s="5">
        <f>df_mep[[#This Row],[volume_D_BA]]*df_mep[[#This Row],[open_D_BA]]</f>
        <v>0</v>
      </c>
      <c r="M8" s="3">
        <v>902.72727272727275</v>
      </c>
      <c r="N8" s="3">
        <v>752.16730038022808</v>
      </c>
      <c r="O8" s="3">
        <v>956.72985781990519</v>
      </c>
      <c r="P8" s="37">
        <f>MIN(1-df_mep[[#This Row],[MEP_compra_ARS]]/MEDIAN(N:N),100%)</f>
        <v>0.12047586294178825</v>
      </c>
      <c r="Q8" s="38">
        <f>df_mep[[#This Row],[MEP_compra_USD]]/MEDIAN(O:O)-1</f>
        <v>6.0657756650166483E-3</v>
      </c>
      <c r="R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" s="38">
        <f>ABS(df_mep[[#This Row],[bid_BA]]-df_mep[[#This Row],[ask_BA]])/AVERAGE(df_mep[[#This Row],[bid_BA]:[ask_BA]])</f>
        <v>2.0265705922089618E-2</v>
      </c>
      <c r="T8" s="36">
        <f>ABS(df_mep[[#This Row],[bid_D_BA]]-df_mep[[#This Row],[ask_D_BA]])/AVERAGE(df_mep[[#This Row],[bid_D_BA]:[ask_D_BA]])</f>
        <v>0.2194092827004219</v>
      </c>
    </row>
    <row r="9" spans="1:20" hidden="1" x14ac:dyDescent="0.35">
      <c r="A9" s="55" t="s">
        <v>178</v>
      </c>
      <c r="B9" s="55" t="s">
        <v>179</v>
      </c>
      <c r="C9" s="4">
        <v>2440</v>
      </c>
      <c r="D9" s="4">
        <v>2472.5</v>
      </c>
      <c r="E9" s="4">
        <v>2406</v>
      </c>
      <c r="F9" s="34">
        <v>2.9</v>
      </c>
      <c r="G9" s="34">
        <v>3.19</v>
      </c>
      <c r="H9" s="34">
        <v>2.6</v>
      </c>
      <c r="I9" s="5">
        <v>10366</v>
      </c>
      <c r="J9" s="5">
        <f>df_mep[[#This Row],[volume_BA]]*df_mep[[#This Row],[open_BA]]</f>
        <v>25293040</v>
      </c>
      <c r="K9" s="5">
        <v>0</v>
      </c>
      <c r="L9" s="5">
        <f>df_mep[[#This Row],[volume_D_BA]]*df_mep[[#This Row],[open_D_BA]]</f>
        <v>0</v>
      </c>
      <c r="M9" s="3">
        <v>841.37931034482756</v>
      </c>
      <c r="N9" s="3">
        <v>754.23197492163013</v>
      </c>
      <c r="O9" s="3">
        <v>950.96153846153845</v>
      </c>
      <c r="P9" s="37">
        <f>MIN(1-df_mep[[#This Row],[MEP_compra_ARS]]/MEDIAN(N:N),100%)</f>
        <v>0.11806159806559025</v>
      </c>
      <c r="Q9" s="38">
        <f>df_mep[[#This Row],[MEP_compra_USD]]/MEDIAN(O:O)-1</f>
        <v>0</v>
      </c>
      <c r="R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" s="38">
        <f>ABS(df_mep[[#This Row],[bid_BA]]-df_mep[[#This Row],[ask_BA]])/AVERAGE(df_mep[[#This Row],[bid_BA]:[ask_BA]])</f>
        <v>2.726247822076458E-2</v>
      </c>
      <c r="T9" s="36">
        <f>ABS(df_mep[[#This Row],[bid_D_BA]]-df_mep[[#This Row],[ask_D_BA]])/AVERAGE(df_mep[[#This Row],[bid_D_BA]:[ask_D_BA]])</f>
        <v>0.20379965457685659</v>
      </c>
    </row>
    <row r="10" spans="1:20" hidden="1" x14ac:dyDescent="0.35">
      <c r="A10" s="55" t="s">
        <v>195</v>
      </c>
      <c r="B10" s="55" t="s">
        <v>196</v>
      </c>
      <c r="C10" s="4">
        <v>6788.5</v>
      </c>
      <c r="D10" s="4">
        <v>6860.5</v>
      </c>
      <c r="E10" s="4">
        <v>6713.5</v>
      </c>
      <c r="F10" s="34">
        <v>8.9</v>
      </c>
      <c r="G10" s="34">
        <v>8.9</v>
      </c>
      <c r="H10" s="34">
        <v>2.6</v>
      </c>
      <c r="I10" s="5">
        <v>824</v>
      </c>
      <c r="J10" s="5">
        <f>df_mep[[#This Row],[volume_BA]]*df_mep[[#This Row],[open_BA]]</f>
        <v>5593724</v>
      </c>
      <c r="K10" s="5">
        <v>0</v>
      </c>
      <c r="L10" s="5">
        <f>df_mep[[#This Row],[volume_D_BA]]*df_mep[[#This Row],[open_D_BA]]</f>
        <v>0</v>
      </c>
      <c r="M10" s="3">
        <v>762.75280898876406</v>
      </c>
      <c r="N10" s="3">
        <v>754.32584269662914</v>
      </c>
      <c r="O10" s="3">
        <v>2638.6538461538462</v>
      </c>
      <c r="P10" s="37">
        <f>MIN(1-df_mep[[#This Row],[MEP_compra_ARS]]/MEDIAN(N:N),100%)</f>
        <v>0.11795183661522957</v>
      </c>
      <c r="Q10" s="38">
        <f>df_mep[[#This Row],[MEP_compra_USD]]/MEDIAN(O:O)-1</f>
        <v>1.7747219413549038</v>
      </c>
      <c r="R1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" s="38">
        <f>ABS(df_mep[[#This Row],[bid_BA]]-df_mep[[#This Row],[ask_BA]])/AVERAGE(df_mep[[#This Row],[bid_BA]:[ask_BA]])</f>
        <v>2.1659054073964932E-2</v>
      </c>
      <c r="T10" s="36">
        <f>ABS(df_mep[[#This Row],[bid_D_BA]]-df_mep[[#This Row],[ask_D_BA]])/AVERAGE(df_mep[[#This Row],[bid_D_BA]:[ask_D_BA]])</f>
        <v>1.0956521739130436</v>
      </c>
    </row>
    <row r="11" spans="1:20" hidden="1" x14ac:dyDescent="0.35">
      <c r="A11" s="55" t="s">
        <v>270</v>
      </c>
      <c r="B11" s="55" t="s">
        <v>271</v>
      </c>
      <c r="C11" s="4">
        <v>1300</v>
      </c>
      <c r="D11" s="4">
        <v>1286.5</v>
      </c>
      <c r="E11" s="4">
        <v>1278</v>
      </c>
      <c r="F11" s="34">
        <v>1.71</v>
      </c>
      <c r="G11" s="34">
        <v>1.69</v>
      </c>
      <c r="H11" s="34">
        <v>1.2</v>
      </c>
      <c r="I11" s="5">
        <v>5125</v>
      </c>
      <c r="J11" s="5">
        <f>df_mep[[#This Row],[volume_BA]]*df_mep[[#This Row],[open_BA]]</f>
        <v>6662500</v>
      </c>
      <c r="K11" s="5">
        <v>0</v>
      </c>
      <c r="L11" s="5">
        <f>df_mep[[#This Row],[volume_D_BA]]*df_mep[[#This Row],[open_D_BA]]</f>
        <v>0</v>
      </c>
      <c r="M11" s="3">
        <v>760.23391812865498</v>
      </c>
      <c r="N11" s="3">
        <v>756.21301775147936</v>
      </c>
      <c r="O11" s="3">
        <v>1072.0833333333335</v>
      </c>
      <c r="P11" s="37">
        <f>MIN(1-df_mep[[#This Row],[MEP_compra_ARS]]/MEDIAN(N:N),100%)</f>
        <v>0.11574512540782156</v>
      </c>
      <c r="Q11" s="38">
        <f>df_mep[[#This Row],[MEP_compra_USD]]/MEDIAN(O:O)-1</f>
        <v>0.1273677114930909</v>
      </c>
      <c r="R1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" s="38">
        <f>ABS(df_mep[[#This Row],[bid_BA]]-df_mep[[#This Row],[ask_BA]])/AVERAGE(df_mep[[#This Row],[bid_BA]:[ask_BA]])</f>
        <v>6.6289725092610642E-3</v>
      </c>
      <c r="T11" s="36">
        <f>ABS(df_mep[[#This Row],[bid_D_BA]]-df_mep[[#This Row],[ask_D_BA]])/AVERAGE(df_mep[[#This Row],[bid_D_BA]:[ask_D_BA]])</f>
        <v>0.33910034602076128</v>
      </c>
    </row>
    <row r="12" spans="1:20" x14ac:dyDescent="0.35">
      <c r="A12" s="55" t="s">
        <v>20</v>
      </c>
      <c r="B12" s="55" t="s">
        <v>237</v>
      </c>
      <c r="C12" s="4">
        <v>20248</v>
      </c>
      <c r="D12" s="4">
        <v>20550</v>
      </c>
      <c r="E12" s="4">
        <v>20440</v>
      </c>
      <c r="F12" s="34">
        <v>23.45</v>
      </c>
      <c r="G12" s="34">
        <v>22.8</v>
      </c>
      <c r="H12" s="34">
        <v>22.3</v>
      </c>
      <c r="I12" s="5">
        <v>188381</v>
      </c>
      <c r="J12" s="5">
        <f>df_mep[[#This Row],[volume_BA]]*df_mep[[#This Row],[open_BA]]</f>
        <v>3814338488</v>
      </c>
      <c r="K12" s="5">
        <v>19840</v>
      </c>
      <c r="L12" s="5">
        <f>df_mep[[#This Row],[volume_D_BA]]*df_mep[[#This Row],[open_D_BA]]</f>
        <v>465248</v>
      </c>
      <c r="M12" s="3">
        <v>863.45415778251606</v>
      </c>
      <c r="N12" s="3">
        <v>896.49122807017545</v>
      </c>
      <c r="O12" s="3">
        <v>921.52466367712998</v>
      </c>
      <c r="P12" s="37">
        <f>MIN(1-df_mep[[#This Row],[MEP_compra_ARS]]/MEDIAN(N:N),100%)</f>
        <v>-4.8284967121131395E-2</v>
      </c>
      <c r="Q12" s="38">
        <f>df_mep[[#This Row],[MEP_compra_USD]]/MEDIAN(O:O)-1</f>
        <v>-3.095485316055091E-2</v>
      </c>
      <c r="R12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12" s="38">
        <f>ABS(df_mep[[#This Row],[bid_BA]]-df_mep[[#This Row],[ask_BA]])/AVERAGE(df_mep[[#This Row],[bid_BA]:[ask_BA]])</f>
        <v>5.3671627226152723E-3</v>
      </c>
      <c r="T12" s="36">
        <f>ABS(df_mep[[#This Row],[bid_D_BA]]-df_mep[[#This Row],[ask_D_BA]])/AVERAGE(df_mep[[#This Row],[bid_D_BA]:[ask_D_BA]])</f>
        <v>2.2172949002217293E-2</v>
      </c>
    </row>
    <row r="13" spans="1:20" hidden="1" x14ac:dyDescent="0.35">
      <c r="A13" s="55" t="s">
        <v>235</v>
      </c>
      <c r="B13" s="55" t="s">
        <v>236</v>
      </c>
      <c r="C13" s="4">
        <v>5165</v>
      </c>
      <c r="D13" s="4">
        <v>5379.5</v>
      </c>
      <c r="E13" s="4">
        <v>5250</v>
      </c>
      <c r="F13" s="34">
        <v>6.9</v>
      </c>
      <c r="G13" s="34">
        <v>6.86</v>
      </c>
      <c r="H13" s="34">
        <v>5.57</v>
      </c>
      <c r="I13" s="5">
        <v>4924</v>
      </c>
      <c r="J13" s="5">
        <f>df_mep[[#This Row],[volume_BA]]*df_mep[[#This Row],[open_BA]]</f>
        <v>25432460</v>
      </c>
      <c r="K13" s="5">
        <v>5</v>
      </c>
      <c r="L13" s="5">
        <f>df_mep[[#This Row],[volume_D_BA]]*df_mep[[#This Row],[open_D_BA]]</f>
        <v>34.5</v>
      </c>
      <c r="M13" s="3">
        <v>748.55072463768113</v>
      </c>
      <c r="N13" s="3">
        <v>765.30612244897952</v>
      </c>
      <c r="O13" s="3">
        <v>965.79892280071806</v>
      </c>
      <c r="P13" s="37">
        <f>MIN(1-df_mep[[#This Row],[MEP_compra_ARS]]/MEDIAN(N:N),100%)</f>
        <v>0.10511237780206162</v>
      </c>
      <c r="Q13" s="38">
        <f>df_mep[[#This Row],[MEP_compra_USD]]/MEDIAN(O:O)-1</f>
        <v>1.5602507292969525E-2</v>
      </c>
      <c r="R1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" s="38">
        <f>ABS(df_mep[[#This Row],[bid_BA]]-df_mep[[#This Row],[ask_BA]])/AVERAGE(df_mep[[#This Row],[bid_BA]:[ask_BA]])</f>
        <v>2.4366150806717154E-2</v>
      </c>
      <c r="T13" s="36">
        <f>ABS(df_mep[[#This Row],[bid_D_BA]]-df_mep[[#This Row],[ask_D_BA]])/AVERAGE(df_mep[[#This Row],[bid_D_BA]:[ask_D_BA]])</f>
        <v>0.20756234915526953</v>
      </c>
    </row>
    <row r="14" spans="1:20" hidden="1" x14ac:dyDescent="0.35">
      <c r="A14" s="55" t="s">
        <v>161</v>
      </c>
      <c r="B14" s="55" t="s">
        <v>162</v>
      </c>
      <c r="C14" s="4">
        <v>4780</v>
      </c>
      <c r="D14" s="4">
        <v>4799.5</v>
      </c>
      <c r="E14" s="4">
        <v>4760</v>
      </c>
      <c r="F14" s="34">
        <v>6.19</v>
      </c>
      <c r="G14" s="34">
        <v>6.19</v>
      </c>
      <c r="H14" s="34">
        <v>5.0999999999999996</v>
      </c>
      <c r="I14" s="5">
        <v>1907</v>
      </c>
      <c r="J14" s="5">
        <f>df_mep[[#This Row],[volume_BA]]*df_mep[[#This Row],[open_BA]]</f>
        <v>9115460</v>
      </c>
      <c r="K14" s="5">
        <v>0</v>
      </c>
      <c r="L14" s="5">
        <f>df_mep[[#This Row],[volume_D_BA]]*df_mep[[#This Row],[open_D_BA]]</f>
        <v>0</v>
      </c>
      <c r="M14" s="3">
        <v>772.21324717285938</v>
      </c>
      <c r="N14" s="3">
        <v>768.98222940226162</v>
      </c>
      <c r="O14" s="3">
        <v>941.07843137254906</v>
      </c>
      <c r="P14" s="37">
        <f>MIN(1-df_mep[[#This Row],[MEP_compra_ARS]]/MEDIAN(N:N),100%)</f>
        <v>0.10081383305784752</v>
      </c>
      <c r="Q14" s="38">
        <f>df_mep[[#This Row],[MEP_compra_USD]]/MEDIAN(O:O)-1</f>
        <v>-1.0392751640595499E-2</v>
      </c>
      <c r="R1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" s="38">
        <f>ABS(df_mep[[#This Row],[bid_BA]]-df_mep[[#This Row],[ask_BA]])/AVERAGE(df_mep[[#This Row],[bid_BA]:[ask_BA]])</f>
        <v>8.2640305455306245E-3</v>
      </c>
      <c r="T14" s="36">
        <f>ABS(df_mep[[#This Row],[bid_D_BA]]-df_mep[[#This Row],[ask_D_BA]])/AVERAGE(df_mep[[#This Row],[bid_D_BA]:[ask_D_BA]])</f>
        <v>0.19309123117803381</v>
      </c>
    </row>
    <row r="15" spans="1:20" hidden="1" x14ac:dyDescent="0.35">
      <c r="A15" s="55" t="s">
        <v>152</v>
      </c>
      <c r="B15" s="55" t="s">
        <v>153</v>
      </c>
      <c r="C15" s="4">
        <v>3800</v>
      </c>
      <c r="D15" s="4">
        <v>3853</v>
      </c>
      <c r="E15" s="4">
        <v>3775</v>
      </c>
      <c r="F15" s="34">
        <v>4.1900000000000004</v>
      </c>
      <c r="G15" s="34">
        <v>4.8899999999999997</v>
      </c>
      <c r="H15" s="34">
        <v>3.8</v>
      </c>
      <c r="I15" s="5">
        <v>515</v>
      </c>
      <c r="J15" s="5">
        <f>df_mep[[#This Row],[volume_BA]]*df_mep[[#This Row],[open_BA]]</f>
        <v>1957000</v>
      </c>
      <c r="K15" s="5">
        <v>51</v>
      </c>
      <c r="L15" s="5">
        <f>df_mep[[#This Row],[volume_D_BA]]*df_mep[[#This Row],[open_D_BA]]</f>
        <v>213.69000000000003</v>
      </c>
      <c r="M15" s="3">
        <v>906.92124105011919</v>
      </c>
      <c r="N15" s="3">
        <v>771.98364008179965</v>
      </c>
      <c r="O15" s="3">
        <v>1013.9473684210527</v>
      </c>
      <c r="P15" s="37">
        <f>MIN(1-df_mep[[#This Row],[MEP_compra_ARS]]/MEDIAN(N:N),100%)</f>
        <v>9.7304224043279097E-2</v>
      </c>
      <c r="Q15" s="38">
        <f>df_mep[[#This Row],[MEP_compra_USD]]/MEDIAN(O:O)-1</f>
        <v>6.623383534670868E-2</v>
      </c>
      <c r="R1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" s="38">
        <f>ABS(df_mep[[#This Row],[bid_BA]]-df_mep[[#This Row],[ask_BA]])/AVERAGE(df_mep[[#This Row],[bid_BA]:[ask_BA]])</f>
        <v>2.0450970110120609E-2</v>
      </c>
      <c r="T15" s="36">
        <f>ABS(df_mep[[#This Row],[bid_D_BA]]-df_mep[[#This Row],[ask_D_BA]])/AVERAGE(df_mep[[#This Row],[bid_D_BA]:[ask_D_BA]])</f>
        <v>0.25086306098964323</v>
      </c>
    </row>
    <row r="16" spans="1:20" hidden="1" x14ac:dyDescent="0.35">
      <c r="A16" s="55" t="s">
        <v>247</v>
      </c>
      <c r="B16" s="55" t="s">
        <v>248</v>
      </c>
      <c r="C16" s="4">
        <v>1475</v>
      </c>
      <c r="D16" s="4">
        <v>1493.5</v>
      </c>
      <c r="E16" s="4">
        <v>1470</v>
      </c>
      <c r="F16" s="34">
        <v>2</v>
      </c>
      <c r="G16" s="34">
        <v>1.9</v>
      </c>
      <c r="H16" s="34">
        <v>1.31</v>
      </c>
      <c r="I16" s="5">
        <v>218</v>
      </c>
      <c r="J16" s="5">
        <f>df_mep[[#This Row],[volume_BA]]*df_mep[[#This Row],[open_BA]]</f>
        <v>321550</v>
      </c>
      <c r="K16" s="5">
        <v>0</v>
      </c>
      <c r="L16" s="5">
        <f>df_mep[[#This Row],[volume_D_BA]]*df_mep[[#This Row],[open_D_BA]]</f>
        <v>0</v>
      </c>
      <c r="M16" s="3">
        <v>737.5</v>
      </c>
      <c r="N16" s="3">
        <v>773.68421052631584</v>
      </c>
      <c r="O16" s="3">
        <v>1140.0763358778624</v>
      </c>
      <c r="P16" s="37">
        <f>MIN(1-df_mep[[#This Row],[MEP_compra_ARS]]/MEDIAN(N:N),100%)</f>
        <v>9.5315713306420857E-2</v>
      </c>
      <c r="Q16" s="38">
        <f>df_mep[[#This Row],[MEP_compra_USD]]/MEDIAN(O:O)-1</f>
        <v>0.19886692549340435</v>
      </c>
      <c r="R1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" s="38">
        <f>ABS(df_mep[[#This Row],[bid_BA]]-df_mep[[#This Row],[ask_BA]])/AVERAGE(df_mep[[#This Row],[bid_BA]:[ask_BA]])</f>
        <v>1.5859625442888478E-2</v>
      </c>
      <c r="T16" s="36">
        <f>ABS(df_mep[[#This Row],[bid_D_BA]]-df_mep[[#This Row],[ask_D_BA]])/AVERAGE(df_mep[[#This Row],[bid_D_BA]:[ask_D_BA]])</f>
        <v>0.36760124610591893</v>
      </c>
    </row>
    <row r="17" spans="1:20" hidden="1" x14ac:dyDescent="0.35">
      <c r="A17" s="55" t="s">
        <v>231</v>
      </c>
      <c r="B17" s="55" t="s">
        <v>232</v>
      </c>
      <c r="C17" s="4">
        <v>5150</v>
      </c>
      <c r="D17" s="4">
        <v>5118.5</v>
      </c>
      <c r="E17" s="4">
        <v>5000</v>
      </c>
      <c r="F17" s="34">
        <v>5.4</v>
      </c>
      <c r="G17" s="34">
        <v>6.45</v>
      </c>
      <c r="H17" s="34">
        <v>5.32</v>
      </c>
      <c r="I17" s="5">
        <v>21102</v>
      </c>
      <c r="J17" s="5">
        <f>df_mep[[#This Row],[volume_BA]]*df_mep[[#This Row],[open_BA]]</f>
        <v>108675300</v>
      </c>
      <c r="K17" s="5">
        <v>0</v>
      </c>
      <c r="L17" s="5">
        <f>df_mep[[#This Row],[volume_D_BA]]*df_mep[[#This Row],[open_D_BA]]</f>
        <v>0</v>
      </c>
      <c r="M17" s="3">
        <v>953.7037037037037</v>
      </c>
      <c r="N17" s="3">
        <v>775.19379844961236</v>
      </c>
      <c r="O17" s="3">
        <v>962.12406015037584</v>
      </c>
      <c r="P17" s="37">
        <f>MIN(1-df_mep[[#This Row],[MEP_compra_ARS]]/MEDIAN(N:N),100%)</f>
        <v>9.3550522218108889E-2</v>
      </c>
      <c r="Q17" s="38">
        <f>df_mep[[#This Row],[MEP_compra_USD]]/MEDIAN(O:O)-1</f>
        <v>1.1738142119707584E-2</v>
      </c>
      <c r="R1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" s="38">
        <f>ABS(df_mep[[#This Row],[bid_BA]]-df_mep[[#This Row],[ask_BA]])/AVERAGE(df_mep[[#This Row],[bid_BA]:[ask_BA]])</f>
        <v>2.3422444038147947E-2</v>
      </c>
      <c r="T17" s="36">
        <f>ABS(df_mep[[#This Row],[bid_D_BA]]-df_mep[[#This Row],[ask_D_BA]])/AVERAGE(df_mep[[#This Row],[bid_D_BA]:[ask_D_BA]])</f>
        <v>0.19201359388275274</v>
      </c>
    </row>
    <row r="18" spans="1:20" hidden="1" x14ac:dyDescent="0.35">
      <c r="A18" s="55" t="s">
        <v>170</v>
      </c>
      <c r="B18" s="55" t="s">
        <v>171</v>
      </c>
      <c r="C18" s="4">
        <v>8660</v>
      </c>
      <c r="D18" s="4">
        <v>8636.5</v>
      </c>
      <c r="E18" s="4">
        <v>8450</v>
      </c>
      <c r="F18" s="34">
        <v>10.5</v>
      </c>
      <c r="G18" s="34">
        <v>10.8</v>
      </c>
      <c r="H18" s="34">
        <v>9</v>
      </c>
      <c r="I18" s="5">
        <v>1041</v>
      </c>
      <c r="J18" s="5">
        <f>df_mep[[#This Row],[volume_BA]]*df_mep[[#This Row],[open_BA]]</f>
        <v>9015060</v>
      </c>
      <c r="K18" s="5">
        <v>0</v>
      </c>
      <c r="L18" s="5">
        <f>df_mep[[#This Row],[volume_D_BA]]*df_mep[[#This Row],[open_D_BA]]</f>
        <v>0</v>
      </c>
      <c r="M18" s="3">
        <v>824.76190476190482</v>
      </c>
      <c r="N18" s="3">
        <v>782.40740740740739</v>
      </c>
      <c r="O18" s="3">
        <v>959.61111111111109</v>
      </c>
      <c r="P18" s="37">
        <f>MIN(1-df_mep[[#This Row],[MEP_compra_ARS]]/MEDIAN(N:N),100%)</f>
        <v>8.5115506244305084E-2</v>
      </c>
      <c r="Q18" s="38">
        <f>df_mep[[#This Row],[MEP_compra_USD]]/MEDIAN(O:O)-1</f>
        <v>9.0956072351420225E-3</v>
      </c>
      <c r="R1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" s="38">
        <f>ABS(df_mep[[#This Row],[bid_BA]]-df_mep[[#This Row],[ask_BA]])/AVERAGE(df_mep[[#This Row],[bid_BA]:[ask_BA]])</f>
        <v>2.183009978638106E-2</v>
      </c>
      <c r="T18" s="36">
        <f>ABS(df_mep[[#This Row],[bid_D_BA]]-df_mep[[#This Row],[ask_D_BA]])/AVERAGE(df_mep[[#This Row],[bid_D_BA]:[ask_D_BA]])</f>
        <v>0.18181818181818188</v>
      </c>
    </row>
    <row r="19" spans="1:20" hidden="1" x14ac:dyDescent="0.35">
      <c r="A19" s="55" t="s">
        <v>126</v>
      </c>
      <c r="B19" s="55" t="s">
        <v>127</v>
      </c>
      <c r="C19" s="4">
        <v>17767.5</v>
      </c>
      <c r="D19" s="4">
        <v>17868.5</v>
      </c>
      <c r="E19" s="4">
        <v>17628</v>
      </c>
      <c r="F19" s="34">
        <v>0</v>
      </c>
      <c r="G19" s="34">
        <v>22.45</v>
      </c>
      <c r="H19" s="34">
        <v>18.100000000000001</v>
      </c>
      <c r="I19" s="5">
        <v>137</v>
      </c>
      <c r="J19" s="5">
        <f>df_mep[[#This Row],[volume_BA]]*df_mep[[#This Row],[open_BA]]</f>
        <v>2434147.5</v>
      </c>
      <c r="K19" s="5">
        <v>0</v>
      </c>
      <c r="L19" s="5">
        <f>df_mep[[#This Row],[volume_D_BA]]*df_mep[[#This Row],[open_D_BA]]</f>
        <v>0</v>
      </c>
      <c r="N19" s="3">
        <v>785.21158129175944</v>
      </c>
      <c r="O19" s="3">
        <v>987.20994475138116</v>
      </c>
      <c r="P19" s="37">
        <f>MIN(1-df_mep[[#This Row],[MEP_compra_ARS]]/MEDIAN(N:N),100%)</f>
        <v>8.1836530124831164E-2</v>
      </c>
      <c r="Q19" s="38">
        <f>df_mep[[#This Row],[MEP_compra_USD]]/MEDIAN(O:O)-1</f>
        <v>3.8117636543413935E-2</v>
      </c>
      <c r="R1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" s="38">
        <f>ABS(df_mep[[#This Row],[bid_BA]]-df_mep[[#This Row],[ask_BA]])/AVERAGE(df_mep[[#This Row],[bid_BA]:[ask_BA]])</f>
        <v>1.3550631752426295E-2</v>
      </c>
      <c r="T19" s="36">
        <f>ABS(df_mep[[#This Row],[bid_D_BA]]-df_mep[[#This Row],[ask_D_BA]])/AVERAGE(df_mep[[#This Row],[bid_D_BA]:[ask_D_BA]])</f>
        <v>0.21454993834771877</v>
      </c>
    </row>
    <row r="20" spans="1:20" hidden="1" x14ac:dyDescent="0.35">
      <c r="A20" s="55" t="s">
        <v>71</v>
      </c>
      <c r="B20" s="55" t="s">
        <v>180</v>
      </c>
      <c r="C20" s="4">
        <v>27200</v>
      </c>
      <c r="D20" s="4">
        <v>27855.5</v>
      </c>
      <c r="E20" s="4">
        <v>27800</v>
      </c>
      <c r="F20" s="34">
        <v>31.25</v>
      </c>
      <c r="G20" s="34">
        <v>35.4</v>
      </c>
      <c r="H20" s="34">
        <v>28.8</v>
      </c>
      <c r="I20" s="5">
        <v>16327</v>
      </c>
      <c r="J20" s="5">
        <f>df_mep[[#This Row],[volume_BA]]*df_mep[[#This Row],[open_BA]]</f>
        <v>444094400</v>
      </c>
      <c r="K20" s="5">
        <v>28</v>
      </c>
      <c r="L20" s="5">
        <f>df_mep[[#This Row],[volume_D_BA]]*df_mep[[#This Row],[open_D_BA]]</f>
        <v>875</v>
      </c>
      <c r="M20" s="3">
        <v>870.4</v>
      </c>
      <c r="N20" s="3">
        <v>785.31073446327684</v>
      </c>
      <c r="O20" s="3">
        <v>967.20486111111109</v>
      </c>
      <c r="P20" s="37">
        <f>MIN(1-df_mep[[#This Row],[MEP_compra_ARS]]/MEDIAN(N:N),100%)</f>
        <v>8.1720588355531532E-2</v>
      </c>
      <c r="Q20" s="38">
        <f>df_mep[[#This Row],[MEP_compra_USD]]/MEDIAN(O:O)-1</f>
        <v>1.7080945961127858E-2</v>
      </c>
      <c r="R2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" s="38">
        <f>ABS(df_mep[[#This Row],[bid_BA]]-df_mep[[#This Row],[ask_BA]])/AVERAGE(df_mep[[#This Row],[bid_BA]:[ask_BA]])</f>
        <v>1.9944120527171619E-3</v>
      </c>
      <c r="T20" s="36">
        <f>ABS(df_mep[[#This Row],[bid_D_BA]]-df_mep[[#This Row],[ask_D_BA]])/AVERAGE(df_mep[[#This Row],[bid_D_BA]:[ask_D_BA]])</f>
        <v>0.20560747663551393</v>
      </c>
    </row>
    <row r="21" spans="1:20" hidden="1" x14ac:dyDescent="0.35">
      <c r="A21" s="55" t="s">
        <v>157</v>
      </c>
      <c r="B21" s="55" t="s">
        <v>158</v>
      </c>
      <c r="C21" s="4">
        <v>16871</v>
      </c>
      <c r="D21" s="4">
        <v>18348.5</v>
      </c>
      <c r="E21" s="4">
        <v>18080</v>
      </c>
      <c r="F21" s="34">
        <v>22.8</v>
      </c>
      <c r="G21" s="34">
        <v>23</v>
      </c>
      <c r="H21" s="34">
        <v>18.649999999999999</v>
      </c>
      <c r="I21" s="5">
        <v>649</v>
      </c>
      <c r="J21" s="5">
        <f>df_mep[[#This Row],[volume_BA]]*df_mep[[#This Row],[open_BA]]</f>
        <v>10949279</v>
      </c>
      <c r="K21" s="5">
        <v>0</v>
      </c>
      <c r="L21" s="5">
        <f>df_mep[[#This Row],[volume_D_BA]]*df_mep[[#This Row],[open_D_BA]]</f>
        <v>0</v>
      </c>
      <c r="M21" s="3">
        <v>739.95614035087715</v>
      </c>
      <c r="N21" s="3">
        <v>786.08695652173913</v>
      </c>
      <c r="O21" s="3">
        <v>983.83378016085794</v>
      </c>
      <c r="P21" s="37">
        <f>MIN(1-df_mep[[#This Row],[MEP_compra_ARS]]/MEDIAN(N:N),100%)</f>
        <v>8.08129365129302E-2</v>
      </c>
      <c r="Q21" s="38">
        <f>df_mep[[#This Row],[MEP_compra_USD]]/MEDIAN(O:O)-1</f>
        <v>3.456737246440067E-2</v>
      </c>
      <c r="R2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" s="38">
        <f>ABS(df_mep[[#This Row],[bid_BA]]-df_mep[[#This Row],[ask_BA]])/AVERAGE(df_mep[[#This Row],[bid_BA]:[ask_BA]])</f>
        <v>1.4741205374912501E-2</v>
      </c>
      <c r="T21" s="36">
        <f>ABS(df_mep[[#This Row],[bid_D_BA]]-df_mep[[#This Row],[ask_D_BA]])/AVERAGE(df_mep[[#This Row],[bid_D_BA]:[ask_D_BA]])</f>
        <v>0.20888355342136863</v>
      </c>
    </row>
    <row r="22" spans="1:20" hidden="1" x14ac:dyDescent="0.35">
      <c r="A22" s="55" t="s">
        <v>56</v>
      </c>
      <c r="B22" s="55" t="s">
        <v>258</v>
      </c>
      <c r="C22" s="4">
        <v>14600</v>
      </c>
      <c r="D22" s="4">
        <v>14727</v>
      </c>
      <c r="E22" s="4">
        <v>14701</v>
      </c>
      <c r="F22" s="34">
        <v>18.2</v>
      </c>
      <c r="G22" s="34">
        <v>18.55</v>
      </c>
      <c r="H22" s="34">
        <v>16</v>
      </c>
      <c r="I22" s="5">
        <v>1589</v>
      </c>
      <c r="J22" s="5">
        <f>df_mep[[#This Row],[volume_BA]]*df_mep[[#This Row],[open_BA]]</f>
        <v>23199400</v>
      </c>
      <c r="K22" s="5">
        <v>44</v>
      </c>
      <c r="L22" s="5">
        <f>df_mep[[#This Row],[volume_D_BA]]*df_mep[[#This Row],[open_D_BA]]</f>
        <v>800.8</v>
      </c>
      <c r="M22" s="3">
        <v>802.19780219780228</v>
      </c>
      <c r="N22" s="3">
        <v>792.50673854447439</v>
      </c>
      <c r="O22" s="3">
        <v>920.4375</v>
      </c>
      <c r="P22" s="37">
        <f>MIN(1-df_mep[[#This Row],[MEP_compra_ARS]]/MEDIAN(N:N),100%)</f>
        <v>7.3306158112973474E-2</v>
      </c>
      <c r="Q22" s="38">
        <f>df_mep[[#This Row],[MEP_compra_USD]]/MEDIAN(O:O)-1</f>
        <v>-3.2098078867543012E-2</v>
      </c>
      <c r="R2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" s="38">
        <f>ABS(df_mep[[#This Row],[bid_BA]]-df_mep[[#This Row],[ask_BA]])/AVERAGE(df_mep[[#This Row],[bid_BA]:[ask_BA]])</f>
        <v>1.7670246024194644E-3</v>
      </c>
      <c r="T22" s="36">
        <f>ABS(df_mep[[#This Row],[bid_D_BA]]-df_mep[[#This Row],[ask_D_BA]])/AVERAGE(df_mep[[#This Row],[bid_D_BA]:[ask_D_BA]])</f>
        <v>0.14761215629522437</v>
      </c>
    </row>
    <row r="23" spans="1:20" hidden="1" x14ac:dyDescent="0.35">
      <c r="A23" s="55" t="s">
        <v>105</v>
      </c>
      <c r="B23" s="55" t="s">
        <v>106</v>
      </c>
      <c r="C23" s="4">
        <v>21092</v>
      </c>
      <c r="D23" s="4">
        <v>21522.5</v>
      </c>
      <c r="E23" s="4">
        <v>21400</v>
      </c>
      <c r="F23" s="34">
        <v>26.2</v>
      </c>
      <c r="G23" s="34">
        <v>27</v>
      </c>
      <c r="H23" s="34">
        <v>0</v>
      </c>
      <c r="I23" s="5">
        <v>890</v>
      </c>
      <c r="J23" s="5">
        <f>df_mep[[#This Row],[volume_BA]]*df_mep[[#This Row],[open_BA]]</f>
        <v>18771880</v>
      </c>
      <c r="K23" s="5">
        <v>0</v>
      </c>
      <c r="L23" s="5">
        <f>df_mep[[#This Row],[volume_D_BA]]*df_mep[[#This Row],[open_D_BA]]</f>
        <v>0</v>
      </c>
      <c r="M23" s="3">
        <v>805.03816793893134</v>
      </c>
      <c r="N23" s="3">
        <v>792.59259259259261</v>
      </c>
      <c r="P23" s="37">
        <f>MIN(1-df_mep[[#This Row],[MEP_compra_ARS]]/MEDIAN(N:N),100%)</f>
        <v>7.3205767272337408E-2</v>
      </c>
      <c r="Q23" s="38">
        <f>df_mep[[#This Row],[MEP_compra_USD]]/MEDIAN(O:O)-1</f>
        <v>-1</v>
      </c>
      <c r="R2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" s="38">
        <f>ABS(df_mep[[#This Row],[bid_BA]]-df_mep[[#This Row],[ask_BA]])/AVERAGE(df_mep[[#This Row],[bid_BA]:[ask_BA]])</f>
        <v>5.7079620245791838E-3</v>
      </c>
      <c r="T23" s="36">
        <f>ABS(df_mep[[#This Row],[bid_D_BA]]-df_mep[[#This Row],[ask_D_BA]])/AVERAGE(df_mep[[#This Row],[bid_D_BA]:[ask_D_BA]])</f>
        <v>2</v>
      </c>
    </row>
    <row r="24" spans="1:20" hidden="1" x14ac:dyDescent="0.35">
      <c r="A24" s="55" t="s">
        <v>186</v>
      </c>
      <c r="B24" s="55" t="s">
        <v>187</v>
      </c>
      <c r="C24" s="4">
        <v>11500</v>
      </c>
      <c r="D24" s="4">
        <v>11618</v>
      </c>
      <c r="E24" s="4">
        <v>11500</v>
      </c>
      <c r="F24" s="34">
        <v>14.6</v>
      </c>
      <c r="G24" s="34">
        <v>14.5</v>
      </c>
      <c r="H24" s="34">
        <v>11.1</v>
      </c>
      <c r="I24" s="5">
        <v>10169</v>
      </c>
      <c r="J24" s="5">
        <f>df_mep[[#This Row],[volume_BA]]*df_mep[[#This Row],[open_BA]]</f>
        <v>116943500</v>
      </c>
      <c r="K24" s="5">
        <v>0</v>
      </c>
      <c r="L24" s="5">
        <f>df_mep[[#This Row],[volume_D_BA]]*df_mep[[#This Row],[open_D_BA]]</f>
        <v>0</v>
      </c>
      <c r="M24" s="3">
        <v>787.67123287671234</v>
      </c>
      <c r="N24" s="3">
        <v>793.10344827586209</v>
      </c>
      <c r="O24" s="3">
        <v>1046.6666666666667</v>
      </c>
      <c r="P24" s="37">
        <f>MIN(1-df_mep[[#This Row],[MEP_compra_ARS]]/MEDIAN(N:N),100%)</f>
        <v>7.2608413593492682E-2</v>
      </c>
      <c r="Q24" s="38">
        <f>df_mep[[#This Row],[MEP_compra_USD]]/MEDIAN(O:O)-1</f>
        <v>0.10064037748567589</v>
      </c>
      <c r="R2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" s="38">
        <f>ABS(df_mep[[#This Row],[bid_BA]]-df_mep[[#This Row],[ask_BA]])/AVERAGE(df_mep[[#This Row],[bid_BA]:[ask_BA]])</f>
        <v>1.0208495544597284E-2</v>
      </c>
      <c r="T24" s="36">
        <f>ABS(df_mep[[#This Row],[bid_D_BA]]-df_mep[[#This Row],[ask_D_BA]])/AVERAGE(df_mep[[#This Row],[bid_D_BA]:[ask_D_BA]])</f>
        <v>0.265625</v>
      </c>
    </row>
    <row r="25" spans="1:20" hidden="1" x14ac:dyDescent="0.35">
      <c r="A25" s="55" t="s">
        <v>138</v>
      </c>
      <c r="B25" s="55" t="s">
        <v>139</v>
      </c>
      <c r="C25" s="4">
        <v>9199</v>
      </c>
      <c r="D25" s="4">
        <v>9145</v>
      </c>
      <c r="E25" s="4">
        <v>9053.5</v>
      </c>
      <c r="F25" s="34">
        <v>11.5</v>
      </c>
      <c r="G25" s="34">
        <v>11.4</v>
      </c>
      <c r="H25" s="34">
        <v>10</v>
      </c>
      <c r="I25" s="5">
        <v>6164</v>
      </c>
      <c r="J25" s="5">
        <f>df_mep[[#This Row],[volume_BA]]*df_mep[[#This Row],[open_BA]]</f>
        <v>56702636</v>
      </c>
      <c r="K25" s="5">
        <v>0</v>
      </c>
      <c r="L25" s="5">
        <f>df_mep[[#This Row],[volume_D_BA]]*df_mep[[#This Row],[open_D_BA]]</f>
        <v>0</v>
      </c>
      <c r="M25" s="3">
        <v>799.91304347826087</v>
      </c>
      <c r="N25" s="3">
        <v>794.16666666666663</v>
      </c>
      <c r="O25" s="3">
        <v>914.5</v>
      </c>
      <c r="P25" s="37">
        <f>MIN(1-df_mep[[#This Row],[MEP_compra_ARS]]/MEDIAN(N:N),100%)</f>
        <v>7.1365171249397008E-2</v>
      </c>
      <c r="Q25" s="38">
        <f>df_mep[[#This Row],[MEP_compra_USD]]/MEDIAN(O:O)-1</f>
        <v>-3.8341759352881644E-2</v>
      </c>
      <c r="R2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5" s="38">
        <f>ABS(df_mep[[#This Row],[bid_BA]]-df_mep[[#This Row],[ask_BA]])/AVERAGE(df_mep[[#This Row],[bid_BA]:[ask_BA]])</f>
        <v>1.0055773827513256E-2</v>
      </c>
      <c r="T25" s="36">
        <f>ABS(df_mep[[#This Row],[bid_D_BA]]-df_mep[[#This Row],[ask_D_BA]])/AVERAGE(df_mep[[#This Row],[bid_D_BA]:[ask_D_BA]])</f>
        <v>0.13084112149532715</v>
      </c>
    </row>
    <row r="26" spans="1:20" hidden="1" x14ac:dyDescent="0.35">
      <c r="A26" s="55" t="s">
        <v>397</v>
      </c>
      <c r="B26" s="55" t="s">
        <v>410</v>
      </c>
      <c r="C26" s="4">
        <v>5350</v>
      </c>
      <c r="D26" s="4">
        <v>5390</v>
      </c>
      <c r="E26" s="4">
        <v>5310</v>
      </c>
      <c r="F26" s="34">
        <v>6.54</v>
      </c>
      <c r="G26" s="34">
        <v>6.65</v>
      </c>
      <c r="H26" s="34">
        <v>0</v>
      </c>
      <c r="I26" s="5">
        <v>1655</v>
      </c>
      <c r="J26" s="5">
        <f>df_mep[[#This Row],[volume_BA]]*df_mep[[#This Row],[open_BA]]</f>
        <v>8854250</v>
      </c>
      <c r="K26" s="5">
        <v>4</v>
      </c>
      <c r="L26" s="5">
        <f>df_mep[[#This Row],[volume_D_BA]]*df_mep[[#This Row],[open_D_BA]]</f>
        <v>26.16</v>
      </c>
      <c r="M26" s="3">
        <v>818.04281345565744</v>
      </c>
      <c r="N26" s="3">
        <v>798.4962406015037</v>
      </c>
      <c r="P26" s="37">
        <f>MIN(1-df_mep[[#This Row],[MEP_compra_ARS]]/MEDIAN(N:N),100%)</f>
        <v>6.6302514607793017E-2</v>
      </c>
      <c r="Q26" s="38">
        <f>df_mep[[#This Row],[MEP_compra_USD]]/MEDIAN(O:O)-1</f>
        <v>-1</v>
      </c>
      <c r="R2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6" s="38">
        <f>ABS(df_mep[[#This Row],[bid_BA]]-df_mep[[#This Row],[ask_BA]])/AVERAGE(df_mep[[#This Row],[bid_BA]:[ask_BA]])</f>
        <v>1.4953271028037384E-2</v>
      </c>
      <c r="T26" s="36">
        <f>ABS(df_mep[[#This Row],[bid_D_BA]]-df_mep[[#This Row],[ask_D_BA]])/AVERAGE(df_mep[[#This Row],[bid_D_BA]:[ask_D_BA]])</f>
        <v>2</v>
      </c>
    </row>
    <row r="27" spans="1:20" hidden="1" x14ac:dyDescent="0.35">
      <c r="A27" s="55" t="s">
        <v>210</v>
      </c>
      <c r="B27" s="55" t="s">
        <v>211</v>
      </c>
      <c r="C27" s="4">
        <v>4620</v>
      </c>
      <c r="D27" s="4">
        <v>4441</v>
      </c>
      <c r="E27" s="4">
        <v>4422</v>
      </c>
      <c r="F27" s="34">
        <v>5.3</v>
      </c>
      <c r="G27" s="34">
        <v>5.5</v>
      </c>
      <c r="H27" s="34">
        <v>4.6900000000000004</v>
      </c>
      <c r="I27" s="5">
        <v>4077</v>
      </c>
      <c r="J27" s="5">
        <f>df_mep[[#This Row],[volume_BA]]*df_mep[[#This Row],[open_BA]]</f>
        <v>18835740</v>
      </c>
      <c r="K27" s="5">
        <v>107</v>
      </c>
      <c r="L27" s="5">
        <f>df_mep[[#This Row],[volume_D_BA]]*df_mep[[#This Row],[open_D_BA]]</f>
        <v>567.1</v>
      </c>
      <c r="M27" s="3">
        <v>871.69811320754718</v>
      </c>
      <c r="N27" s="3">
        <v>804</v>
      </c>
      <c r="O27" s="3">
        <v>946.9083155650319</v>
      </c>
      <c r="P27" s="37">
        <f>MIN(1-df_mep[[#This Row],[MEP_compra_ARS]]/MEDIAN(N:N),100%)</f>
        <v>5.9866859623733726E-2</v>
      </c>
      <c r="Q27" s="38">
        <f>df_mep[[#This Row],[MEP_compra_USD]]/MEDIAN(O:O)-1</f>
        <v>-4.2622364129087931E-3</v>
      </c>
      <c r="R2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7" s="38">
        <f>ABS(df_mep[[#This Row],[bid_BA]]-df_mep[[#This Row],[ask_BA]])/AVERAGE(df_mep[[#This Row],[bid_BA]:[ask_BA]])</f>
        <v>4.2874873067809995E-3</v>
      </c>
      <c r="T27" s="36">
        <f>ABS(df_mep[[#This Row],[bid_D_BA]]-df_mep[[#This Row],[ask_D_BA]])/AVERAGE(df_mep[[#This Row],[bid_D_BA]:[ask_D_BA]])</f>
        <v>0.15897939156035318</v>
      </c>
    </row>
    <row r="28" spans="1:20" hidden="1" x14ac:dyDescent="0.35">
      <c r="A28" s="55" t="s">
        <v>155</v>
      </c>
      <c r="B28" s="55" t="s">
        <v>156</v>
      </c>
      <c r="C28" s="4">
        <v>11500</v>
      </c>
      <c r="D28" s="4">
        <v>11448</v>
      </c>
      <c r="E28" s="4">
        <v>11414</v>
      </c>
      <c r="F28" s="34">
        <v>14.3</v>
      </c>
      <c r="G28" s="34">
        <v>14.05</v>
      </c>
      <c r="H28" s="34">
        <v>12</v>
      </c>
      <c r="I28" s="5">
        <v>6848</v>
      </c>
      <c r="J28" s="5">
        <f>df_mep[[#This Row],[volume_BA]]*df_mep[[#This Row],[open_BA]]</f>
        <v>78752000</v>
      </c>
      <c r="K28" s="5">
        <v>71</v>
      </c>
      <c r="L28" s="5">
        <f>df_mep[[#This Row],[volume_D_BA]]*df_mep[[#This Row],[open_D_BA]]</f>
        <v>1015.3000000000001</v>
      </c>
      <c r="M28" s="3">
        <v>804.19580419580416</v>
      </c>
      <c r="N28" s="3">
        <v>812.38434163701061</v>
      </c>
      <c r="O28" s="3">
        <v>954</v>
      </c>
      <c r="P28" s="37">
        <f>MIN(1-df_mep[[#This Row],[MEP_compra_ARS]]/MEDIAN(N:N),100%)</f>
        <v>5.006288271678061E-2</v>
      </c>
      <c r="Q28" s="38">
        <f>df_mep[[#This Row],[MEP_compra_USD]]/MEDIAN(O:O)-1</f>
        <v>3.1951466127402295E-3</v>
      </c>
      <c r="R2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8" s="38">
        <f>ABS(df_mep[[#This Row],[bid_BA]]-df_mep[[#This Row],[ask_BA]])/AVERAGE(df_mep[[#This Row],[bid_BA]:[ask_BA]])</f>
        <v>2.9743679468113024E-3</v>
      </c>
      <c r="T28" s="36">
        <f>ABS(df_mep[[#This Row],[bid_D_BA]]-df_mep[[#This Row],[ask_D_BA]])/AVERAGE(df_mep[[#This Row],[bid_D_BA]:[ask_D_BA]])</f>
        <v>0.1573896353166987</v>
      </c>
    </row>
    <row r="29" spans="1:20" hidden="1" x14ac:dyDescent="0.35">
      <c r="A29" s="55" t="s">
        <v>251</v>
      </c>
      <c r="B29" s="55" t="s">
        <v>252</v>
      </c>
      <c r="C29" s="4">
        <v>17750</v>
      </c>
      <c r="D29" s="4">
        <v>17850</v>
      </c>
      <c r="E29" s="4">
        <v>17818</v>
      </c>
      <c r="F29" s="34">
        <v>18.2</v>
      </c>
      <c r="G29" s="34">
        <v>21.9</v>
      </c>
      <c r="H29" s="34">
        <v>18.5</v>
      </c>
      <c r="I29" s="5">
        <v>4224</v>
      </c>
      <c r="J29" s="5">
        <f>df_mep[[#This Row],[volume_BA]]*df_mep[[#This Row],[open_BA]]</f>
        <v>74976000</v>
      </c>
      <c r="K29" s="5">
        <v>0</v>
      </c>
      <c r="L29" s="5">
        <f>df_mep[[#This Row],[volume_D_BA]]*df_mep[[#This Row],[open_D_BA]]</f>
        <v>0</v>
      </c>
      <c r="M29" s="3">
        <v>975.27472527472526</v>
      </c>
      <c r="N29" s="3">
        <v>813.60730593607309</v>
      </c>
      <c r="O29" s="3">
        <v>964.8648648648649</v>
      </c>
      <c r="P29" s="37">
        <f>MIN(1-df_mep[[#This Row],[MEP_compra_ARS]]/MEDIAN(N:N),100%)</f>
        <v>4.8632846314982547E-2</v>
      </c>
      <c r="Q29" s="38">
        <f>df_mep[[#This Row],[MEP_compra_USD]]/MEDIAN(O:O)-1</f>
        <v>1.4620282567704201E-2</v>
      </c>
      <c r="R2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9" s="38">
        <f>ABS(df_mep[[#This Row],[bid_BA]]-df_mep[[#This Row],[ask_BA]])/AVERAGE(df_mep[[#This Row],[bid_BA]:[ask_BA]])</f>
        <v>1.7943254457777279E-3</v>
      </c>
      <c r="T29" s="36">
        <f>ABS(df_mep[[#This Row],[bid_D_BA]]-df_mep[[#This Row],[ask_D_BA]])/AVERAGE(df_mep[[#This Row],[bid_D_BA]:[ask_D_BA]])</f>
        <v>0.16831683168316824</v>
      </c>
    </row>
    <row r="30" spans="1:20" hidden="1" x14ac:dyDescent="0.35">
      <c r="A30" s="55" t="s">
        <v>233</v>
      </c>
      <c r="B30" s="55" t="s">
        <v>234</v>
      </c>
      <c r="C30" s="4">
        <v>7800</v>
      </c>
      <c r="D30" s="4">
        <v>7807</v>
      </c>
      <c r="E30" s="4">
        <v>7745</v>
      </c>
      <c r="F30" s="34">
        <v>8.9</v>
      </c>
      <c r="G30" s="34">
        <v>9.5</v>
      </c>
      <c r="H30" s="34">
        <v>8.6999999999999993</v>
      </c>
      <c r="I30" s="5">
        <v>3768</v>
      </c>
      <c r="J30" s="5">
        <f>df_mep[[#This Row],[volume_BA]]*df_mep[[#This Row],[open_BA]]</f>
        <v>29390400</v>
      </c>
      <c r="K30" s="5">
        <v>0</v>
      </c>
      <c r="L30" s="5">
        <f>df_mep[[#This Row],[volume_D_BA]]*df_mep[[#This Row],[open_D_BA]]</f>
        <v>0</v>
      </c>
      <c r="M30" s="3">
        <v>876.40449438202245</v>
      </c>
      <c r="N30" s="3">
        <v>815.26315789473688</v>
      </c>
      <c r="O30" s="3">
        <v>897.35632183908058</v>
      </c>
      <c r="P30" s="37">
        <f>MIN(1-df_mep[[#This Row],[MEP_compra_ARS]]/MEDIAN(N:N),100%)</f>
        <v>4.6696625790235258E-2</v>
      </c>
      <c r="Q30" s="38">
        <f>df_mep[[#This Row],[MEP_compra_USD]]/MEDIAN(O:O)-1</f>
        <v>-5.6369489673767648E-2</v>
      </c>
      <c r="R3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0" s="38">
        <f>ABS(df_mep[[#This Row],[bid_BA]]-df_mep[[#This Row],[ask_BA]])/AVERAGE(df_mep[[#This Row],[bid_BA]:[ask_BA]])</f>
        <v>7.9732510288065845E-3</v>
      </c>
      <c r="T30" s="36">
        <f>ABS(df_mep[[#This Row],[bid_D_BA]]-df_mep[[#This Row],[ask_D_BA]])/AVERAGE(df_mep[[#This Row],[bid_D_BA]:[ask_D_BA]])</f>
        <v>8.7912087912087988E-2</v>
      </c>
    </row>
    <row r="31" spans="1:20" hidden="1" x14ac:dyDescent="0.35">
      <c r="A31" s="55" t="s">
        <v>130</v>
      </c>
      <c r="B31" s="55" t="s">
        <v>131</v>
      </c>
      <c r="C31" s="4">
        <v>12801.5</v>
      </c>
      <c r="D31" s="4">
        <v>12865.5</v>
      </c>
      <c r="E31" s="4">
        <v>12640</v>
      </c>
      <c r="F31" s="34">
        <v>15</v>
      </c>
      <c r="G31" s="34">
        <v>15.45</v>
      </c>
      <c r="H31" s="34">
        <v>13.6</v>
      </c>
      <c r="I31" s="5">
        <v>6449</v>
      </c>
      <c r="J31" s="5">
        <f>df_mep[[#This Row],[volume_BA]]*df_mep[[#This Row],[open_BA]]</f>
        <v>82556873.5</v>
      </c>
      <c r="K31" s="5">
        <v>12</v>
      </c>
      <c r="L31" s="5">
        <f>df_mep[[#This Row],[volume_D_BA]]*df_mep[[#This Row],[open_D_BA]]</f>
        <v>180</v>
      </c>
      <c r="M31" s="3">
        <v>853.43333333333328</v>
      </c>
      <c r="N31" s="3">
        <v>818.12297734627839</v>
      </c>
      <c r="O31" s="3">
        <v>945.99264705882354</v>
      </c>
      <c r="P31" s="37">
        <f>MIN(1-df_mep[[#This Row],[MEP_compra_ARS]]/MEDIAN(N:N),100%)</f>
        <v>4.3352582205798962E-2</v>
      </c>
      <c r="Q31" s="38">
        <f>df_mep[[#This Row],[MEP_compra_USD]]/MEDIAN(O:O)-1</f>
        <v>-5.2251234164039095E-3</v>
      </c>
      <c r="R3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1" s="38">
        <f>ABS(df_mep[[#This Row],[bid_BA]]-df_mep[[#This Row],[ask_BA]])/AVERAGE(df_mep[[#This Row],[bid_BA]:[ask_BA]])</f>
        <v>1.7682460645743074E-2</v>
      </c>
      <c r="T31" s="36">
        <f>ABS(df_mep[[#This Row],[bid_D_BA]]-df_mep[[#This Row],[ask_D_BA]])/AVERAGE(df_mep[[#This Row],[bid_D_BA]:[ask_D_BA]])</f>
        <v>0.12736660929432012</v>
      </c>
    </row>
    <row r="32" spans="1:20" x14ac:dyDescent="0.35">
      <c r="A32" s="55" t="s">
        <v>13</v>
      </c>
      <c r="B32" s="55" t="s">
        <v>181</v>
      </c>
      <c r="C32" s="4">
        <v>10310</v>
      </c>
      <c r="D32" s="4">
        <v>10113</v>
      </c>
      <c r="E32" s="4">
        <v>10104</v>
      </c>
      <c r="F32" s="34">
        <v>11.2</v>
      </c>
      <c r="G32" s="34">
        <v>11</v>
      </c>
      <c r="H32" s="34">
        <v>10.9</v>
      </c>
      <c r="I32" s="5">
        <v>152126</v>
      </c>
      <c r="J32" s="5">
        <f>df_mep[[#This Row],[volume_BA]]*df_mep[[#This Row],[open_BA]]</f>
        <v>1568419060</v>
      </c>
      <c r="K32" s="5">
        <v>8273</v>
      </c>
      <c r="L32" s="5">
        <f>df_mep[[#This Row],[volume_D_BA]]*df_mep[[#This Row],[open_D_BA]]</f>
        <v>92657.599999999991</v>
      </c>
      <c r="M32" s="3">
        <v>920.53571428571433</v>
      </c>
      <c r="N32" s="3">
        <v>918.5454545454545</v>
      </c>
      <c r="O32" s="3">
        <v>927.79816513761466</v>
      </c>
      <c r="P32" s="37">
        <f>MIN(1-df_mep[[#This Row],[MEP_compra_ARS]]/MEDIAN(N:N),100%)</f>
        <v>-7.4073411393237754E-2</v>
      </c>
      <c r="Q32" s="38">
        <f>df_mep[[#This Row],[MEP_compra_USD]]/MEDIAN(O:O)-1</f>
        <v>-2.4357844546896601E-2</v>
      </c>
      <c r="R32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32" s="38">
        <f>ABS(df_mep[[#This Row],[bid_BA]]-df_mep[[#This Row],[ask_BA]])/AVERAGE(df_mep[[#This Row],[bid_BA]:[ask_BA]])</f>
        <v>8.9033981302863929E-4</v>
      </c>
      <c r="T32" s="36">
        <f>ABS(df_mep[[#This Row],[bid_D_BA]]-df_mep[[#This Row],[ask_D_BA]])/AVERAGE(df_mep[[#This Row],[bid_D_BA]:[ask_D_BA]])</f>
        <v>9.1324200913241692E-3</v>
      </c>
    </row>
    <row r="33" spans="1:20" hidden="1" x14ac:dyDescent="0.35">
      <c r="A33" s="55" t="s">
        <v>144</v>
      </c>
      <c r="B33" s="55" t="s">
        <v>145</v>
      </c>
      <c r="C33" s="4">
        <v>8606</v>
      </c>
      <c r="D33" s="4">
        <v>8948.5</v>
      </c>
      <c r="E33" s="4">
        <v>8761</v>
      </c>
      <c r="F33" s="34">
        <v>10.6</v>
      </c>
      <c r="G33" s="34">
        <v>10.6</v>
      </c>
      <c r="H33" s="34">
        <v>7.91</v>
      </c>
      <c r="I33" s="5">
        <v>1361</v>
      </c>
      <c r="J33" s="5">
        <f>df_mep[[#This Row],[volume_BA]]*df_mep[[#This Row],[open_BA]]</f>
        <v>11712766</v>
      </c>
      <c r="K33" s="5">
        <v>0</v>
      </c>
      <c r="L33" s="5">
        <f>df_mep[[#This Row],[volume_D_BA]]*df_mep[[#This Row],[open_D_BA]]</f>
        <v>0</v>
      </c>
      <c r="M33" s="3">
        <v>811.88679245283026</v>
      </c>
      <c r="N33" s="3">
        <v>826.50943396226421</v>
      </c>
      <c r="O33" s="3">
        <v>1131.2895069532237</v>
      </c>
      <c r="P33" s="37">
        <f>MIN(1-df_mep[[#This Row],[MEP_compra_ARS]]/MEDIAN(N:N),100%)</f>
        <v>3.354613221199787E-2</v>
      </c>
      <c r="Q33" s="38">
        <f>df_mep[[#This Row],[MEP_compra_USD]]/MEDIAN(O:O)-1</f>
        <v>0.18962698405596834</v>
      </c>
      <c r="R3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3" s="38">
        <f>ABS(df_mep[[#This Row],[bid_BA]]-df_mep[[#This Row],[ask_BA]])/AVERAGE(df_mep[[#This Row],[bid_BA]:[ask_BA]])</f>
        <v>2.1175075524436038E-2</v>
      </c>
      <c r="T33" s="36">
        <f>ABS(df_mep[[#This Row],[bid_D_BA]]-df_mep[[#This Row],[ask_D_BA]])/AVERAGE(df_mep[[#This Row],[bid_D_BA]:[ask_D_BA]])</f>
        <v>0.29065370070232305</v>
      </c>
    </row>
    <row r="34" spans="1:20" x14ac:dyDescent="0.35">
      <c r="A34" s="55" t="s">
        <v>9</v>
      </c>
      <c r="B34" s="55" t="s">
        <v>102</v>
      </c>
      <c r="C34" s="4">
        <v>17000</v>
      </c>
      <c r="D34" s="4">
        <v>17049.5</v>
      </c>
      <c r="E34" s="4">
        <v>16843</v>
      </c>
      <c r="F34" s="34">
        <v>18.850000000000001</v>
      </c>
      <c r="G34" s="34">
        <v>18.899999999999999</v>
      </c>
      <c r="H34" s="34">
        <v>18.75</v>
      </c>
      <c r="I34" s="5">
        <v>51956</v>
      </c>
      <c r="J34" s="5">
        <f>df_mep[[#This Row],[volume_BA]]*df_mep[[#This Row],[open_BA]]</f>
        <v>883252000</v>
      </c>
      <c r="K34" s="5">
        <v>3397</v>
      </c>
      <c r="L34" s="5">
        <f>df_mep[[#This Row],[volume_D_BA]]*df_mep[[#This Row],[open_D_BA]]</f>
        <v>64033.450000000004</v>
      </c>
      <c r="M34" s="3">
        <v>901.85676392572941</v>
      </c>
      <c r="N34" s="3">
        <v>891.16402116402128</v>
      </c>
      <c r="O34" s="3">
        <v>909.30666666666662</v>
      </c>
      <c r="P34" s="37">
        <f>MIN(1-df_mep[[#This Row],[MEP_compra_ARS]]/MEDIAN(N:N),100%)</f>
        <v>-4.2055758466757132E-2</v>
      </c>
      <c r="Q34" s="38">
        <f>df_mep[[#This Row],[MEP_compra_USD]]/MEDIAN(O:O)-1</f>
        <v>-4.3802898550724723E-2</v>
      </c>
      <c r="R34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34" s="38">
        <f>ABS(df_mep[[#This Row],[bid_BA]]-df_mep[[#This Row],[ask_BA]])/AVERAGE(df_mep[[#This Row],[bid_BA]:[ask_BA]])</f>
        <v>1.2185586781736372E-2</v>
      </c>
      <c r="T34" s="36">
        <f>ABS(df_mep[[#This Row],[bid_D_BA]]-df_mep[[#This Row],[ask_D_BA]])/AVERAGE(df_mep[[#This Row],[bid_D_BA]:[ask_D_BA]])</f>
        <v>7.9681274900397659E-3</v>
      </c>
    </row>
    <row r="35" spans="1:20" hidden="1" x14ac:dyDescent="0.35">
      <c r="A35" s="55" t="s">
        <v>253</v>
      </c>
      <c r="B35" s="55" t="s">
        <v>254</v>
      </c>
      <c r="C35" s="4">
        <v>6190</v>
      </c>
      <c r="D35" s="4">
        <v>6257</v>
      </c>
      <c r="E35" s="4">
        <v>6235</v>
      </c>
      <c r="F35" s="34">
        <v>7.38</v>
      </c>
      <c r="G35" s="34">
        <v>7.5</v>
      </c>
      <c r="H35" s="34">
        <v>6.46</v>
      </c>
      <c r="I35" s="5">
        <v>6446</v>
      </c>
      <c r="J35" s="5">
        <f>df_mep[[#This Row],[volume_BA]]*df_mep[[#This Row],[open_BA]]</f>
        <v>39900740</v>
      </c>
      <c r="K35" s="5">
        <v>56</v>
      </c>
      <c r="L35" s="5">
        <f>df_mep[[#This Row],[volume_D_BA]]*df_mep[[#This Row],[open_D_BA]]</f>
        <v>413.28</v>
      </c>
      <c r="M35" s="3">
        <v>838.7533875338753</v>
      </c>
      <c r="N35" s="3">
        <v>831.33333333333337</v>
      </c>
      <c r="O35" s="3">
        <v>968.57585139318883</v>
      </c>
      <c r="P35" s="37">
        <f>MIN(1-df_mep[[#This Row],[MEP_compra_ARS]]/MEDIAN(N:N),100%)</f>
        <v>2.7905451037144147E-2</v>
      </c>
      <c r="Q35" s="38">
        <f>df_mep[[#This Row],[MEP_compra_USD]]/MEDIAN(O:O)-1</f>
        <v>1.8522634427620144E-2</v>
      </c>
      <c r="R3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5" s="38">
        <f>ABS(df_mep[[#This Row],[bid_BA]]-df_mep[[#This Row],[ask_BA]])/AVERAGE(df_mep[[#This Row],[bid_BA]:[ask_BA]])</f>
        <v>3.5222542427153377E-3</v>
      </c>
      <c r="T35" s="36">
        <f>ABS(df_mep[[#This Row],[bid_D_BA]]-df_mep[[#This Row],[ask_D_BA]])/AVERAGE(df_mep[[#This Row],[bid_D_BA]:[ask_D_BA]])</f>
        <v>0.14899713467048711</v>
      </c>
    </row>
    <row r="36" spans="1:20" x14ac:dyDescent="0.35">
      <c r="A36" s="55" t="s">
        <v>14</v>
      </c>
      <c r="B36" s="55" t="s">
        <v>189</v>
      </c>
      <c r="C36" s="4">
        <v>19495</v>
      </c>
      <c r="D36" s="4">
        <v>19487.5</v>
      </c>
      <c r="E36" s="4">
        <v>19470.5</v>
      </c>
      <c r="F36" s="34">
        <v>22.1</v>
      </c>
      <c r="G36" s="34">
        <v>21.9</v>
      </c>
      <c r="H36" s="34">
        <v>21.6</v>
      </c>
      <c r="I36" s="5">
        <v>16401</v>
      </c>
      <c r="J36" s="5">
        <f>df_mep[[#This Row],[volume_BA]]*df_mep[[#This Row],[open_BA]]</f>
        <v>319737495</v>
      </c>
      <c r="K36" s="5">
        <v>1212</v>
      </c>
      <c r="L36" s="5">
        <f>df_mep[[#This Row],[volume_D_BA]]*df_mep[[#This Row],[open_D_BA]]</f>
        <v>26785.200000000001</v>
      </c>
      <c r="M36" s="3">
        <v>882.12669683257911</v>
      </c>
      <c r="N36" s="3">
        <v>889.06392694063936</v>
      </c>
      <c r="O36" s="3">
        <v>902.19907407407402</v>
      </c>
      <c r="P36" s="37">
        <f>MIN(1-df_mep[[#This Row],[MEP_compra_ARS]]/MEDIAN(N:N),100%)</f>
        <v>-3.960007665417753E-2</v>
      </c>
      <c r="Q36" s="38">
        <f>df_mep[[#This Row],[MEP_compra_USD]]/MEDIAN(O:O)-1</f>
        <v>-5.1277010073774498E-2</v>
      </c>
      <c r="R36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36" s="38">
        <f>ABS(df_mep[[#This Row],[bid_BA]]-df_mep[[#This Row],[ask_BA]])/AVERAGE(df_mep[[#This Row],[bid_BA]:[ask_BA]])</f>
        <v>8.7273473997638486E-4</v>
      </c>
      <c r="T36" s="36">
        <f>ABS(df_mep[[#This Row],[bid_D_BA]]-df_mep[[#This Row],[ask_D_BA]])/AVERAGE(df_mep[[#This Row],[bid_D_BA]:[ask_D_BA]])</f>
        <v>1.3793103448275732E-2</v>
      </c>
    </row>
    <row r="37" spans="1:20" hidden="1" x14ac:dyDescent="0.35">
      <c r="A37" s="55" t="s">
        <v>206</v>
      </c>
      <c r="B37" s="55" t="s">
        <v>207</v>
      </c>
      <c r="C37" s="4">
        <v>23309</v>
      </c>
      <c r="D37" s="4">
        <v>23401</v>
      </c>
      <c r="E37" s="4">
        <v>23350</v>
      </c>
      <c r="F37" s="34">
        <v>27.5</v>
      </c>
      <c r="G37" s="34">
        <v>28</v>
      </c>
      <c r="H37" s="34">
        <v>20.100000000000001</v>
      </c>
      <c r="I37" s="5">
        <v>11</v>
      </c>
      <c r="J37" s="5">
        <f>df_mep[[#This Row],[volume_BA]]*df_mep[[#This Row],[open_BA]]</f>
        <v>256399</v>
      </c>
      <c r="K37" s="5">
        <v>0</v>
      </c>
      <c r="L37" s="5">
        <f>df_mep[[#This Row],[volume_D_BA]]*df_mep[[#This Row],[open_D_BA]]</f>
        <v>0</v>
      </c>
      <c r="M37" s="3">
        <v>847.6</v>
      </c>
      <c r="N37" s="3">
        <v>833.92857142857144</v>
      </c>
      <c r="O37" s="3">
        <v>1164.2288557213928</v>
      </c>
      <c r="P37" s="37">
        <f>MIN(1-df_mep[[#This Row],[MEP_compra_ARS]]/MEDIAN(N:N),100%)</f>
        <v>2.4870787678312967E-2</v>
      </c>
      <c r="Q37" s="38">
        <f>df_mep[[#This Row],[MEP_compra_USD]]/MEDIAN(O:O)-1</f>
        <v>0.22426492411551924</v>
      </c>
      <c r="R3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7" s="38">
        <f>ABS(df_mep[[#This Row],[bid_BA]]-df_mep[[#This Row],[ask_BA]])/AVERAGE(df_mep[[#This Row],[bid_BA]:[ask_BA]])</f>
        <v>2.1817715129088147E-3</v>
      </c>
      <c r="T37" s="36">
        <f>ABS(df_mep[[#This Row],[bid_D_BA]]-df_mep[[#This Row],[ask_D_BA]])/AVERAGE(df_mep[[#This Row],[bid_D_BA]:[ask_D_BA]])</f>
        <v>0.32848232848232839</v>
      </c>
    </row>
    <row r="38" spans="1:20" hidden="1" x14ac:dyDescent="0.35">
      <c r="A38" s="55" t="s">
        <v>109</v>
      </c>
      <c r="B38" s="55" t="s">
        <v>110</v>
      </c>
      <c r="C38" s="4">
        <v>3700</v>
      </c>
      <c r="D38" s="4">
        <v>3687</v>
      </c>
      <c r="E38" s="4">
        <v>3664.5</v>
      </c>
      <c r="F38" s="34">
        <v>4</v>
      </c>
      <c r="G38" s="34">
        <v>4.3899999999999997</v>
      </c>
      <c r="H38" s="34">
        <v>3.93</v>
      </c>
      <c r="I38" s="5">
        <v>12549</v>
      </c>
      <c r="J38" s="5">
        <f>df_mep[[#This Row],[volume_BA]]*df_mep[[#This Row],[open_BA]]</f>
        <v>46431300</v>
      </c>
      <c r="K38" s="5">
        <v>345</v>
      </c>
      <c r="L38" s="5">
        <f>df_mep[[#This Row],[volume_D_BA]]*df_mep[[#This Row],[open_D_BA]]</f>
        <v>1380</v>
      </c>
      <c r="M38" s="3">
        <v>925</v>
      </c>
      <c r="N38" s="3">
        <v>834.73804100227801</v>
      </c>
      <c r="O38" s="3">
        <v>938.16793893129773</v>
      </c>
      <c r="P38" s="37">
        <f>MIN(1-df_mep[[#This Row],[MEP_compra_ARS]]/MEDIAN(N:N),100%)</f>
        <v>2.3924258856960035E-2</v>
      </c>
      <c r="Q38" s="38">
        <f>df_mep[[#This Row],[MEP_compra_USD]]/MEDIAN(O:O)-1</f>
        <v>-1.3453330143023634E-2</v>
      </c>
      <c r="R3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8" s="38">
        <f>ABS(df_mep[[#This Row],[bid_BA]]-df_mep[[#This Row],[ask_BA]])/AVERAGE(df_mep[[#This Row],[bid_BA]:[ask_BA]])</f>
        <v>6.1211997551520094E-3</v>
      </c>
      <c r="T38" s="36">
        <f>ABS(df_mep[[#This Row],[bid_D_BA]]-df_mep[[#This Row],[ask_D_BA]])/AVERAGE(df_mep[[#This Row],[bid_D_BA]:[ask_D_BA]])</f>
        <v>0.11057692307692296</v>
      </c>
    </row>
    <row r="39" spans="1:20" hidden="1" x14ac:dyDescent="0.35">
      <c r="A39" s="55" t="s">
        <v>227</v>
      </c>
      <c r="B39" s="55" t="s">
        <v>228</v>
      </c>
      <c r="C39" s="4">
        <v>475.5</v>
      </c>
      <c r="D39" s="4">
        <v>476</v>
      </c>
      <c r="E39" s="4">
        <v>467.5</v>
      </c>
      <c r="F39" s="34">
        <v>0.53</v>
      </c>
      <c r="G39" s="34">
        <v>0.55700000000000005</v>
      </c>
      <c r="H39" s="34">
        <v>0.51</v>
      </c>
      <c r="I39" s="5">
        <v>24345</v>
      </c>
      <c r="J39" s="5">
        <f>df_mep[[#This Row],[volume_BA]]*df_mep[[#This Row],[open_BA]]</f>
        <v>11576047.5</v>
      </c>
      <c r="K39" s="5">
        <v>429</v>
      </c>
      <c r="L39" s="5">
        <f>df_mep[[#This Row],[volume_D_BA]]*df_mep[[#This Row],[open_D_BA]]</f>
        <v>227.37</v>
      </c>
      <c r="M39" s="3">
        <v>897.16981132075466</v>
      </c>
      <c r="N39" s="3">
        <v>839.3177737881507</v>
      </c>
      <c r="O39" s="3">
        <v>933.33333333333337</v>
      </c>
      <c r="P39" s="37">
        <f>MIN(1-df_mep[[#This Row],[MEP_compra_ARS]]/MEDIAN(N:N),100%)</f>
        <v>1.8569086511106003E-2</v>
      </c>
      <c r="Q39" s="38">
        <f>df_mep[[#This Row],[MEP_compra_USD]]/MEDIAN(O:O)-1</f>
        <v>-1.8537243006403692E-2</v>
      </c>
      <c r="R3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39" s="38">
        <f>ABS(df_mep[[#This Row],[bid_BA]]-df_mep[[#This Row],[ask_BA]])/AVERAGE(df_mep[[#This Row],[bid_BA]:[ask_BA]])</f>
        <v>1.8018018018018018E-2</v>
      </c>
      <c r="T39" s="36">
        <f>ABS(df_mep[[#This Row],[bid_D_BA]]-df_mep[[#This Row],[ask_D_BA]])/AVERAGE(df_mep[[#This Row],[bid_D_BA]:[ask_D_BA]])</f>
        <v>8.809746954076858E-2</v>
      </c>
    </row>
    <row r="40" spans="1:20" hidden="1" x14ac:dyDescent="0.35">
      <c r="A40" s="55" t="s">
        <v>159</v>
      </c>
      <c r="B40" s="55" t="s">
        <v>160</v>
      </c>
      <c r="C40" s="4">
        <v>10054</v>
      </c>
      <c r="D40" s="4">
        <v>9925</v>
      </c>
      <c r="E40" s="4">
        <v>9910</v>
      </c>
      <c r="F40" s="34">
        <v>11.5</v>
      </c>
      <c r="G40" s="34">
        <v>11.8</v>
      </c>
      <c r="H40" s="34">
        <v>10.7</v>
      </c>
      <c r="I40" s="5">
        <v>7287</v>
      </c>
      <c r="J40" s="5">
        <f>df_mep[[#This Row],[volume_BA]]*df_mep[[#This Row],[open_BA]]</f>
        <v>73263498</v>
      </c>
      <c r="K40" s="5">
        <v>12</v>
      </c>
      <c r="L40" s="5">
        <f>df_mep[[#This Row],[volume_D_BA]]*df_mep[[#This Row],[open_D_BA]]</f>
        <v>138</v>
      </c>
      <c r="M40" s="3">
        <v>874.26086956521738</v>
      </c>
      <c r="N40" s="3">
        <v>839.83050847457628</v>
      </c>
      <c r="O40" s="3">
        <v>927.57009345794404</v>
      </c>
      <c r="P40" s="37">
        <f>MIN(1-df_mep[[#This Row],[MEP_compra_ARS]]/MEDIAN(N:N),100%)</f>
        <v>1.7969535676617077E-2</v>
      </c>
      <c r="Q40" s="38">
        <f>df_mep[[#This Row],[MEP_compra_USD]]/MEDIAN(O:O)-1</f>
        <v>-2.4597677253527017E-2</v>
      </c>
      <c r="R4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0" s="38">
        <f>ABS(df_mep[[#This Row],[bid_BA]]-df_mep[[#This Row],[ask_BA]])/AVERAGE(df_mep[[#This Row],[bid_BA]:[ask_BA]])</f>
        <v>1.5124779430299975E-3</v>
      </c>
      <c r="T40" s="36">
        <f>ABS(df_mep[[#This Row],[bid_D_BA]]-df_mep[[#This Row],[ask_D_BA]])/AVERAGE(df_mep[[#This Row],[bid_D_BA]:[ask_D_BA]])</f>
        <v>9.7777777777777908E-2</v>
      </c>
    </row>
    <row r="41" spans="1:20" hidden="1" x14ac:dyDescent="0.35">
      <c r="A41" s="55" t="s">
        <v>172</v>
      </c>
      <c r="B41" s="55" t="s">
        <v>172</v>
      </c>
      <c r="C41" s="4">
        <v>27600</v>
      </c>
      <c r="D41" s="4">
        <v>27057.5</v>
      </c>
      <c r="E41" s="4">
        <v>26296</v>
      </c>
      <c r="F41" s="34">
        <v>30</v>
      </c>
      <c r="G41" s="34">
        <v>31.3</v>
      </c>
      <c r="H41" s="34">
        <v>30</v>
      </c>
      <c r="I41" s="5">
        <v>1270</v>
      </c>
      <c r="J41" s="5">
        <f>df_mep[[#This Row],[volume_BA]]*df_mep[[#This Row],[open_BA]]</f>
        <v>35052000</v>
      </c>
      <c r="K41" s="5">
        <v>12</v>
      </c>
      <c r="L41" s="5">
        <f>df_mep[[#This Row],[volume_D_BA]]*df_mep[[#This Row],[open_D_BA]]</f>
        <v>360</v>
      </c>
      <c r="M41" s="3">
        <v>920</v>
      </c>
      <c r="N41" s="3">
        <v>840.12779552715654</v>
      </c>
      <c r="O41" s="3">
        <v>901.91666666666663</v>
      </c>
      <c r="P41" s="37">
        <f>MIN(1-df_mep[[#This Row],[MEP_compra_ARS]]/MEDIAN(N:N),100%)</f>
        <v>1.7621912031921205E-2</v>
      </c>
      <c r="Q41" s="38">
        <f>df_mep[[#This Row],[MEP_compra_USD]]/MEDIAN(O:O)-1</f>
        <v>-5.1573980451634638E-2</v>
      </c>
      <c r="R4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1" s="38">
        <f>ABS(df_mep[[#This Row],[bid_BA]]-df_mep[[#This Row],[ask_BA]])/AVERAGE(df_mep[[#This Row],[bid_BA]:[ask_BA]])</f>
        <v>2.8545456249355713E-2</v>
      </c>
      <c r="T41" s="36">
        <f>ABS(df_mep[[#This Row],[bid_D_BA]]-df_mep[[#This Row],[ask_D_BA]])/AVERAGE(df_mep[[#This Row],[bid_D_BA]:[ask_D_BA]])</f>
        <v>4.2414355628058752E-2</v>
      </c>
    </row>
    <row r="42" spans="1:20" hidden="1" x14ac:dyDescent="0.35">
      <c r="A42" s="55" t="s">
        <v>118</v>
      </c>
      <c r="B42" s="55" t="s">
        <v>119</v>
      </c>
      <c r="C42" s="4">
        <v>2681</v>
      </c>
      <c r="D42" s="4">
        <v>2725</v>
      </c>
      <c r="E42" s="4">
        <v>2715</v>
      </c>
      <c r="F42" s="34">
        <v>3.19</v>
      </c>
      <c r="G42" s="34">
        <v>3.23</v>
      </c>
      <c r="H42" s="34">
        <v>3.07</v>
      </c>
      <c r="I42" s="5">
        <v>15897</v>
      </c>
      <c r="J42" s="5">
        <f>df_mep[[#This Row],[volume_BA]]*df_mep[[#This Row],[open_BA]]</f>
        <v>42619857</v>
      </c>
      <c r="K42" s="5">
        <v>150</v>
      </c>
      <c r="L42" s="5">
        <f>df_mep[[#This Row],[volume_D_BA]]*df_mep[[#This Row],[open_D_BA]]</f>
        <v>478.5</v>
      </c>
      <c r="M42" s="3">
        <v>840.4388714733542</v>
      </c>
      <c r="N42" s="3">
        <v>840.55727554179566</v>
      </c>
      <c r="O42" s="3">
        <v>887.62214983713363</v>
      </c>
      <c r="P42" s="37">
        <f>MIN(1-df_mep[[#This Row],[MEP_compra_ARS]]/MEDIAN(N:N),100%)</f>
        <v>1.7119712535787368E-2</v>
      </c>
      <c r="Q42" s="38">
        <f>df_mep[[#This Row],[MEP_compra_USD]]/MEDIAN(O:O)-1</f>
        <v>-6.6605626055996958E-2</v>
      </c>
      <c r="R4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2" s="38">
        <f>ABS(df_mep[[#This Row],[bid_BA]]-df_mep[[#This Row],[ask_BA]])/AVERAGE(df_mep[[#This Row],[bid_BA]:[ask_BA]])</f>
        <v>3.6764705882352941E-3</v>
      </c>
      <c r="T42" s="36">
        <f>ABS(df_mep[[#This Row],[bid_D_BA]]-df_mep[[#This Row],[ask_D_BA]])/AVERAGE(df_mep[[#This Row],[bid_D_BA]:[ask_D_BA]])</f>
        <v>5.0793650793650842E-2</v>
      </c>
    </row>
    <row r="43" spans="1:20" hidden="1" x14ac:dyDescent="0.35">
      <c r="A43" s="55" t="s">
        <v>148</v>
      </c>
      <c r="B43" s="55" t="s">
        <v>149</v>
      </c>
      <c r="C43" s="4">
        <v>7110</v>
      </c>
      <c r="D43" s="4">
        <v>7273.5</v>
      </c>
      <c r="E43" s="4">
        <v>7250</v>
      </c>
      <c r="F43" s="34">
        <v>8.4</v>
      </c>
      <c r="G43" s="34">
        <v>8.59</v>
      </c>
      <c r="H43" s="34">
        <v>7.7</v>
      </c>
      <c r="I43" s="5">
        <v>4482</v>
      </c>
      <c r="J43" s="5">
        <f>df_mep[[#This Row],[volume_BA]]*df_mep[[#This Row],[open_BA]]</f>
        <v>31867020</v>
      </c>
      <c r="K43" s="5">
        <v>3</v>
      </c>
      <c r="L43" s="5">
        <f>df_mep[[#This Row],[volume_D_BA]]*df_mep[[#This Row],[open_D_BA]]</f>
        <v>25.200000000000003</v>
      </c>
      <c r="M43" s="3">
        <v>846.42857142857144</v>
      </c>
      <c r="N43" s="3">
        <v>844.00465657741563</v>
      </c>
      <c r="O43" s="3">
        <v>944.61038961038957</v>
      </c>
      <c r="P43" s="37">
        <f>MIN(1-df_mep[[#This Row],[MEP_compra_ARS]]/MEDIAN(N:N),100%)</f>
        <v>1.3088621541893164E-2</v>
      </c>
      <c r="Q43" s="38">
        <f>df_mep[[#This Row],[MEP_compra_USD]]/MEDIAN(O:O)-1</f>
        <v>-6.6786600659199946E-3</v>
      </c>
      <c r="R4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3" s="38">
        <f>ABS(df_mep[[#This Row],[bid_BA]]-df_mep[[#This Row],[ask_BA]])/AVERAGE(df_mep[[#This Row],[bid_BA]:[ask_BA]])</f>
        <v>3.2361345405721763E-3</v>
      </c>
      <c r="T43" s="36">
        <f>ABS(df_mep[[#This Row],[bid_D_BA]]-df_mep[[#This Row],[ask_D_BA]])/AVERAGE(df_mep[[#This Row],[bid_D_BA]:[ask_D_BA]])</f>
        <v>0.10926949048496007</v>
      </c>
    </row>
    <row r="44" spans="1:20" hidden="1" x14ac:dyDescent="0.35">
      <c r="A44" s="55" t="s">
        <v>182</v>
      </c>
      <c r="B44" s="55" t="s">
        <v>183</v>
      </c>
      <c r="C44" s="4">
        <v>20342</v>
      </c>
      <c r="D44" s="4">
        <v>20674.5</v>
      </c>
      <c r="E44" s="4">
        <v>20620</v>
      </c>
      <c r="F44" s="34">
        <v>21.6</v>
      </c>
      <c r="G44" s="34">
        <v>24.4</v>
      </c>
      <c r="H44" s="34">
        <v>18.649999999999999</v>
      </c>
      <c r="I44" s="5">
        <v>1241</v>
      </c>
      <c r="J44" s="5">
        <f>df_mep[[#This Row],[volume_BA]]*df_mep[[#This Row],[open_BA]]</f>
        <v>25244422</v>
      </c>
      <c r="K44" s="5">
        <v>0</v>
      </c>
      <c r="L44" s="5">
        <f>df_mep[[#This Row],[volume_D_BA]]*df_mep[[#This Row],[open_D_BA]]</f>
        <v>0</v>
      </c>
      <c r="M44" s="3">
        <v>941.75925925925924</v>
      </c>
      <c r="N44" s="3">
        <v>845.08196721311481</v>
      </c>
      <c r="O44" s="3">
        <v>1108.5522788203755</v>
      </c>
      <c r="P44" s="37">
        <f>MIN(1-df_mep[[#This Row],[MEP_compra_ARS]]/MEDIAN(N:N),100%)</f>
        <v>1.1828900856444613E-2</v>
      </c>
      <c r="Q44" s="38">
        <f>df_mep[[#This Row],[MEP_compra_USD]]/MEDIAN(O:O)-1</f>
        <v>0.16571725983133523</v>
      </c>
      <c r="R4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4" s="38">
        <f>ABS(df_mep[[#This Row],[bid_BA]]-df_mep[[#This Row],[ask_BA]])/AVERAGE(df_mep[[#This Row],[bid_BA]:[ask_BA]])</f>
        <v>2.6395766990761483E-3</v>
      </c>
      <c r="T44" s="36">
        <f>ABS(df_mep[[#This Row],[bid_D_BA]]-df_mep[[#This Row],[ask_D_BA]])/AVERAGE(df_mep[[#This Row],[bid_D_BA]:[ask_D_BA]])</f>
        <v>0.26713124274099886</v>
      </c>
    </row>
    <row r="45" spans="1:20" x14ac:dyDescent="0.35">
      <c r="A45" s="55" t="s">
        <v>19</v>
      </c>
      <c r="B45" s="55" t="s">
        <v>257</v>
      </c>
      <c r="C45" s="4">
        <v>29698</v>
      </c>
      <c r="D45" s="4">
        <v>29506.5</v>
      </c>
      <c r="E45" s="4">
        <v>29430</v>
      </c>
      <c r="F45" s="34">
        <v>32.799999999999997</v>
      </c>
      <c r="G45" s="34">
        <v>33.450000000000003</v>
      </c>
      <c r="H45" s="34">
        <v>32.200000000000003</v>
      </c>
      <c r="I45" s="5">
        <v>41086</v>
      </c>
      <c r="J45" s="5">
        <f>df_mep[[#This Row],[volume_BA]]*df_mep[[#This Row],[open_BA]]</f>
        <v>1220172028</v>
      </c>
      <c r="K45" s="5">
        <v>623</v>
      </c>
      <c r="L45" s="5">
        <f>df_mep[[#This Row],[volume_D_BA]]*df_mep[[#This Row],[open_D_BA]]</f>
        <v>20434.399999999998</v>
      </c>
      <c r="M45" s="3">
        <v>905.42682926829275</v>
      </c>
      <c r="N45" s="3">
        <v>879.82062780269052</v>
      </c>
      <c r="O45" s="3">
        <v>916.35093167701859</v>
      </c>
      <c r="P45" s="37">
        <f>MIN(1-df_mep[[#This Row],[MEP_compra_ARS]]/MEDIAN(N:N),100%)</f>
        <v>-2.8791703711394945E-2</v>
      </c>
      <c r="Q45" s="38">
        <f>df_mep[[#This Row],[MEP_compra_USD]]/MEDIAN(O:O)-1</f>
        <v>-3.63953802385244E-2</v>
      </c>
      <c r="R45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45" s="38">
        <f>ABS(df_mep[[#This Row],[bid_BA]]-df_mep[[#This Row],[ask_BA]])/AVERAGE(df_mep[[#This Row],[bid_BA]:[ask_BA]])</f>
        <v>2.5960143544323127E-3</v>
      </c>
      <c r="T45" s="36">
        <f>ABS(df_mep[[#This Row],[bid_D_BA]]-df_mep[[#This Row],[ask_D_BA]])/AVERAGE(df_mep[[#This Row],[bid_D_BA]:[ask_D_BA]])</f>
        <v>3.8080731150038079E-2</v>
      </c>
    </row>
    <row r="46" spans="1:20" hidden="1" x14ac:dyDescent="0.35">
      <c r="A46" s="55" t="s">
        <v>57</v>
      </c>
      <c r="B46" s="55" t="s">
        <v>259</v>
      </c>
      <c r="C46" s="4">
        <v>7130</v>
      </c>
      <c r="D46" s="4">
        <v>7590</v>
      </c>
      <c r="E46" s="4">
        <v>7435.5</v>
      </c>
      <c r="F46" s="34">
        <v>8</v>
      </c>
      <c r="G46" s="34">
        <v>8.75</v>
      </c>
      <c r="H46" s="34">
        <v>7.45</v>
      </c>
      <c r="I46" s="5">
        <v>5833</v>
      </c>
      <c r="J46" s="5">
        <f>df_mep[[#This Row],[volume_BA]]*df_mep[[#This Row],[open_BA]]</f>
        <v>41589290</v>
      </c>
      <c r="K46" s="5">
        <v>1</v>
      </c>
      <c r="L46" s="5">
        <f>df_mep[[#This Row],[volume_D_BA]]*df_mep[[#This Row],[open_D_BA]]</f>
        <v>8</v>
      </c>
      <c r="M46" s="3">
        <v>891.25</v>
      </c>
      <c r="N46" s="3">
        <v>849.7714285714286</v>
      </c>
      <c r="O46" s="3">
        <v>1018.7919463087248</v>
      </c>
      <c r="P46" s="37">
        <f>MIN(1-df_mep[[#This Row],[MEP_compra_ARS]]/MEDIAN(N:N),100%)</f>
        <v>6.3454207153194053E-3</v>
      </c>
      <c r="Q46" s="38">
        <f>df_mep[[#This Row],[MEP_compra_USD]]/MEDIAN(O:O)-1</f>
        <v>7.1328234743249563E-2</v>
      </c>
      <c r="R4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6" s="38">
        <f>ABS(df_mep[[#This Row],[bid_BA]]-df_mep[[#This Row],[ask_BA]])/AVERAGE(df_mep[[#This Row],[bid_BA]:[ask_BA]])</f>
        <v>2.056503943296396E-2</v>
      </c>
      <c r="T46" s="36">
        <f>ABS(df_mep[[#This Row],[bid_D_BA]]-df_mep[[#This Row],[ask_D_BA]])/AVERAGE(df_mep[[#This Row],[bid_D_BA]:[ask_D_BA]])</f>
        <v>0.16049382716049382</v>
      </c>
    </row>
    <row r="47" spans="1:20" hidden="1" x14ac:dyDescent="0.35">
      <c r="A47" s="55" t="s">
        <v>100</v>
      </c>
      <c r="B47" s="55" t="s">
        <v>101</v>
      </c>
      <c r="C47" s="4">
        <v>5787</v>
      </c>
      <c r="D47" s="4">
        <v>5730</v>
      </c>
      <c r="E47" s="4">
        <v>5700</v>
      </c>
      <c r="F47" s="34">
        <v>6.8</v>
      </c>
      <c r="G47" s="34">
        <v>6.7</v>
      </c>
      <c r="H47" s="34">
        <v>6.3</v>
      </c>
      <c r="I47" s="5">
        <v>4230</v>
      </c>
      <c r="J47" s="5">
        <f>df_mep[[#This Row],[volume_BA]]*df_mep[[#This Row],[open_BA]]</f>
        <v>24479010</v>
      </c>
      <c r="K47" s="5">
        <v>13</v>
      </c>
      <c r="L47" s="5">
        <f>df_mep[[#This Row],[volume_D_BA]]*df_mep[[#This Row],[open_D_BA]]</f>
        <v>88.399999999999991</v>
      </c>
      <c r="M47" s="3">
        <v>851.02941176470586</v>
      </c>
      <c r="N47" s="3">
        <v>850.74626865671644</v>
      </c>
      <c r="O47" s="3">
        <v>909.52380952380952</v>
      </c>
      <c r="P47" s="37">
        <f>MIN(1-df_mep[[#This Row],[MEP_compra_ARS]]/MEDIAN(N:N),100%)</f>
        <v>5.2055208760826144E-3</v>
      </c>
      <c r="Q47" s="38">
        <f>df_mep[[#This Row],[MEP_compra_USD]]/MEDIAN(O:O)-1</f>
        <v>-4.3574558235832228E-2</v>
      </c>
      <c r="R4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7" s="38">
        <f>ABS(df_mep[[#This Row],[bid_BA]]-df_mep[[#This Row],[ask_BA]])/AVERAGE(df_mep[[#This Row],[bid_BA]:[ask_BA]])</f>
        <v>5.2493438320209973E-3</v>
      </c>
      <c r="T47" s="36">
        <f>ABS(df_mep[[#This Row],[bid_D_BA]]-df_mep[[#This Row],[ask_D_BA]])/AVERAGE(df_mep[[#This Row],[bid_D_BA]:[ask_D_BA]])</f>
        <v>6.153846153846159E-2</v>
      </c>
    </row>
    <row r="48" spans="1:20" hidden="1" x14ac:dyDescent="0.35">
      <c r="A48" s="55" t="s">
        <v>132</v>
      </c>
      <c r="B48" s="55" t="s">
        <v>133</v>
      </c>
      <c r="C48" s="4">
        <v>2640</v>
      </c>
      <c r="D48" s="4">
        <v>2674</v>
      </c>
      <c r="E48" s="4">
        <v>2655</v>
      </c>
      <c r="F48" s="34">
        <v>2.9</v>
      </c>
      <c r="G48" s="34">
        <v>3.12</v>
      </c>
      <c r="H48" s="34">
        <v>2.87</v>
      </c>
      <c r="I48" s="5">
        <v>15934</v>
      </c>
      <c r="J48" s="5">
        <f>df_mep[[#This Row],[volume_BA]]*df_mep[[#This Row],[open_BA]]</f>
        <v>42065760</v>
      </c>
      <c r="K48" s="5">
        <v>2</v>
      </c>
      <c r="L48" s="5">
        <f>df_mep[[#This Row],[volume_D_BA]]*df_mep[[#This Row],[open_D_BA]]</f>
        <v>5.8</v>
      </c>
      <c r="M48" s="3">
        <v>910.34482758620697</v>
      </c>
      <c r="N48" s="3">
        <v>850.96153846153845</v>
      </c>
      <c r="O48" s="3">
        <v>931.70731707317066</v>
      </c>
      <c r="P48" s="37">
        <f>MIN(1-df_mep[[#This Row],[MEP_compra_ARS]]/MEDIAN(N:N),100%)</f>
        <v>4.9538016252922423E-3</v>
      </c>
      <c r="Q48" s="38">
        <f>df_mep[[#This Row],[MEP_compra_USD]]/MEDIAN(O:O)-1</f>
        <v>-2.0247108436706296E-2</v>
      </c>
      <c r="R4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8" s="38">
        <f>ABS(df_mep[[#This Row],[bid_BA]]-df_mep[[#This Row],[ask_BA]])/AVERAGE(df_mep[[#This Row],[bid_BA]:[ask_BA]])</f>
        <v>7.130793769938075E-3</v>
      </c>
      <c r="T48" s="36">
        <f>ABS(df_mep[[#This Row],[bid_D_BA]]-df_mep[[#This Row],[ask_D_BA]])/AVERAGE(df_mep[[#This Row],[bid_D_BA]:[ask_D_BA]])</f>
        <v>8.347245409015025E-2</v>
      </c>
    </row>
    <row r="49" spans="1:20" hidden="1" x14ac:dyDescent="0.35">
      <c r="A49" s="55" t="s">
        <v>244</v>
      </c>
      <c r="B49" s="55" t="s">
        <v>245</v>
      </c>
      <c r="C49" s="4">
        <v>34495</v>
      </c>
      <c r="D49" s="4">
        <v>34619</v>
      </c>
      <c r="E49" s="4">
        <v>34500</v>
      </c>
      <c r="F49" s="34">
        <v>37</v>
      </c>
      <c r="G49" s="34">
        <v>40.5</v>
      </c>
      <c r="H49" s="34">
        <v>27.1</v>
      </c>
      <c r="I49" s="5">
        <v>598</v>
      </c>
      <c r="J49" s="5">
        <f>df_mep[[#This Row],[volume_BA]]*df_mep[[#This Row],[open_BA]]</f>
        <v>20628010</v>
      </c>
      <c r="K49" s="5">
        <v>1</v>
      </c>
      <c r="L49" s="5">
        <f>df_mep[[#This Row],[volume_D_BA]]*df_mep[[#This Row],[open_D_BA]]</f>
        <v>37</v>
      </c>
      <c r="M49" s="3">
        <v>932.29729729729729</v>
      </c>
      <c r="N49" s="3">
        <v>851.85185185185185</v>
      </c>
      <c r="O49" s="3">
        <v>1277.4538745387454</v>
      </c>
      <c r="P49" s="37">
        <f>MIN(1-df_mep[[#This Row],[MEP_compra_ARS]]/MEDIAN(N:N),100%)</f>
        <v>3.9127405263440496E-3</v>
      </c>
      <c r="Q49" s="38">
        <f>df_mep[[#This Row],[MEP_compra_USD]]/MEDIAN(O:O)-1</f>
        <v>0.34332864461101642</v>
      </c>
      <c r="R4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49" s="38">
        <f>ABS(df_mep[[#This Row],[bid_BA]]-df_mep[[#This Row],[ask_BA]])/AVERAGE(df_mep[[#This Row],[bid_BA]:[ask_BA]])</f>
        <v>3.4433368538317973E-3</v>
      </c>
      <c r="T49" s="36">
        <f>ABS(df_mep[[#This Row],[bid_D_BA]]-df_mep[[#This Row],[ask_D_BA]])/AVERAGE(df_mep[[#This Row],[bid_D_BA]:[ask_D_BA]])</f>
        <v>0.39644970414201181</v>
      </c>
    </row>
    <row r="50" spans="1:20" hidden="1" x14ac:dyDescent="0.35">
      <c r="A50" s="55" t="s">
        <v>202</v>
      </c>
      <c r="B50" s="55" t="s">
        <v>203</v>
      </c>
      <c r="C50" s="4">
        <v>2060</v>
      </c>
      <c r="D50" s="4">
        <v>2006</v>
      </c>
      <c r="E50" s="4">
        <v>2002</v>
      </c>
      <c r="F50" s="34">
        <v>2.36</v>
      </c>
      <c r="G50" s="34">
        <v>2.35</v>
      </c>
      <c r="H50" s="34">
        <v>2.1</v>
      </c>
      <c r="I50" s="5">
        <v>41749</v>
      </c>
      <c r="J50" s="5">
        <f>df_mep[[#This Row],[volume_BA]]*df_mep[[#This Row],[open_BA]]</f>
        <v>86002940</v>
      </c>
      <c r="K50" s="5">
        <v>66</v>
      </c>
      <c r="L50" s="5">
        <f>df_mep[[#This Row],[volume_D_BA]]*df_mep[[#This Row],[open_D_BA]]</f>
        <v>155.76</v>
      </c>
      <c r="M50" s="3">
        <v>872.88135593220341</v>
      </c>
      <c r="N50" s="3">
        <v>851.91489361702122</v>
      </c>
      <c r="O50" s="3">
        <v>955.23809523809518</v>
      </c>
      <c r="P50" s="37">
        <f>MIN(1-df_mep[[#This Row],[MEP_compra_ARS]]/MEDIAN(N:N),100%)</f>
        <v>3.8390245404440471E-3</v>
      </c>
      <c r="Q50" s="38">
        <f>df_mep[[#This Row],[MEP_compra_USD]]/MEDIAN(O:O)-1</f>
        <v>4.4970870046703304E-3</v>
      </c>
      <c r="R5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0" s="38">
        <f>ABS(df_mep[[#This Row],[bid_BA]]-df_mep[[#This Row],[ask_BA]])/AVERAGE(df_mep[[#This Row],[bid_BA]:[ask_BA]])</f>
        <v>1.996007984031936E-3</v>
      </c>
      <c r="T50" s="36">
        <f>ABS(df_mep[[#This Row],[bid_D_BA]]-df_mep[[#This Row],[ask_D_BA]])/AVERAGE(df_mep[[#This Row],[bid_D_BA]:[ask_D_BA]])</f>
        <v>0.11235955056179775</v>
      </c>
    </row>
    <row r="51" spans="1:20" x14ac:dyDescent="0.35">
      <c r="A51" s="55" t="s">
        <v>75</v>
      </c>
      <c r="B51" s="55" t="s">
        <v>154</v>
      </c>
      <c r="C51" s="4">
        <v>14210</v>
      </c>
      <c r="D51" s="4">
        <v>14219.5</v>
      </c>
      <c r="E51" s="4">
        <v>13892.5</v>
      </c>
      <c r="F51" s="34">
        <v>16</v>
      </c>
      <c r="G51" s="34">
        <v>15.8</v>
      </c>
      <c r="H51" s="34">
        <v>15.3</v>
      </c>
      <c r="I51" s="5">
        <v>6897</v>
      </c>
      <c r="J51" s="5">
        <f>df_mep[[#This Row],[volume_BA]]*df_mep[[#This Row],[open_BA]]</f>
        <v>98006370</v>
      </c>
      <c r="K51" s="5">
        <v>1062</v>
      </c>
      <c r="L51" s="5">
        <f>df_mep[[#This Row],[volume_D_BA]]*df_mep[[#This Row],[open_D_BA]]</f>
        <v>16992</v>
      </c>
      <c r="M51" s="3">
        <v>888.125</v>
      </c>
      <c r="N51" s="3">
        <v>879.27215189873414</v>
      </c>
      <c r="O51" s="3">
        <v>929.37908496732018</v>
      </c>
      <c r="P51" s="37">
        <f>MIN(1-df_mep[[#This Row],[MEP_compra_ARS]]/MEDIAN(N:N),100%)</f>
        <v>-2.8150359962629823E-2</v>
      </c>
      <c r="Q51" s="38">
        <f>df_mep[[#This Row],[MEP_compra_USD]]/MEDIAN(O:O)-1</f>
        <v>-2.2695401045487396E-2</v>
      </c>
      <c r="R51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51" s="38">
        <f>ABS(df_mep[[#This Row],[bid_BA]]-df_mep[[#This Row],[ask_BA]])/AVERAGE(df_mep[[#This Row],[bid_BA]:[ask_BA]])</f>
        <v>2.3264086511098462E-2</v>
      </c>
      <c r="T51" s="36">
        <f>ABS(df_mep[[#This Row],[bid_D_BA]]-df_mep[[#This Row],[ask_D_BA]])/AVERAGE(df_mep[[#This Row],[bid_D_BA]:[ask_D_BA]])</f>
        <v>3.215434083601286E-2</v>
      </c>
    </row>
    <row r="52" spans="1:20" hidden="1" x14ac:dyDescent="0.35">
      <c r="A52" s="55" t="s">
        <v>197</v>
      </c>
      <c r="B52" s="55" t="s">
        <v>198</v>
      </c>
      <c r="C52" s="4">
        <v>19390</v>
      </c>
      <c r="D52" s="4">
        <v>19813.5</v>
      </c>
      <c r="E52" s="4">
        <v>19423</v>
      </c>
      <c r="F52" s="34">
        <v>22.7</v>
      </c>
      <c r="G52" s="34">
        <v>22.7</v>
      </c>
      <c r="H52" s="34">
        <v>20.399999999999999</v>
      </c>
      <c r="I52" s="5">
        <v>338</v>
      </c>
      <c r="J52" s="5">
        <f>df_mep[[#This Row],[volume_BA]]*df_mep[[#This Row],[open_BA]]</f>
        <v>6553820</v>
      </c>
      <c r="K52" s="5">
        <v>1</v>
      </c>
      <c r="L52" s="5">
        <f>df_mep[[#This Row],[volume_D_BA]]*df_mep[[#This Row],[open_D_BA]]</f>
        <v>22.7</v>
      </c>
      <c r="M52" s="3">
        <v>854.18502202643174</v>
      </c>
      <c r="N52" s="3">
        <v>855.63876651982378</v>
      </c>
      <c r="O52" s="3">
        <v>971.25000000000011</v>
      </c>
      <c r="P52" s="37">
        <f>MIN(1-df_mep[[#This Row],[MEP_compra_ARS]]/MEDIAN(N:N),100%)</f>
        <v>-5.1537387556810366E-4</v>
      </c>
      <c r="Q52" s="38">
        <f>df_mep[[#This Row],[MEP_compra_USD]]/MEDIAN(O:O)-1</f>
        <v>2.1334681496461227E-2</v>
      </c>
      <c r="R5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2" s="38">
        <f>ABS(df_mep[[#This Row],[bid_BA]]-df_mep[[#This Row],[ask_BA]])/AVERAGE(df_mep[[#This Row],[bid_BA]:[ask_BA]])</f>
        <v>1.9904935455506988E-2</v>
      </c>
      <c r="T52" s="36">
        <f>ABS(df_mep[[#This Row],[bid_D_BA]]-df_mep[[#This Row],[ask_D_BA]])/AVERAGE(df_mep[[#This Row],[bid_D_BA]:[ask_D_BA]])</f>
        <v>0.1067285382830627</v>
      </c>
    </row>
    <row r="53" spans="1:20" hidden="1" x14ac:dyDescent="0.35">
      <c r="A53" s="55" t="s">
        <v>223</v>
      </c>
      <c r="B53" s="55" t="s">
        <v>224</v>
      </c>
      <c r="C53" s="4">
        <v>14999</v>
      </c>
      <c r="D53" s="4">
        <v>14993.5</v>
      </c>
      <c r="E53" s="4">
        <v>14600</v>
      </c>
      <c r="F53" s="34">
        <v>17</v>
      </c>
      <c r="G53" s="34">
        <v>17</v>
      </c>
      <c r="H53" s="34">
        <v>16</v>
      </c>
      <c r="I53" s="5">
        <v>3089</v>
      </c>
      <c r="J53" s="5">
        <f>df_mep[[#This Row],[volume_BA]]*df_mep[[#This Row],[open_BA]]</f>
        <v>46331911</v>
      </c>
      <c r="K53" s="5">
        <v>10</v>
      </c>
      <c r="L53" s="5">
        <f>df_mep[[#This Row],[volume_D_BA]]*df_mep[[#This Row],[open_D_BA]]</f>
        <v>170</v>
      </c>
      <c r="M53" s="3">
        <v>882.29411764705878</v>
      </c>
      <c r="N53" s="3">
        <v>858.82352941176475</v>
      </c>
      <c r="O53" s="3">
        <v>937.09375</v>
      </c>
      <c r="P53" s="37">
        <f>MIN(1-df_mep[[#This Row],[MEP_compra_ARS]]/MEDIAN(N:N),100%)</f>
        <v>-4.2393802673024172E-3</v>
      </c>
      <c r="Q53" s="38">
        <f>df_mep[[#This Row],[MEP_compra_USD]]/MEDIAN(O:O)-1</f>
        <v>-1.4582912032355955E-2</v>
      </c>
      <c r="R5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3" s="38">
        <f>ABS(df_mep[[#This Row],[bid_BA]]-df_mep[[#This Row],[ask_BA]])/AVERAGE(df_mep[[#This Row],[bid_BA]:[ask_BA]])</f>
        <v>2.6593677665703617E-2</v>
      </c>
      <c r="T53" s="36">
        <f>ABS(df_mep[[#This Row],[bid_D_BA]]-df_mep[[#This Row],[ask_D_BA]])/AVERAGE(df_mep[[#This Row],[bid_D_BA]:[ask_D_BA]])</f>
        <v>6.0606060606060608E-2</v>
      </c>
    </row>
    <row r="54" spans="1:20" hidden="1" x14ac:dyDescent="0.35">
      <c r="A54" s="55" t="s">
        <v>191</v>
      </c>
      <c r="B54" s="55" t="s">
        <v>192</v>
      </c>
      <c r="C54" s="4">
        <v>16700</v>
      </c>
      <c r="D54" s="4">
        <v>17140</v>
      </c>
      <c r="E54" s="4">
        <v>17140</v>
      </c>
      <c r="F54" s="34">
        <v>19</v>
      </c>
      <c r="G54" s="34">
        <v>19.95</v>
      </c>
      <c r="H54" s="34">
        <v>18.8</v>
      </c>
      <c r="I54" s="5">
        <v>3146</v>
      </c>
      <c r="J54" s="5">
        <f>df_mep[[#This Row],[volume_BA]]*df_mep[[#This Row],[open_BA]]</f>
        <v>52538200</v>
      </c>
      <c r="K54" s="5">
        <v>17</v>
      </c>
      <c r="L54" s="5">
        <f>df_mep[[#This Row],[volume_D_BA]]*df_mep[[#This Row],[open_D_BA]]</f>
        <v>323</v>
      </c>
      <c r="M54" s="3">
        <v>878.9473684210526</v>
      </c>
      <c r="N54" s="3">
        <v>859.14786967418547</v>
      </c>
      <c r="O54" s="3">
        <v>911.70212765957444</v>
      </c>
      <c r="P54" s="37">
        <f>MIN(1-df_mep[[#This Row],[MEP_compra_ARS]]/MEDIAN(N:N),100%)</f>
        <v>-4.6186377666308509E-3</v>
      </c>
      <c r="Q54" s="38">
        <f>df_mep[[#This Row],[MEP_compra_USD]]/MEDIAN(O:O)-1</f>
        <v>-4.1283910246756927E-2</v>
      </c>
      <c r="R5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4" s="38">
        <f>ABS(df_mep[[#This Row],[bid_BA]]-df_mep[[#This Row],[ask_BA]])/AVERAGE(df_mep[[#This Row],[bid_BA]:[ask_BA]])</f>
        <v>0</v>
      </c>
      <c r="T54" s="36">
        <f>ABS(df_mep[[#This Row],[bid_D_BA]]-df_mep[[#This Row],[ask_D_BA]])/AVERAGE(df_mep[[#This Row],[bid_D_BA]:[ask_D_BA]])</f>
        <v>5.9354838709677345E-2</v>
      </c>
    </row>
    <row r="55" spans="1:20" hidden="1" x14ac:dyDescent="0.35">
      <c r="A55" s="55" t="s">
        <v>215</v>
      </c>
      <c r="B55" s="55" t="s">
        <v>216</v>
      </c>
      <c r="C55" s="4">
        <v>27000</v>
      </c>
      <c r="D55" s="4">
        <v>27522</v>
      </c>
      <c r="E55" s="4">
        <v>27500</v>
      </c>
      <c r="F55" s="34">
        <v>30.55</v>
      </c>
      <c r="G55" s="34">
        <v>32</v>
      </c>
      <c r="H55" s="34">
        <v>27</v>
      </c>
      <c r="I55" s="5">
        <v>2184</v>
      </c>
      <c r="J55" s="5">
        <f>df_mep[[#This Row],[volume_BA]]*df_mep[[#This Row],[open_BA]]</f>
        <v>58968000</v>
      </c>
      <c r="K55" s="5">
        <v>3</v>
      </c>
      <c r="L55" s="5">
        <f>df_mep[[#This Row],[volume_D_BA]]*df_mep[[#This Row],[open_D_BA]]</f>
        <v>91.65</v>
      </c>
      <c r="M55" s="3">
        <v>883.79705400981993</v>
      </c>
      <c r="N55" s="3">
        <v>859.375</v>
      </c>
      <c r="O55" s="3">
        <v>1019.3333333333334</v>
      </c>
      <c r="P55" s="37">
        <f>MIN(1-df_mep[[#This Row],[MEP_compra_ARS]]/MEDIAN(N:N),100%)</f>
        <v>-4.8842257597685457E-3</v>
      </c>
      <c r="Q55" s="38">
        <f>df_mep[[#This Row],[MEP_compra_USD]]/MEDIAN(O:O)-1</f>
        <v>7.1897539602291838E-2</v>
      </c>
      <c r="R5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5" s="38">
        <f>ABS(df_mep[[#This Row],[bid_BA]]-df_mep[[#This Row],[ask_BA]])/AVERAGE(df_mep[[#This Row],[bid_BA]:[ask_BA]])</f>
        <v>7.9968012794882047E-4</v>
      </c>
      <c r="T55" s="36">
        <f>ABS(df_mep[[#This Row],[bid_D_BA]]-df_mep[[#This Row],[ask_D_BA]])/AVERAGE(df_mep[[#This Row],[bid_D_BA]:[ask_D_BA]])</f>
        <v>0.16949152542372881</v>
      </c>
    </row>
    <row r="56" spans="1:20" x14ac:dyDescent="0.35">
      <c r="A56" s="55" t="s">
        <v>26</v>
      </c>
      <c r="B56" s="55" t="s">
        <v>142</v>
      </c>
      <c r="C56" s="4">
        <v>15600</v>
      </c>
      <c r="D56" s="4">
        <v>16048</v>
      </c>
      <c r="E56" s="4">
        <v>16027.5</v>
      </c>
      <c r="F56" s="34">
        <v>17.850000000000001</v>
      </c>
      <c r="G56" s="34">
        <v>19.5</v>
      </c>
      <c r="H56" s="34">
        <v>17.850000000000001</v>
      </c>
      <c r="I56" s="5">
        <v>55148</v>
      </c>
      <c r="J56" s="5">
        <f>df_mep[[#This Row],[volume_BA]]*df_mep[[#This Row],[open_BA]]</f>
        <v>860308800</v>
      </c>
      <c r="K56" s="5">
        <v>750</v>
      </c>
      <c r="L56" s="5">
        <f>df_mep[[#This Row],[volume_D_BA]]*df_mep[[#This Row],[open_D_BA]]</f>
        <v>13387.500000000002</v>
      </c>
      <c r="M56" s="3">
        <v>873.94957983193274</v>
      </c>
      <c r="N56" s="3">
        <v>821.92307692307691</v>
      </c>
      <c r="O56" s="3">
        <v>899.04761904761892</v>
      </c>
      <c r="P56" s="37">
        <f>MIN(1-df_mep[[#This Row],[MEP_compra_ARS]]/MEDIAN(N:N),100%)</f>
        <v>3.8909050428587388E-2</v>
      </c>
      <c r="Q56" s="38">
        <f>df_mep[[#This Row],[MEP_compra_USD]]/MEDIAN(O:O)-1</f>
        <v>-5.4590976936780944E-2</v>
      </c>
      <c r="R56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56" s="38">
        <f>ABS(df_mep[[#This Row],[bid_BA]]-df_mep[[#This Row],[ask_BA]])/AVERAGE(df_mep[[#This Row],[bid_BA]:[ask_BA]])</f>
        <v>1.278234166263971E-3</v>
      </c>
      <c r="T56" s="36">
        <f>ABS(df_mep[[#This Row],[bid_D_BA]]-df_mep[[#This Row],[ask_D_BA]])/AVERAGE(df_mep[[#This Row],[bid_D_BA]:[ask_D_BA]])</f>
        <v>8.8353413654618393E-2</v>
      </c>
    </row>
    <row r="57" spans="1:20" hidden="1" x14ac:dyDescent="0.35">
      <c r="A57" s="55" t="s">
        <v>220</v>
      </c>
      <c r="B57" s="55" t="s">
        <v>221</v>
      </c>
      <c r="C57" s="4">
        <v>9400</v>
      </c>
      <c r="D57" s="4">
        <v>9619</v>
      </c>
      <c r="E57" s="4">
        <v>9500</v>
      </c>
      <c r="F57" s="34">
        <v>10.6</v>
      </c>
      <c r="G57" s="34">
        <v>11</v>
      </c>
      <c r="H57" s="34">
        <v>10.050000000000001</v>
      </c>
      <c r="I57" s="5">
        <v>2327</v>
      </c>
      <c r="J57" s="5">
        <f>df_mep[[#This Row],[volume_BA]]*df_mep[[#This Row],[open_BA]]</f>
        <v>21873800</v>
      </c>
      <c r="K57" s="5">
        <v>10</v>
      </c>
      <c r="L57" s="5">
        <f>df_mep[[#This Row],[volume_D_BA]]*df_mep[[#This Row],[open_D_BA]]</f>
        <v>106</v>
      </c>
      <c r="M57" s="3">
        <v>886.79245283018872</v>
      </c>
      <c r="N57" s="3">
        <v>863.63636363636363</v>
      </c>
      <c r="O57" s="3">
        <v>957.11442786069642</v>
      </c>
      <c r="P57" s="37">
        <f>MIN(1-df_mep[[#This Row],[MEP_compra_ARS]]/MEDIAN(N:N),100%)</f>
        <v>-9.8671227470070733E-3</v>
      </c>
      <c r="Q57" s="38">
        <f>df_mep[[#This Row],[MEP_compra_USD]]/MEDIAN(O:O)-1</f>
        <v>6.470176921258064E-3</v>
      </c>
      <c r="R5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7" s="38">
        <f>ABS(df_mep[[#This Row],[bid_BA]]-df_mep[[#This Row],[ask_BA]])/AVERAGE(df_mep[[#This Row],[bid_BA]:[ask_BA]])</f>
        <v>1.2448349809090434E-2</v>
      </c>
      <c r="T57" s="36">
        <f>ABS(df_mep[[#This Row],[bid_D_BA]]-df_mep[[#This Row],[ask_D_BA]])/AVERAGE(df_mep[[#This Row],[bid_D_BA]:[ask_D_BA]])</f>
        <v>9.0261282660332467E-2</v>
      </c>
    </row>
    <row r="58" spans="1:20" hidden="1" x14ac:dyDescent="0.35">
      <c r="A58" s="55" t="s">
        <v>136</v>
      </c>
      <c r="B58" s="55" t="s">
        <v>137</v>
      </c>
      <c r="C58" s="4">
        <v>18695</v>
      </c>
      <c r="D58" s="4">
        <v>19445.5</v>
      </c>
      <c r="E58" s="4">
        <v>19399.5</v>
      </c>
      <c r="F58" s="34">
        <v>22.5</v>
      </c>
      <c r="G58" s="34">
        <v>22.45</v>
      </c>
      <c r="H58" s="34">
        <v>20.6</v>
      </c>
      <c r="I58" s="5">
        <v>2365</v>
      </c>
      <c r="J58" s="5">
        <f>df_mep[[#This Row],[volume_BA]]*df_mep[[#This Row],[open_BA]]</f>
        <v>44213675</v>
      </c>
      <c r="K58" s="5">
        <v>48</v>
      </c>
      <c r="L58" s="5">
        <f>df_mep[[#This Row],[volume_D_BA]]*df_mep[[#This Row],[open_D_BA]]</f>
        <v>1080</v>
      </c>
      <c r="M58" s="3">
        <v>830.88888888888891</v>
      </c>
      <c r="N58" s="3">
        <v>864.12026726057911</v>
      </c>
      <c r="O58" s="3">
        <v>943.95631067961153</v>
      </c>
      <c r="P58" s="37">
        <f>MIN(1-df_mep[[#This Row],[MEP_compra_ARS]]/MEDIAN(N:N),100%)</f>
        <v>-1.0432960848839157E-2</v>
      </c>
      <c r="Q58" s="38">
        <f>df_mep[[#This Row],[MEP_compra_USD]]/MEDIAN(O:O)-1</f>
        <v>-7.3664680416622996E-3</v>
      </c>
      <c r="R5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8" s="38">
        <f>ABS(df_mep[[#This Row],[bid_BA]]-df_mep[[#This Row],[ask_BA]])/AVERAGE(df_mep[[#This Row],[bid_BA]:[ask_BA]])</f>
        <v>2.3683871798172223E-3</v>
      </c>
      <c r="T58" s="36">
        <f>ABS(df_mep[[#This Row],[bid_D_BA]]-df_mep[[#This Row],[ask_D_BA]])/AVERAGE(df_mep[[#This Row],[bid_D_BA]:[ask_D_BA]])</f>
        <v>8.5946573751451705E-2</v>
      </c>
    </row>
    <row r="59" spans="1:20" hidden="1" x14ac:dyDescent="0.35">
      <c r="A59" s="55" t="s">
        <v>73</v>
      </c>
      <c r="B59" s="55" t="s">
        <v>214</v>
      </c>
      <c r="C59" s="4">
        <v>15850</v>
      </c>
      <c r="D59" s="4">
        <v>15758</v>
      </c>
      <c r="E59" s="4">
        <v>15600</v>
      </c>
      <c r="F59" s="34">
        <v>18.55</v>
      </c>
      <c r="G59" s="34">
        <v>18</v>
      </c>
      <c r="H59" s="34">
        <v>17.25</v>
      </c>
      <c r="I59" s="5">
        <v>9662</v>
      </c>
      <c r="J59" s="5">
        <f>df_mep[[#This Row],[volume_BA]]*df_mep[[#This Row],[open_BA]]</f>
        <v>153142700</v>
      </c>
      <c r="K59" s="5">
        <v>104</v>
      </c>
      <c r="L59" s="5">
        <f>df_mep[[#This Row],[volume_D_BA]]*df_mep[[#This Row],[open_D_BA]]</f>
        <v>1929.2</v>
      </c>
      <c r="M59" s="3">
        <v>854.44743935309975</v>
      </c>
      <c r="N59" s="3">
        <v>866.66666666666663</v>
      </c>
      <c r="O59" s="3">
        <v>913.50724637681162</v>
      </c>
      <c r="P59" s="37">
        <f>MIN(1-df_mep[[#This Row],[MEP_compra_ARS]]/MEDIAN(N:N),100%)</f>
        <v>-1.3410516160154318E-2</v>
      </c>
      <c r="Q59" s="38">
        <f>df_mep[[#This Row],[MEP_compra_USD]]/MEDIAN(O:O)-1</f>
        <v>-3.9385706540056575E-2</v>
      </c>
      <c r="R5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59" s="38">
        <f>ABS(df_mep[[#This Row],[bid_BA]]-df_mep[[#This Row],[ask_BA]])/AVERAGE(df_mep[[#This Row],[bid_BA]:[ask_BA]])</f>
        <v>1.0077173289112826E-2</v>
      </c>
      <c r="T59" s="36">
        <f>ABS(df_mep[[#This Row],[bid_D_BA]]-df_mep[[#This Row],[ask_D_BA]])/AVERAGE(df_mep[[#This Row],[bid_D_BA]:[ask_D_BA]])</f>
        <v>4.2553191489361701E-2</v>
      </c>
    </row>
    <row r="60" spans="1:20" hidden="1" x14ac:dyDescent="0.35">
      <c r="A60" s="55" t="s">
        <v>113</v>
      </c>
      <c r="B60" s="55" t="s">
        <v>114</v>
      </c>
      <c r="C60" s="4">
        <v>9700</v>
      </c>
      <c r="D60" s="4">
        <v>9611.5</v>
      </c>
      <c r="E60" s="4">
        <v>9590</v>
      </c>
      <c r="F60" s="34">
        <v>11.05</v>
      </c>
      <c r="G60" s="34">
        <v>11.05</v>
      </c>
      <c r="H60" s="34">
        <v>8.75</v>
      </c>
      <c r="I60" s="5">
        <v>2310</v>
      </c>
      <c r="J60" s="5">
        <f>df_mep[[#This Row],[volume_BA]]*df_mep[[#This Row],[open_BA]]</f>
        <v>22407000</v>
      </c>
      <c r="K60" s="5">
        <v>36</v>
      </c>
      <c r="L60" s="5">
        <f>df_mep[[#This Row],[volume_D_BA]]*df_mep[[#This Row],[open_D_BA]]</f>
        <v>397.8</v>
      </c>
      <c r="M60" s="3">
        <v>877.82805429864243</v>
      </c>
      <c r="N60" s="3">
        <v>867.87330316742077</v>
      </c>
      <c r="O60" s="3">
        <v>1098.4571428571428</v>
      </c>
      <c r="P60" s="37">
        <f>MIN(1-df_mep[[#This Row],[MEP_compra_ARS]]/MEDIAN(N:N),100%)</f>
        <v>-1.4821460143670029E-2</v>
      </c>
      <c r="Q60" s="38">
        <f>df_mep[[#This Row],[MEP_compra_USD]]/MEDIAN(O:O)-1</f>
        <v>0.15510154557272848</v>
      </c>
      <c r="R6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0" s="38">
        <f>ABS(df_mep[[#This Row],[bid_BA]]-df_mep[[#This Row],[ask_BA]])/AVERAGE(df_mep[[#This Row],[bid_BA]:[ask_BA]])</f>
        <v>2.2394083795536806E-3</v>
      </c>
      <c r="T60" s="36">
        <f>ABS(df_mep[[#This Row],[bid_D_BA]]-df_mep[[#This Row],[ask_D_BA]])/AVERAGE(df_mep[[#This Row],[bid_D_BA]:[ask_D_BA]])</f>
        <v>0.23232323232323238</v>
      </c>
    </row>
    <row r="61" spans="1:20" hidden="1" x14ac:dyDescent="0.35">
      <c r="A61" s="55" t="s">
        <v>122</v>
      </c>
      <c r="B61" s="55" t="s">
        <v>123</v>
      </c>
      <c r="C61" s="4">
        <v>20710</v>
      </c>
      <c r="D61" s="4">
        <v>20287</v>
      </c>
      <c r="E61" s="4">
        <v>20002</v>
      </c>
      <c r="F61" s="34">
        <v>23.8</v>
      </c>
      <c r="G61" s="34">
        <v>23</v>
      </c>
      <c r="H61" s="34">
        <v>0</v>
      </c>
      <c r="I61" s="5">
        <v>858</v>
      </c>
      <c r="J61" s="5">
        <f>df_mep[[#This Row],[volume_BA]]*df_mep[[#This Row],[open_BA]]</f>
        <v>17769180</v>
      </c>
      <c r="K61" s="5">
        <v>0</v>
      </c>
      <c r="L61" s="5">
        <f>df_mep[[#This Row],[volume_D_BA]]*df_mep[[#This Row],[open_D_BA]]</f>
        <v>0</v>
      </c>
      <c r="M61" s="3">
        <v>870.16806722689068</v>
      </c>
      <c r="N61" s="3">
        <v>869.6521739130435</v>
      </c>
      <c r="P61" s="37">
        <f>MIN(1-df_mep[[#This Row],[MEP_compra_ARS]]/MEDIAN(N:N),100%)</f>
        <v>-1.6901528975020508E-2</v>
      </c>
      <c r="Q61" s="38">
        <f>df_mep[[#This Row],[MEP_compra_USD]]/MEDIAN(O:O)-1</f>
        <v>-1</v>
      </c>
      <c r="R6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1" s="38">
        <f>ABS(df_mep[[#This Row],[bid_BA]]-df_mep[[#This Row],[ask_BA]])/AVERAGE(df_mep[[#This Row],[bid_BA]:[ask_BA]])</f>
        <v>1.4147782273077019E-2</v>
      </c>
      <c r="T61" s="36">
        <f>ABS(df_mep[[#This Row],[bid_D_BA]]-df_mep[[#This Row],[ask_D_BA]])/AVERAGE(df_mep[[#This Row],[bid_D_BA]:[ask_D_BA]])</f>
        <v>2</v>
      </c>
    </row>
    <row r="62" spans="1:20" x14ac:dyDescent="0.35">
      <c r="A62" s="55" t="s">
        <v>11</v>
      </c>
      <c r="B62" s="55" t="s">
        <v>108</v>
      </c>
      <c r="C62" s="4">
        <v>863.5</v>
      </c>
      <c r="D62" s="4">
        <v>878</v>
      </c>
      <c r="E62" s="4">
        <v>875</v>
      </c>
      <c r="F62" s="34">
        <v>0.96299999999999997</v>
      </c>
      <c r="G62" s="34">
        <v>0.97799999999999998</v>
      </c>
      <c r="H62" s="34">
        <v>0.97499999999999998</v>
      </c>
      <c r="I62" s="5">
        <v>475800</v>
      </c>
      <c r="J62" s="5">
        <f>df_mep[[#This Row],[volume_BA]]*df_mep[[#This Row],[open_BA]]</f>
        <v>410853300</v>
      </c>
      <c r="K62" s="5">
        <v>13883</v>
      </c>
      <c r="L62" s="5">
        <f>df_mep[[#This Row],[volume_D_BA]]*df_mep[[#This Row],[open_D_BA]]</f>
        <v>13369.329</v>
      </c>
      <c r="M62" s="3">
        <v>896.67705088265836</v>
      </c>
      <c r="N62" s="3">
        <v>894.68302658486709</v>
      </c>
      <c r="O62" s="3">
        <v>900.51282051282055</v>
      </c>
      <c r="P62" s="37">
        <f>MIN(1-df_mep[[#This Row],[MEP_compra_ARS]]/MEDIAN(N:N),100%)</f>
        <v>-4.6170601274345247E-2</v>
      </c>
      <c r="Q62" s="38">
        <f>df_mep[[#This Row],[MEP_compra_USD]]/MEDIAN(O:O)-1</f>
        <v>-5.3050219076508198E-2</v>
      </c>
      <c r="R62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62" s="38">
        <f>ABS(df_mep[[#This Row],[bid_BA]]-df_mep[[#This Row],[ask_BA]])/AVERAGE(df_mep[[#This Row],[bid_BA]:[ask_BA]])</f>
        <v>3.4227039361095267E-3</v>
      </c>
      <c r="T62" s="36">
        <f>ABS(df_mep[[#This Row],[bid_D_BA]]-df_mep[[#This Row],[ask_D_BA]])/AVERAGE(df_mep[[#This Row],[bid_D_BA]:[ask_D_BA]])</f>
        <v>3.0721966205837204E-3</v>
      </c>
    </row>
    <row r="63" spans="1:20" hidden="1" x14ac:dyDescent="0.35">
      <c r="A63" s="55" t="s">
        <v>255</v>
      </c>
      <c r="B63" s="55" t="s">
        <v>256</v>
      </c>
      <c r="C63" s="4">
        <v>12249.5</v>
      </c>
      <c r="D63" s="4">
        <v>12625</v>
      </c>
      <c r="E63" s="4">
        <v>12560</v>
      </c>
      <c r="F63" s="34">
        <v>14.5</v>
      </c>
      <c r="G63" s="34">
        <v>14.4</v>
      </c>
      <c r="H63" s="34">
        <v>13.25</v>
      </c>
      <c r="I63" s="5">
        <v>12575</v>
      </c>
      <c r="J63" s="5">
        <f>df_mep[[#This Row],[volume_BA]]*df_mep[[#This Row],[open_BA]]</f>
        <v>154037462.5</v>
      </c>
      <c r="K63" s="5">
        <v>16</v>
      </c>
      <c r="L63" s="5">
        <f>df_mep[[#This Row],[volume_D_BA]]*df_mep[[#This Row],[open_D_BA]]</f>
        <v>232</v>
      </c>
      <c r="M63" s="3">
        <v>844.79310344827582</v>
      </c>
      <c r="N63" s="3">
        <v>872.22222222222217</v>
      </c>
      <c r="O63" s="3">
        <v>952.83018867924534</v>
      </c>
      <c r="P63" s="37">
        <f>MIN(1-df_mep[[#This Row],[MEP_compra_ARS]]/MEDIAN(N:N),100%)</f>
        <v>-1.9906737417591192E-2</v>
      </c>
      <c r="Q63" s="38">
        <f>df_mep[[#This Row],[MEP_compra_USD]]/MEDIAN(O:O)-1</f>
        <v>1.9650113512792444E-3</v>
      </c>
      <c r="R6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3" s="38">
        <f>ABS(df_mep[[#This Row],[bid_BA]]-df_mep[[#This Row],[ask_BA]])/AVERAGE(df_mep[[#This Row],[bid_BA]:[ask_BA]])</f>
        <v>5.1618026603136788E-3</v>
      </c>
      <c r="T63" s="36">
        <f>ABS(df_mep[[#This Row],[bid_D_BA]]-df_mep[[#This Row],[ask_D_BA]])/AVERAGE(df_mep[[#This Row],[bid_D_BA]:[ask_D_BA]])</f>
        <v>8.318264014466549E-2</v>
      </c>
    </row>
    <row r="64" spans="1:20" x14ac:dyDescent="0.35">
      <c r="A64" s="55" t="s">
        <v>79</v>
      </c>
      <c r="B64" s="55" t="s">
        <v>129</v>
      </c>
      <c r="C64" s="4">
        <v>15000</v>
      </c>
      <c r="D64" s="4">
        <v>14950</v>
      </c>
      <c r="E64" s="4">
        <v>14948</v>
      </c>
      <c r="F64" s="34">
        <v>17</v>
      </c>
      <c r="G64" s="34">
        <v>16.55</v>
      </c>
      <c r="H64" s="34">
        <v>16.399999999999999</v>
      </c>
      <c r="I64" s="5">
        <v>17575</v>
      </c>
      <c r="J64" s="5">
        <f>df_mep[[#This Row],[volume_BA]]*df_mep[[#This Row],[open_BA]]</f>
        <v>263625000</v>
      </c>
      <c r="K64" s="5">
        <v>779</v>
      </c>
      <c r="L64" s="5">
        <f>df_mep[[#This Row],[volume_D_BA]]*df_mep[[#This Row],[open_D_BA]]</f>
        <v>13243</v>
      </c>
      <c r="M64" s="3">
        <v>882.35294117647061</v>
      </c>
      <c r="N64" s="3">
        <v>903.20241691842898</v>
      </c>
      <c r="O64" s="3">
        <v>911.58536585365857</v>
      </c>
      <c r="P64" s="37">
        <f>MIN(1-df_mep[[#This Row],[MEP_compra_ARS]]/MEDIAN(N:N),100%)</f>
        <v>-5.6132493299696939E-2</v>
      </c>
      <c r="Q64" s="38">
        <f>df_mep[[#This Row],[MEP_compra_USD]]/MEDIAN(O:O)-1</f>
        <v>-4.1406693136698758E-2</v>
      </c>
      <c r="R64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64" s="38">
        <f>ABS(df_mep[[#This Row],[bid_BA]]-df_mep[[#This Row],[ask_BA]])/AVERAGE(df_mep[[#This Row],[bid_BA]:[ask_BA]])</f>
        <v>1.3378821325841193E-4</v>
      </c>
      <c r="T64" s="36">
        <f>ABS(df_mep[[#This Row],[bid_D_BA]]-df_mep[[#This Row],[ask_D_BA]])/AVERAGE(df_mep[[#This Row],[bid_D_BA]:[ask_D_BA]])</f>
        <v>9.1047040971169724E-3</v>
      </c>
    </row>
    <row r="65" spans="1:20" hidden="1" x14ac:dyDescent="0.35">
      <c r="A65" s="55" t="s">
        <v>120</v>
      </c>
      <c r="B65" s="55" t="s">
        <v>121</v>
      </c>
      <c r="C65" s="4">
        <v>11700</v>
      </c>
      <c r="D65" s="4">
        <v>11113</v>
      </c>
      <c r="E65" s="4">
        <v>11000</v>
      </c>
      <c r="F65" s="34">
        <v>12.7</v>
      </c>
      <c r="G65" s="34">
        <v>12.55</v>
      </c>
      <c r="H65" s="34">
        <v>11.5</v>
      </c>
      <c r="I65" s="5">
        <v>15416</v>
      </c>
      <c r="J65" s="5">
        <f>df_mep[[#This Row],[volume_BA]]*df_mep[[#This Row],[open_BA]]</f>
        <v>180367200</v>
      </c>
      <c r="K65" s="5">
        <v>1</v>
      </c>
      <c r="L65" s="5">
        <f>df_mep[[#This Row],[volume_D_BA]]*df_mep[[#This Row],[open_D_BA]]</f>
        <v>12.7</v>
      </c>
      <c r="M65" s="3">
        <v>921.25984251968509</v>
      </c>
      <c r="N65" s="3">
        <v>876.4940239043824</v>
      </c>
      <c r="O65" s="3">
        <v>966.3478260869565</v>
      </c>
      <c r="P65" s="37">
        <f>MIN(1-df_mep[[#This Row],[MEP_compra_ARS]]/MEDIAN(N:N),100%)</f>
        <v>-2.4901839818727955E-2</v>
      </c>
      <c r="Q65" s="38">
        <f>df_mep[[#This Row],[MEP_compra_USD]]/MEDIAN(O:O)-1</f>
        <v>1.6179716006506251E-2</v>
      </c>
      <c r="R6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5" s="38">
        <f>ABS(df_mep[[#This Row],[bid_BA]]-df_mep[[#This Row],[ask_BA]])/AVERAGE(df_mep[[#This Row],[bid_BA]:[ask_BA]])</f>
        <v>1.0220232442454664E-2</v>
      </c>
      <c r="T65" s="36">
        <f>ABS(df_mep[[#This Row],[bid_D_BA]]-df_mep[[#This Row],[ask_D_BA]])/AVERAGE(df_mep[[#This Row],[bid_D_BA]:[ask_D_BA]])</f>
        <v>8.7318087318087378E-2</v>
      </c>
    </row>
    <row r="66" spans="1:20" hidden="1" x14ac:dyDescent="0.35">
      <c r="A66" s="55" t="s">
        <v>268</v>
      </c>
      <c r="B66" s="55" t="s">
        <v>269</v>
      </c>
      <c r="C66" s="4">
        <v>20000</v>
      </c>
      <c r="D66" s="4">
        <v>20367</v>
      </c>
      <c r="E66" s="4">
        <v>20346</v>
      </c>
      <c r="F66" s="34">
        <v>23</v>
      </c>
      <c r="G66" s="34">
        <v>23.2</v>
      </c>
      <c r="H66" s="34">
        <v>23.1</v>
      </c>
      <c r="I66" s="5">
        <v>12805</v>
      </c>
      <c r="J66" s="5">
        <f>df_mep[[#This Row],[volume_BA]]*df_mep[[#This Row],[open_BA]]</f>
        <v>256100000</v>
      </c>
      <c r="K66" s="5">
        <v>73</v>
      </c>
      <c r="L66" s="5">
        <f>df_mep[[#This Row],[volume_D_BA]]*df_mep[[#This Row],[open_D_BA]]</f>
        <v>1679</v>
      </c>
      <c r="M66" s="3">
        <v>869.56521739130437</v>
      </c>
      <c r="N66" s="3">
        <v>876.98275862068965</v>
      </c>
      <c r="O66" s="3">
        <v>881.68831168831161</v>
      </c>
      <c r="P66" s="37">
        <f>MIN(1-df_mep[[#This Row],[MEP_compra_ARS]]/MEDIAN(N:N),100%)</f>
        <v>-2.5473327012325964E-2</v>
      </c>
      <c r="Q66" s="38">
        <f>df_mep[[#This Row],[MEP_compra_USD]]/MEDIAN(O:O)-1</f>
        <v>-7.2845455858600472E-2</v>
      </c>
      <c r="R6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6" s="38">
        <f>ABS(df_mep[[#This Row],[bid_BA]]-df_mep[[#This Row],[ask_BA]])/AVERAGE(df_mep[[#This Row],[bid_BA]:[ask_BA]])</f>
        <v>1.0316115245744602E-3</v>
      </c>
      <c r="T66" s="36">
        <f>ABS(df_mep[[#This Row],[bid_D_BA]]-df_mep[[#This Row],[ask_D_BA]])/AVERAGE(df_mep[[#This Row],[bid_D_BA]:[ask_D_BA]])</f>
        <v>4.3196544276456967E-3</v>
      </c>
    </row>
    <row r="67" spans="1:20" hidden="1" x14ac:dyDescent="0.35">
      <c r="A67" s="55" t="s">
        <v>200</v>
      </c>
      <c r="B67" s="55" t="s">
        <v>201</v>
      </c>
      <c r="C67" s="4">
        <v>21202</v>
      </c>
      <c r="D67" s="4">
        <v>21530</v>
      </c>
      <c r="E67" s="4">
        <v>21511</v>
      </c>
      <c r="F67" s="34">
        <v>24.3</v>
      </c>
      <c r="G67" s="34">
        <v>24.5</v>
      </c>
      <c r="H67" s="34">
        <v>22.5</v>
      </c>
      <c r="I67" s="5">
        <v>9408</v>
      </c>
      <c r="J67" s="5">
        <f>df_mep[[#This Row],[volume_BA]]*df_mep[[#This Row],[open_BA]]</f>
        <v>199468416</v>
      </c>
      <c r="K67" s="5">
        <v>11</v>
      </c>
      <c r="L67" s="5">
        <f>df_mep[[#This Row],[volume_D_BA]]*df_mep[[#This Row],[open_D_BA]]</f>
        <v>267.3</v>
      </c>
      <c r="M67" s="3">
        <v>872.51028806584361</v>
      </c>
      <c r="N67" s="3">
        <v>878</v>
      </c>
      <c r="O67" s="3">
        <v>956.88888888888891</v>
      </c>
      <c r="P67" s="37">
        <f>MIN(1-df_mep[[#This Row],[MEP_compra_ARS]]/MEDIAN(N:N),100%)</f>
        <v>-2.6662807525325682E-2</v>
      </c>
      <c r="Q67" s="38">
        <f>df_mep[[#This Row],[MEP_compra_USD]]/MEDIAN(O:O)-1</f>
        <v>6.2330075272440943E-3</v>
      </c>
      <c r="R6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7" s="38">
        <f>ABS(df_mep[[#This Row],[bid_BA]]-df_mep[[#This Row],[ask_BA]])/AVERAGE(df_mep[[#This Row],[bid_BA]:[ask_BA]])</f>
        <v>8.8287911526219187E-4</v>
      </c>
      <c r="T67" s="36">
        <f>ABS(df_mep[[#This Row],[bid_D_BA]]-df_mep[[#This Row],[ask_D_BA]])/AVERAGE(df_mep[[#This Row],[bid_D_BA]:[ask_D_BA]])</f>
        <v>8.5106382978723402E-2</v>
      </c>
    </row>
    <row r="68" spans="1:20" hidden="1" x14ac:dyDescent="0.35">
      <c r="A68" s="55" t="s">
        <v>150</v>
      </c>
      <c r="B68" s="55" t="s">
        <v>151</v>
      </c>
      <c r="C68" s="4">
        <v>12800</v>
      </c>
      <c r="D68" s="4">
        <v>12961</v>
      </c>
      <c r="E68" s="4">
        <v>12689.5</v>
      </c>
      <c r="F68" s="34">
        <v>13.6</v>
      </c>
      <c r="G68" s="34">
        <v>14.45</v>
      </c>
      <c r="H68" s="34">
        <v>12.8</v>
      </c>
      <c r="I68" s="5">
        <v>211</v>
      </c>
      <c r="J68" s="5">
        <f>df_mep[[#This Row],[volume_BA]]*df_mep[[#This Row],[open_BA]]</f>
        <v>2700800</v>
      </c>
      <c r="K68" s="5">
        <v>0</v>
      </c>
      <c r="L68" s="5">
        <f>df_mep[[#This Row],[volume_D_BA]]*df_mep[[#This Row],[open_D_BA]]</f>
        <v>0</v>
      </c>
      <c r="M68" s="3">
        <v>941.17647058823536</v>
      </c>
      <c r="N68" s="3">
        <v>878.16608996539799</v>
      </c>
      <c r="O68" s="3">
        <v>1012.578125</v>
      </c>
      <c r="P68" s="37">
        <f>MIN(1-df_mep[[#This Row],[MEP_compra_ARS]]/MEDIAN(N:N),100%)</f>
        <v>-2.685701981482147E-2</v>
      </c>
      <c r="Q68" s="38">
        <f>df_mep[[#This Row],[MEP_compra_USD]]/MEDIAN(O:O)-1</f>
        <v>6.4793983822042378E-2</v>
      </c>
      <c r="R6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8" s="38">
        <f>ABS(df_mep[[#This Row],[bid_BA]]-df_mep[[#This Row],[ask_BA]])/AVERAGE(df_mep[[#This Row],[bid_BA]:[ask_BA]])</f>
        <v>2.1169177988733162E-2</v>
      </c>
      <c r="T68" s="36">
        <f>ABS(df_mep[[#This Row],[bid_D_BA]]-df_mep[[#This Row],[ask_D_BA]])/AVERAGE(df_mep[[#This Row],[bid_D_BA]:[ask_D_BA]])</f>
        <v>0.12110091743119256</v>
      </c>
    </row>
    <row r="69" spans="1:20" hidden="1" x14ac:dyDescent="0.35">
      <c r="A69" s="55" t="s">
        <v>263</v>
      </c>
      <c r="B69" s="55" t="s">
        <v>264</v>
      </c>
      <c r="C69" s="4">
        <v>10377.5</v>
      </c>
      <c r="D69" s="4">
        <v>10636</v>
      </c>
      <c r="E69" s="4">
        <v>10500</v>
      </c>
      <c r="F69" s="34">
        <v>12</v>
      </c>
      <c r="G69" s="34">
        <v>11.95</v>
      </c>
      <c r="H69" s="34">
        <v>10</v>
      </c>
      <c r="I69" s="5">
        <v>983</v>
      </c>
      <c r="J69" s="5">
        <f>df_mep[[#This Row],[volume_BA]]*df_mep[[#This Row],[open_BA]]</f>
        <v>10201082.5</v>
      </c>
      <c r="K69" s="5">
        <v>0</v>
      </c>
      <c r="L69" s="5">
        <f>df_mep[[#This Row],[volume_D_BA]]*df_mep[[#This Row],[open_D_BA]]</f>
        <v>0</v>
      </c>
      <c r="M69" s="3">
        <v>864.79166666666663</v>
      </c>
      <c r="N69" s="3">
        <v>878.6610878661088</v>
      </c>
      <c r="O69" s="3">
        <v>1063.5999999999999</v>
      </c>
      <c r="P69" s="37">
        <f>MIN(1-df_mep[[#This Row],[MEP_compra_ARS]]/MEDIAN(N:N),100%)</f>
        <v>-2.7435830674118478E-2</v>
      </c>
      <c r="Q69" s="38">
        <f>df_mep[[#This Row],[MEP_compra_USD]]/MEDIAN(O:O)-1</f>
        <v>0.11844691607684532</v>
      </c>
      <c r="R6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69" s="38">
        <f>ABS(df_mep[[#This Row],[bid_BA]]-df_mep[[#This Row],[ask_BA]])/AVERAGE(df_mep[[#This Row],[bid_BA]:[ask_BA]])</f>
        <v>1.2869038607115822E-2</v>
      </c>
      <c r="T69" s="36">
        <f>ABS(df_mep[[#This Row],[bid_D_BA]]-df_mep[[#This Row],[ask_D_BA]])/AVERAGE(df_mep[[#This Row],[bid_D_BA]:[ask_D_BA]])</f>
        <v>0.17767653758542135</v>
      </c>
    </row>
    <row r="70" spans="1:20" hidden="1" x14ac:dyDescent="0.35">
      <c r="A70" s="55" t="s">
        <v>111</v>
      </c>
      <c r="B70" s="55" t="s">
        <v>112</v>
      </c>
      <c r="C70" s="4">
        <v>21789.5</v>
      </c>
      <c r="D70" s="4">
        <v>22037</v>
      </c>
      <c r="E70" s="4">
        <v>21580.5</v>
      </c>
      <c r="F70" s="34">
        <v>22</v>
      </c>
      <c r="G70" s="34">
        <v>24.55</v>
      </c>
      <c r="H70" s="34">
        <v>22.9</v>
      </c>
      <c r="I70" s="5">
        <v>1701</v>
      </c>
      <c r="J70" s="5">
        <f>df_mep[[#This Row],[volume_BA]]*df_mep[[#This Row],[open_BA]]</f>
        <v>37063939.5</v>
      </c>
      <c r="K70" s="5">
        <v>22</v>
      </c>
      <c r="L70" s="5">
        <f>df_mep[[#This Row],[volume_D_BA]]*df_mep[[#This Row],[open_D_BA]]</f>
        <v>484</v>
      </c>
      <c r="M70" s="3">
        <v>990.43181818181813</v>
      </c>
      <c r="N70" s="3">
        <v>879.04276985743377</v>
      </c>
      <c r="O70" s="3">
        <v>962.31441048034935</v>
      </c>
      <c r="P70" s="37">
        <f>MIN(1-df_mep[[#This Row],[MEP_compra_ARS]]/MEDIAN(N:N),100%)</f>
        <v>-2.7882138993931216E-2</v>
      </c>
      <c r="Q70" s="38">
        <f>df_mep[[#This Row],[MEP_compra_USD]]/MEDIAN(O:O)-1</f>
        <v>1.1938308290761812E-2</v>
      </c>
      <c r="R7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0" s="38">
        <f>ABS(df_mep[[#This Row],[bid_BA]]-df_mep[[#This Row],[ask_BA]])/AVERAGE(df_mep[[#This Row],[bid_BA]:[ask_BA]])</f>
        <v>2.0931965380867772E-2</v>
      </c>
      <c r="T70" s="36">
        <f>ABS(df_mep[[#This Row],[bid_D_BA]]-df_mep[[#This Row],[ask_D_BA]])/AVERAGE(df_mep[[#This Row],[bid_D_BA]:[ask_D_BA]])</f>
        <v>6.9546891464699764E-2</v>
      </c>
    </row>
    <row r="71" spans="1:20" x14ac:dyDescent="0.35">
      <c r="A71" s="55" t="s">
        <v>18</v>
      </c>
      <c r="B71" s="55" t="s">
        <v>246</v>
      </c>
      <c r="C71" s="4">
        <v>16301</v>
      </c>
      <c r="D71" s="4">
        <v>16460</v>
      </c>
      <c r="E71" s="4">
        <v>16428.5</v>
      </c>
      <c r="F71" s="34">
        <v>18.399999999999999</v>
      </c>
      <c r="G71" s="34">
        <v>18.45</v>
      </c>
      <c r="H71" s="34">
        <v>18.149999999999999</v>
      </c>
      <c r="I71" s="5">
        <v>70999</v>
      </c>
      <c r="J71" s="5">
        <f>df_mep[[#This Row],[volume_BA]]*df_mep[[#This Row],[open_BA]]</f>
        <v>1157354699</v>
      </c>
      <c r="K71" s="5">
        <v>638</v>
      </c>
      <c r="L71" s="5">
        <f>df_mep[[#This Row],[volume_D_BA]]*df_mep[[#This Row],[open_D_BA]]</f>
        <v>11739.199999999999</v>
      </c>
      <c r="M71" s="3">
        <v>885.92391304347836</v>
      </c>
      <c r="N71" s="3">
        <v>890.43360433604335</v>
      </c>
      <c r="O71" s="3">
        <v>906.88705234159784</v>
      </c>
      <c r="P71" s="37">
        <f>MIN(1-df_mep[[#This Row],[MEP_compra_ARS]]/MEDIAN(N:N),100%)</f>
        <v>-4.1201667588311119E-2</v>
      </c>
      <c r="Q71" s="38">
        <f>df_mep[[#This Row],[MEP_compra_USD]]/MEDIAN(O:O)-1</f>
        <v>-4.6347285707521002E-2</v>
      </c>
      <c r="R71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71" s="38">
        <f>ABS(df_mep[[#This Row],[bid_BA]]-df_mep[[#This Row],[ask_BA]])/AVERAGE(df_mep[[#This Row],[bid_BA]:[ask_BA]])</f>
        <v>1.9155631907809721E-3</v>
      </c>
      <c r="T71" s="36">
        <f>ABS(df_mep[[#This Row],[bid_D_BA]]-df_mep[[#This Row],[ask_D_BA]])/AVERAGE(df_mep[[#This Row],[bid_D_BA]:[ask_D_BA]])</f>
        <v>1.6393442622950862E-2</v>
      </c>
    </row>
    <row r="72" spans="1:20" x14ac:dyDescent="0.35">
      <c r="A72" s="55" t="s">
        <v>16</v>
      </c>
      <c r="B72" s="55" t="s">
        <v>205</v>
      </c>
      <c r="C72" s="4">
        <v>18350</v>
      </c>
      <c r="D72" s="4">
        <v>18606</v>
      </c>
      <c r="E72" s="4">
        <v>18584</v>
      </c>
      <c r="F72" s="34">
        <v>20</v>
      </c>
      <c r="G72" s="34">
        <v>20.55</v>
      </c>
      <c r="H72" s="34">
        <v>20.25</v>
      </c>
      <c r="I72" s="5">
        <v>40179</v>
      </c>
      <c r="J72" s="5">
        <f>df_mep[[#This Row],[volume_BA]]*df_mep[[#This Row],[open_BA]]</f>
        <v>737284650</v>
      </c>
      <c r="K72" s="5">
        <v>567</v>
      </c>
      <c r="L72" s="5">
        <f>df_mep[[#This Row],[volume_D_BA]]*df_mep[[#This Row],[open_D_BA]]</f>
        <v>11340</v>
      </c>
      <c r="M72" s="3">
        <v>917.5</v>
      </c>
      <c r="N72" s="3">
        <v>904.33090024330897</v>
      </c>
      <c r="O72" s="3">
        <v>918.81481481481478</v>
      </c>
      <c r="P72" s="37">
        <f>MIN(1-df_mep[[#This Row],[MEP_compra_ARS]]/MEDIAN(N:N),100%)</f>
        <v>-5.7452051225171719E-2</v>
      </c>
      <c r="Q72" s="38">
        <f>df_mep[[#This Row],[MEP_compra_USD]]/MEDIAN(O:O)-1</f>
        <v>-3.3804441448526457E-2</v>
      </c>
      <c r="R72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72" s="38">
        <f>ABS(df_mep[[#This Row],[bid_BA]]-df_mep[[#This Row],[ask_BA]])/AVERAGE(df_mep[[#This Row],[bid_BA]:[ask_BA]])</f>
        <v>1.1831137402527562E-3</v>
      </c>
      <c r="T72" s="36">
        <f>ABS(df_mep[[#This Row],[bid_D_BA]]-df_mep[[#This Row],[ask_D_BA]])/AVERAGE(df_mep[[#This Row],[bid_D_BA]:[ask_D_BA]])</f>
        <v>1.4705882352941213E-2</v>
      </c>
    </row>
    <row r="73" spans="1:20" hidden="1" x14ac:dyDescent="0.35">
      <c r="A73" s="55" t="s">
        <v>69</v>
      </c>
      <c r="B73" s="55" t="s">
        <v>143</v>
      </c>
      <c r="C73" s="4">
        <v>6608</v>
      </c>
      <c r="D73" s="4">
        <v>6593</v>
      </c>
      <c r="E73" s="4">
        <v>6502.5</v>
      </c>
      <c r="F73" s="34">
        <v>7.1</v>
      </c>
      <c r="G73" s="34">
        <v>7.38</v>
      </c>
      <c r="H73" s="34">
        <v>7.2</v>
      </c>
      <c r="I73" s="5">
        <v>40111</v>
      </c>
      <c r="J73" s="5">
        <f>df_mep[[#This Row],[volume_BA]]*df_mep[[#This Row],[open_BA]]</f>
        <v>265053488</v>
      </c>
      <c r="K73" s="5">
        <v>267</v>
      </c>
      <c r="L73" s="5">
        <f>df_mep[[#This Row],[volume_D_BA]]*df_mep[[#This Row],[open_D_BA]]</f>
        <v>1895.6999999999998</v>
      </c>
      <c r="M73" s="3">
        <v>930.70422535211276</v>
      </c>
      <c r="N73" s="3">
        <v>881.09756097560978</v>
      </c>
      <c r="O73" s="3">
        <v>915.69444444444446</v>
      </c>
      <c r="P73" s="37">
        <f>MIN(1-df_mep[[#This Row],[MEP_compra_ARS]]/MEDIAN(N:N),100%)</f>
        <v>-3.0284846987399083E-2</v>
      </c>
      <c r="Q73" s="38">
        <f>df_mep[[#This Row],[MEP_compra_USD]]/MEDIAN(O:O)-1</f>
        <v>-3.7085720705538727E-2</v>
      </c>
      <c r="R7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3" s="38">
        <f>ABS(df_mep[[#This Row],[bid_BA]]-df_mep[[#This Row],[ask_BA]])/AVERAGE(df_mep[[#This Row],[bid_BA]:[ask_BA]])</f>
        <v>1.3821541750983162E-2</v>
      </c>
      <c r="T73" s="36">
        <f>ABS(df_mep[[#This Row],[bid_D_BA]]-df_mep[[#This Row],[ask_D_BA]])/AVERAGE(df_mep[[#This Row],[bid_D_BA]:[ask_D_BA]])</f>
        <v>2.4691358024691318E-2</v>
      </c>
    </row>
    <row r="74" spans="1:20" x14ac:dyDescent="0.35">
      <c r="A74" s="55" t="s">
        <v>70</v>
      </c>
      <c r="B74" s="55" t="s">
        <v>163</v>
      </c>
      <c r="C74" s="4">
        <v>2290</v>
      </c>
      <c r="D74" s="4">
        <v>2290.5</v>
      </c>
      <c r="E74" s="4">
        <v>2289</v>
      </c>
      <c r="F74" s="34">
        <v>2.5299999999999998</v>
      </c>
      <c r="G74" s="34">
        <v>2.5299999999999998</v>
      </c>
      <c r="H74" s="34">
        <v>2.5</v>
      </c>
      <c r="I74" s="5">
        <v>176055</v>
      </c>
      <c r="J74" s="5">
        <f>df_mep[[#This Row],[volume_BA]]*df_mep[[#This Row],[open_BA]]</f>
        <v>403165950</v>
      </c>
      <c r="K74" s="5">
        <v>4183</v>
      </c>
      <c r="L74" s="5">
        <f>df_mep[[#This Row],[volume_D_BA]]*df_mep[[#This Row],[open_D_BA]]</f>
        <v>10582.99</v>
      </c>
      <c r="M74" s="3">
        <v>905.13833992094874</v>
      </c>
      <c r="N74" s="3">
        <v>904.74308300395262</v>
      </c>
      <c r="O74" s="3">
        <v>916.2</v>
      </c>
      <c r="P74" s="37">
        <f>MIN(1-df_mep[[#This Row],[MEP_compra_ARS]]/MEDIAN(N:N),100%)</f>
        <v>-5.7934024699267228E-2</v>
      </c>
      <c r="Q74" s="38">
        <f>df_mep[[#This Row],[MEP_compra_USD]]/MEDIAN(O:O)-1</f>
        <v>-3.6554095045500445E-2</v>
      </c>
      <c r="R74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74" s="38">
        <f>ABS(df_mep[[#This Row],[bid_BA]]-df_mep[[#This Row],[ask_BA]])/AVERAGE(df_mep[[#This Row],[bid_BA]:[ask_BA]])</f>
        <v>6.5509335080248931E-4</v>
      </c>
      <c r="T74" s="36">
        <f>ABS(df_mep[[#This Row],[bid_D_BA]]-df_mep[[#This Row],[ask_D_BA]])/AVERAGE(df_mep[[#This Row],[bid_D_BA]:[ask_D_BA]])</f>
        <v>1.1928429423459168E-2</v>
      </c>
    </row>
    <row r="75" spans="1:20" x14ac:dyDescent="0.35">
      <c r="A75" s="55" t="s">
        <v>58</v>
      </c>
      <c r="B75" s="55" t="s">
        <v>222</v>
      </c>
      <c r="C75" s="4">
        <v>17900</v>
      </c>
      <c r="D75" s="4">
        <v>17550</v>
      </c>
      <c r="E75" s="4">
        <v>17275</v>
      </c>
      <c r="F75" s="34">
        <v>20</v>
      </c>
      <c r="G75" s="34">
        <v>20.2</v>
      </c>
      <c r="H75" s="34">
        <v>19.45</v>
      </c>
      <c r="I75" s="5">
        <v>40264</v>
      </c>
      <c r="J75" s="5">
        <f>df_mep[[#This Row],[volume_BA]]*df_mep[[#This Row],[open_BA]]</f>
        <v>720725600</v>
      </c>
      <c r="K75" s="5">
        <v>419</v>
      </c>
      <c r="L75" s="5">
        <f>df_mep[[#This Row],[volume_D_BA]]*df_mep[[#This Row],[open_D_BA]]</f>
        <v>8380</v>
      </c>
      <c r="M75" s="3">
        <v>895</v>
      </c>
      <c r="N75" s="3">
        <v>855.19801980198019</v>
      </c>
      <c r="O75" s="3">
        <v>902.31362467866325</v>
      </c>
      <c r="P75" s="37">
        <f>MIN(1-df_mep[[#This Row],[MEP_compra_ARS]]/MEDIAN(N:N),100%)</f>
        <v>0</v>
      </c>
      <c r="Q75" s="38">
        <f>df_mep[[#This Row],[MEP_compra_USD]]/MEDIAN(O:O)-1</f>
        <v>-5.1156552410708045E-2</v>
      </c>
      <c r="R75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75" s="38">
        <f>ABS(df_mep[[#This Row],[bid_BA]]-df_mep[[#This Row],[ask_BA]])/AVERAGE(df_mep[[#This Row],[bid_BA]:[ask_BA]])</f>
        <v>1.5793251974156496E-2</v>
      </c>
      <c r="T75" s="36">
        <f>ABS(df_mep[[#This Row],[bid_D_BA]]-df_mep[[#This Row],[ask_D_BA]])/AVERAGE(df_mep[[#This Row],[bid_D_BA]:[ask_D_BA]])</f>
        <v>3.7831021437578813E-2</v>
      </c>
    </row>
    <row r="76" spans="1:20" hidden="1" x14ac:dyDescent="0.35">
      <c r="A76" s="55" t="s">
        <v>176</v>
      </c>
      <c r="B76" s="55" t="s">
        <v>177</v>
      </c>
      <c r="C76" s="4">
        <v>16303</v>
      </c>
      <c r="D76" s="4">
        <v>16363</v>
      </c>
      <c r="E76" s="4">
        <v>16339</v>
      </c>
      <c r="F76" s="34">
        <v>20.9</v>
      </c>
      <c r="G76" s="34">
        <v>18.5</v>
      </c>
      <c r="H76" s="34">
        <v>17.5</v>
      </c>
      <c r="I76" s="5">
        <v>7777</v>
      </c>
      <c r="J76" s="5">
        <f>df_mep[[#This Row],[volume_BA]]*df_mep[[#This Row],[open_BA]]</f>
        <v>126788431</v>
      </c>
      <c r="K76" s="5">
        <v>0</v>
      </c>
      <c r="L76" s="5">
        <f>df_mep[[#This Row],[volume_D_BA]]*df_mep[[#This Row],[open_D_BA]]</f>
        <v>0</v>
      </c>
      <c r="M76" s="3">
        <v>780.04784688995221</v>
      </c>
      <c r="N76" s="3">
        <v>883.18918918918916</v>
      </c>
      <c r="O76" s="3">
        <v>935.02857142857147</v>
      </c>
      <c r="P76" s="37">
        <f>MIN(1-df_mep[[#This Row],[MEP_compra_ARS]]/MEDIAN(N:N),100%)</f>
        <v>-3.2730629326866545E-2</v>
      </c>
      <c r="Q76" s="38">
        <f>df_mep[[#This Row],[MEP_compra_USD]]/MEDIAN(O:O)-1</f>
        <v>-1.6754586162068374E-2</v>
      </c>
      <c r="R7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6" s="38">
        <f>ABS(df_mep[[#This Row],[bid_BA]]-df_mep[[#This Row],[ask_BA]])/AVERAGE(df_mep[[#This Row],[bid_BA]:[ask_BA]])</f>
        <v>1.4678001345483456E-3</v>
      </c>
      <c r="T76" s="36">
        <f>ABS(df_mep[[#This Row],[bid_D_BA]]-df_mep[[#This Row],[ask_D_BA]])/AVERAGE(df_mep[[#This Row],[bid_D_BA]:[ask_D_BA]])</f>
        <v>5.5555555555555552E-2</v>
      </c>
    </row>
    <row r="77" spans="1:20" x14ac:dyDescent="0.35">
      <c r="A77" s="55" t="s">
        <v>80</v>
      </c>
      <c r="B77" s="55" t="s">
        <v>190</v>
      </c>
      <c r="C77" s="4">
        <v>12900</v>
      </c>
      <c r="D77" s="4">
        <v>12962</v>
      </c>
      <c r="E77" s="4">
        <v>12920</v>
      </c>
      <c r="F77" s="34">
        <v>14.55</v>
      </c>
      <c r="G77" s="34">
        <v>14.5</v>
      </c>
      <c r="H77" s="34">
        <v>14</v>
      </c>
      <c r="I77" s="5">
        <v>24009</v>
      </c>
      <c r="J77" s="5">
        <f>df_mep[[#This Row],[volume_BA]]*df_mep[[#This Row],[open_BA]]</f>
        <v>309716100</v>
      </c>
      <c r="K77" s="5">
        <v>546</v>
      </c>
      <c r="L77" s="5">
        <f>df_mep[[#This Row],[volume_D_BA]]*df_mep[[#This Row],[open_D_BA]]</f>
        <v>7944.3</v>
      </c>
      <c r="M77" s="3">
        <v>886.59793814432987</v>
      </c>
      <c r="N77" s="3">
        <v>891.0344827586207</v>
      </c>
      <c r="O77" s="3">
        <v>925.85714285714289</v>
      </c>
      <c r="P77" s="37">
        <f>MIN(1-df_mep[[#This Row],[MEP_compra_ARS]]/MEDIAN(N:N),100%)</f>
        <v>-4.1904286641049948E-2</v>
      </c>
      <c r="Q77" s="38">
        <f>df_mep[[#This Row],[MEP_compra_USD]]/MEDIAN(O:O)-1</f>
        <v>-2.6398959988444326E-2</v>
      </c>
      <c r="R77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77" s="38">
        <f>ABS(df_mep[[#This Row],[bid_BA]]-df_mep[[#This Row],[ask_BA]])/AVERAGE(df_mep[[#This Row],[bid_BA]:[ask_BA]])</f>
        <v>3.2454988022563944E-3</v>
      </c>
      <c r="T77" s="36">
        <f>ABS(df_mep[[#This Row],[bid_D_BA]]-df_mep[[#This Row],[ask_D_BA]])/AVERAGE(df_mep[[#This Row],[bid_D_BA]:[ask_D_BA]])</f>
        <v>3.5087719298245612E-2</v>
      </c>
    </row>
    <row r="78" spans="1:20" hidden="1" x14ac:dyDescent="0.35">
      <c r="A78" s="55" t="s">
        <v>193</v>
      </c>
      <c r="B78" s="55" t="s">
        <v>194</v>
      </c>
      <c r="C78" s="4">
        <v>9960</v>
      </c>
      <c r="D78" s="4">
        <v>10053</v>
      </c>
      <c r="E78" s="4">
        <v>10052</v>
      </c>
      <c r="F78" s="34">
        <v>11.75</v>
      </c>
      <c r="G78" s="34">
        <v>11.3</v>
      </c>
      <c r="H78" s="34">
        <v>11.2</v>
      </c>
      <c r="I78" s="5">
        <v>2755</v>
      </c>
      <c r="J78" s="5">
        <f>df_mep[[#This Row],[volume_BA]]*df_mep[[#This Row],[open_BA]]</f>
        <v>27439800</v>
      </c>
      <c r="K78" s="5">
        <v>22</v>
      </c>
      <c r="L78" s="5">
        <f>df_mep[[#This Row],[volume_D_BA]]*df_mep[[#This Row],[open_D_BA]]</f>
        <v>258.5</v>
      </c>
      <c r="M78" s="3">
        <v>847.65957446808511</v>
      </c>
      <c r="N78" s="3">
        <v>889.5575221238937</v>
      </c>
      <c r="O78" s="3">
        <v>897.58928571428578</v>
      </c>
      <c r="P78" s="37">
        <f>MIN(1-df_mep[[#This Row],[MEP_compra_ARS]]/MEDIAN(N:N),100%)</f>
        <v>-4.0177247288142093E-2</v>
      </c>
      <c r="Q78" s="38">
        <f>df_mep[[#This Row],[MEP_compra_USD]]/MEDIAN(O:O)-1</f>
        <v>-5.6124512494583167E-2</v>
      </c>
      <c r="R7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8" s="38">
        <f>ABS(df_mep[[#This Row],[bid_BA]]-df_mep[[#This Row],[ask_BA]])/AVERAGE(df_mep[[#This Row],[bid_BA]:[ask_BA]])</f>
        <v>9.947774185525989E-5</v>
      </c>
      <c r="T78" s="36">
        <f>ABS(df_mep[[#This Row],[bid_D_BA]]-df_mep[[#This Row],[ask_D_BA]])/AVERAGE(df_mep[[#This Row],[bid_D_BA]:[ask_D_BA]])</f>
        <v>8.8888888888890155E-3</v>
      </c>
    </row>
    <row r="79" spans="1:20" hidden="1" x14ac:dyDescent="0.35">
      <c r="A79" s="55" t="s">
        <v>12</v>
      </c>
      <c r="B79" s="55" t="s">
        <v>117</v>
      </c>
      <c r="C79" s="4">
        <v>9006</v>
      </c>
      <c r="D79" s="4">
        <v>8956</v>
      </c>
      <c r="E79" s="4">
        <v>8940.5</v>
      </c>
      <c r="F79" s="34">
        <v>9.86</v>
      </c>
      <c r="G79" s="34">
        <v>10.050000000000001</v>
      </c>
      <c r="H79" s="34">
        <v>9.5</v>
      </c>
      <c r="I79" s="5">
        <v>23021</v>
      </c>
      <c r="J79" s="5">
        <f>df_mep[[#This Row],[volume_BA]]*df_mep[[#This Row],[open_BA]]</f>
        <v>207327126</v>
      </c>
      <c r="K79" s="5">
        <v>113</v>
      </c>
      <c r="L79" s="5">
        <f>df_mep[[#This Row],[volume_D_BA]]*df_mep[[#This Row],[open_D_BA]]</f>
        <v>1114.1799999999998</v>
      </c>
      <c r="M79" s="3">
        <v>913.38742393509131</v>
      </c>
      <c r="N79" s="3">
        <v>889.60199004975118</v>
      </c>
      <c r="O79" s="3">
        <v>942.73684210526312</v>
      </c>
      <c r="P79" s="37">
        <f>MIN(1-df_mep[[#This Row],[MEP_compra_ARS]]/MEDIAN(N:N),100%)</f>
        <v>-4.0229244515483265E-2</v>
      </c>
      <c r="Q79" s="38">
        <f>df_mep[[#This Row],[MEP_compra_USD]]/MEDIAN(O:O)-1</f>
        <v>-8.6488212442127343E-3</v>
      </c>
      <c r="R7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79" s="38">
        <f>ABS(df_mep[[#This Row],[bid_BA]]-df_mep[[#This Row],[ask_BA]])/AVERAGE(df_mep[[#This Row],[bid_BA]:[ask_BA]])</f>
        <v>1.732182270276311E-3</v>
      </c>
      <c r="T79" s="36">
        <f>ABS(df_mep[[#This Row],[bid_D_BA]]-df_mep[[#This Row],[ask_D_BA]])/AVERAGE(df_mep[[#This Row],[bid_D_BA]:[ask_D_BA]])</f>
        <v>5.6265984654731531E-2</v>
      </c>
    </row>
    <row r="80" spans="1:20" hidden="1" x14ac:dyDescent="0.35">
      <c r="A80" s="55" t="s">
        <v>29</v>
      </c>
      <c r="B80" s="55" t="s">
        <v>173</v>
      </c>
      <c r="C80" s="4">
        <v>6950</v>
      </c>
      <c r="D80" s="4">
        <v>6990</v>
      </c>
      <c r="E80" s="4">
        <v>6974.5</v>
      </c>
      <c r="F80" s="34">
        <v>7.84</v>
      </c>
      <c r="G80" s="34">
        <v>7.84</v>
      </c>
      <c r="H80" s="34">
        <v>7.21</v>
      </c>
      <c r="I80" s="5">
        <v>13699</v>
      </c>
      <c r="J80" s="5">
        <f>df_mep[[#This Row],[volume_BA]]*df_mep[[#This Row],[open_BA]]</f>
        <v>95208050</v>
      </c>
      <c r="K80" s="5">
        <v>25</v>
      </c>
      <c r="L80" s="5">
        <f>df_mep[[#This Row],[volume_D_BA]]*df_mep[[#This Row],[open_D_BA]]</f>
        <v>196</v>
      </c>
      <c r="M80" s="3">
        <v>886.4795918367347</v>
      </c>
      <c r="N80" s="3">
        <v>889.6045918367347</v>
      </c>
      <c r="O80" s="3">
        <v>969.48682385575592</v>
      </c>
      <c r="P80" s="37">
        <f>MIN(1-df_mep[[#This Row],[MEP_compra_ARS]]/MEDIAN(N:N),100%)</f>
        <v>-4.0232286836586972E-2</v>
      </c>
      <c r="Q80" s="38">
        <f>df_mep[[#This Row],[MEP_compra_USD]]/MEDIAN(O:O)-1</f>
        <v>1.9480583225466308E-2</v>
      </c>
      <c r="R8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0" s="38">
        <f>ABS(df_mep[[#This Row],[bid_BA]]-df_mep[[#This Row],[ask_BA]])/AVERAGE(df_mep[[#This Row],[bid_BA]:[ask_BA]])</f>
        <v>2.2199147839163593E-3</v>
      </c>
      <c r="T80" s="36">
        <f>ABS(df_mep[[#This Row],[bid_D_BA]]-df_mep[[#This Row],[ask_D_BA]])/AVERAGE(df_mep[[#This Row],[bid_D_BA]:[ask_D_BA]])</f>
        <v>8.3720930232558124E-2</v>
      </c>
    </row>
    <row r="81" spans="1:20" x14ac:dyDescent="0.35">
      <c r="A81" s="55" t="s">
        <v>23</v>
      </c>
      <c r="B81" s="55" t="s">
        <v>188</v>
      </c>
      <c r="C81" s="4">
        <v>9900</v>
      </c>
      <c r="D81" s="4">
        <v>9862.5</v>
      </c>
      <c r="E81" s="4">
        <v>9855</v>
      </c>
      <c r="F81" s="34">
        <v>11.5</v>
      </c>
      <c r="G81" s="34">
        <v>10.9</v>
      </c>
      <c r="H81" s="34">
        <v>10.7</v>
      </c>
      <c r="I81" s="5">
        <v>20445</v>
      </c>
      <c r="J81" s="5">
        <f>df_mep[[#This Row],[volume_BA]]*df_mep[[#This Row],[open_BA]]</f>
        <v>202405500</v>
      </c>
      <c r="K81" s="5">
        <v>679</v>
      </c>
      <c r="L81" s="5">
        <f>df_mep[[#This Row],[volume_D_BA]]*df_mep[[#This Row],[open_D_BA]]</f>
        <v>7808.5</v>
      </c>
      <c r="M81" s="3">
        <v>860.86956521739125</v>
      </c>
      <c r="N81" s="3">
        <v>904.12844036697243</v>
      </c>
      <c r="O81" s="3">
        <v>921.72897196261692</v>
      </c>
      <c r="P81" s="37">
        <f>MIN(1-df_mep[[#This Row],[MEP_compra_ARS]]/MEDIAN(N:N),100%)</f>
        <v>-5.721531087773335E-2</v>
      </c>
      <c r="Q81" s="38">
        <f>df_mep[[#This Row],[MEP_compra_USD]]/MEDIAN(O:O)-1</f>
        <v>-3.0740009260746604E-2</v>
      </c>
      <c r="R81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81" s="38">
        <f>ABS(df_mep[[#This Row],[bid_BA]]-df_mep[[#This Row],[ask_BA]])/AVERAGE(df_mep[[#This Row],[bid_BA]:[ask_BA]])</f>
        <v>7.6074553062000763E-4</v>
      </c>
      <c r="T81" s="36">
        <f>ABS(df_mep[[#This Row],[bid_D_BA]]-df_mep[[#This Row],[ask_D_BA]])/AVERAGE(df_mep[[#This Row],[bid_D_BA]:[ask_D_BA]])</f>
        <v>1.8518518518518615E-2</v>
      </c>
    </row>
    <row r="82" spans="1:20" x14ac:dyDescent="0.35">
      <c r="A82" s="55" t="s">
        <v>15</v>
      </c>
      <c r="B82" s="55" t="s">
        <v>199</v>
      </c>
      <c r="C82" s="4">
        <v>10470</v>
      </c>
      <c r="D82" s="4">
        <v>10516</v>
      </c>
      <c r="E82" s="4">
        <v>10480</v>
      </c>
      <c r="F82" s="34">
        <v>11.75</v>
      </c>
      <c r="G82" s="34">
        <v>11.5</v>
      </c>
      <c r="H82" s="34">
        <v>11.35</v>
      </c>
      <c r="I82" s="5">
        <v>31763</v>
      </c>
      <c r="J82" s="5">
        <f>df_mep[[#This Row],[volume_BA]]*df_mep[[#This Row],[open_BA]]</f>
        <v>332558610</v>
      </c>
      <c r="K82" s="5">
        <v>514</v>
      </c>
      <c r="L82" s="5">
        <f>df_mep[[#This Row],[volume_D_BA]]*df_mep[[#This Row],[open_D_BA]]</f>
        <v>6039.5</v>
      </c>
      <c r="M82" s="3">
        <v>891.063829787234</v>
      </c>
      <c r="N82" s="3">
        <v>911.304347826087</v>
      </c>
      <c r="O82" s="3">
        <v>926.51982378854632</v>
      </c>
      <c r="P82" s="37">
        <f>MIN(1-df_mep[[#This Row],[MEP_compra_ARS]]/MEDIAN(N:N),100%)</f>
        <v>-6.560624174164742E-2</v>
      </c>
      <c r="Q82" s="38">
        <f>df_mep[[#This Row],[MEP_compra_USD]]/MEDIAN(O:O)-1</f>
        <v>-2.5702106430648963E-2</v>
      </c>
      <c r="R82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82" s="38">
        <f>ABS(df_mep[[#This Row],[bid_BA]]-df_mep[[#This Row],[ask_BA]])/AVERAGE(df_mep[[#This Row],[bid_BA]:[ask_BA]])</f>
        <v>3.4292246142122308E-3</v>
      </c>
      <c r="T82" s="36">
        <f>ABS(df_mep[[#This Row],[bid_D_BA]]-df_mep[[#This Row],[ask_D_BA]])/AVERAGE(df_mep[[#This Row],[bid_D_BA]:[ask_D_BA]])</f>
        <v>1.312910284463898E-2</v>
      </c>
    </row>
    <row r="83" spans="1:20" x14ac:dyDescent="0.35">
      <c r="A83" s="55" t="s">
        <v>25</v>
      </c>
      <c r="B83" s="55" t="s">
        <v>212</v>
      </c>
      <c r="C83" s="4">
        <v>14479</v>
      </c>
      <c r="D83" s="4">
        <v>14313</v>
      </c>
      <c r="E83" s="4">
        <v>14279</v>
      </c>
      <c r="F83" s="34">
        <v>16.25</v>
      </c>
      <c r="G83" s="34">
        <v>16.2</v>
      </c>
      <c r="H83" s="34">
        <v>15.75</v>
      </c>
      <c r="I83" s="5">
        <v>14790</v>
      </c>
      <c r="J83" s="5">
        <f>df_mep[[#This Row],[volume_BA]]*df_mep[[#This Row],[open_BA]]</f>
        <v>214144410</v>
      </c>
      <c r="K83" s="5">
        <v>287</v>
      </c>
      <c r="L83" s="5">
        <f>df_mep[[#This Row],[volume_D_BA]]*df_mep[[#This Row],[open_D_BA]]</f>
        <v>4663.75</v>
      </c>
      <c r="M83" s="3">
        <v>891.01538461538462</v>
      </c>
      <c r="N83" s="3">
        <v>881.41975308641975</v>
      </c>
      <c r="O83" s="3">
        <v>908.76190476190482</v>
      </c>
      <c r="P83" s="37">
        <f>MIN(1-df_mep[[#This Row],[MEP_compra_ARS]]/MEDIAN(N:N),100%)</f>
        <v>-3.0661592610458976E-2</v>
      </c>
      <c r="Q83" s="38">
        <f>df_mep[[#This Row],[MEP_compra_USD]]/MEDIAN(O:O)-1</f>
        <v>-4.4375752323173923E-2</v>
      </c>
      <c r="R83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83" s="38">
        <f>ABS(df_mep[[#This Row],[bid_BA]]-df_mep[[#This Row],[ask_BA]])/AVERAGE(df_mep[[#This Row],[bid_BA]:[ask_BA]])</f>
        <v>2.378287632904309E-3</v>
      </c>
      <c r="T83" s="36">
        <f>ABS(df_mep[[#This Row],[bid_D_BA]]-df_mep[[#This Row],[ask_D_BA]])/AVERAGE(df_mep[[#This Row],[bid_D_BA]:[ask_D_BA]])</f>
        <v>2.8169014084506998E-2</v>
      </c>
    </row>
    <row r="84" spans="1:20" hidden="1" x14ac:dyDescent="0.35">
      <c r="A84" s="55" t="s">
        <v>124</v>
      </c>
      <c r="B84" s="55" t="s">
        <v>125</v>
      </c>
      <c r="C84" s="4">
        <v>4800</v>
      </c>
      <c r="D84" s="4">
        <v>4615.5</v>
      </c>
      <c r="E84" s="4">
        <v>4581</v>
      </c>
      <c r="F84" s="34">
        <v>5.13</v>
      </c>
      <c r="G84" s="34">
        <v>5.13</v>
      </c>
      <c r="H84" s="34">
        <v>4.5</v>
      </c>
      <c r="I84" s="5">
        <v>3936</v>
      </c>
      <c r="J84" s="5">
        <f>df_mep[[#This Row],[volume_BA]]*df_mep[[#This Row],[open_BA]]</f>
        <v>18892800</v>
      </c>
      <c r="K84" s="5">
        <v>0</v>
      </c>
      <c r="L84" s="5">
        <f>df_mep[[#This Row],[volume_D_BA]]*df_mep[[#This Row],[open_D_BA]]</f>
        <v>0</v>
      </c>
      <c r="M84" s="3">
        <v>935.67251461988303</v>
      </c>
      <c r="N84" s="3">
        <v>892.98245614035091</v>
      </c>
      <c r="O84" s="3">
        <v>1025.6666666666667</v>
      </c>
      <c r="P84" s="37">
        <f>MIN(1-df_mep[[#This Row],[MEP_compra_ARS]]/MEDIAN(N:N),100%)</f>
        <v>-4.4182090537487007E-2</v>
      </c>
      <c r="Q84" s="38">
        <f>df_mep[[#This Row],[MEP_compra_USD]]/MEDIAN(O:O)-1</f>
        <v>7.8557465453319875E-2</v>
      </c>
      <c r="R8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4" s="38">
        <f>ABS(df_mep[[#This Row],[bid_BA]]-df_mep[[#This Row],[ask_BA]])/AVERAGE(df_mep[[#This Row],[bid_BA]:[ask_BA]])</f>
        <v>7.5028543467623556E-3</v>
      </c>
      <c r="T84" s="36">
        <f>ABS(df_mep[[#This Row],[bid_D_BA]]-df_mep[[#This Row],[ask_D_BA]])/AVERAGE(df_mep[[#This Row],[bid_D_BA]:[ask_D_BA]])</f>
        <v>0.13084112149532709</v>
      </c>
    </row>
    <row r="85" spans="1:20" x14ac:dyDescent="0.35">
      <c r="A85" s="55" t="s">
        <v>72</v>
      </c>
      <c r="B85" s="55" t="s">
        <v>213</v>
      </c>
      <c r="C85" s="4">
        <v>25184</v>
      </c>
      <c r="D85" s="4">
        <v>25164.5</v>
      </c>
      <c r="E85" s="4">
        <v>25160</v>
      </c>
      <c r="F85" s="34">
        <v>30</v>
      </c>
      <c r="G85" s="34">
        <v>33</v>
      </c>
      <c r="H85" s="34">
        <v>30</v>
      </c>
      <c r="I85" s="5">
        <v>6081</v>
      </c>
      <c r="J85" s="5">
        <f>df_mep[[#This Row],[volume_BA]]*df_mep[[#This Row],[open_BA]]</f>
        <v>153143904</v>
      </c>
      <c r="K85" s="5">
        <v>142</v>
      </c>
      <c r="L85" s="5">
        <f>df_mep[[#This Row],[volume_D_BA]]*df_mep[[#This Row],[open_D_BA]]</f>
        <v>4260</v>
      </c>
      <c r="M85" s="3">
        <v>839.4666666666667</v>
      </c>
      <c r="N85" s="3">
        <v>762.42424242424238</v>
      </c>
      <c r="O85" s="3">
        <v>838.81666666666672</v>
      </c>
      <c r="P85" s="37">
        <f>MIN(1-df_mep[[#This Row],[MEP_compra_ARS]]/MEDIAN(N:N),100%)</f>
        <v>0.10848221725211604</v>
      </c>
      <c r="Q85" s="38">
        <f>df_mep[[#This Row],[MEP_compra_USD]]/MEDIAN(O:O)-1</f>
        <v>-0.11792787327266596</v>
      </c>
      <c r="R85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85" s="38">
        <f>ABS(df_mep[[#This Row],[bid_BA]]-df_mep[[#This Row],[ask_BA]])/AVERAGE(df_mep[[#This Row],[bid_BA]:[ask_BA]])</f>
        <v>1.7883933273057855E-4</v>
      </c>
      <c r="T85" s="36">
        <f>ABS(df_mep[[#This Row],[bid_D_BA]]-df_mep[[#This Row],[ask_D_BA]])/AVERAGE(df_mep[[#This Row],[bid_D_BA]:[ask_D_BA]])</f>
        <v>9.5238095238095233E-2</v>
      </c>
    </row>
    <row r="86" spans="1:20" hidden="1" x14ac:dyDescent="0.35">
      <c r="A86" s="55" t="s">
        <v>260</v>
      </c>
      <c r="B86" s="55" t="s">
        <v>261</v>
      </c>
      <c r="C86" s="4">
        <v>7343</v>
      </c>
      <c r="D86" s="4">
        <v>7574</v>
      </c>
      <c r="E86" s="4">
        <v>7570</v>
      </c>
      <c r="F86" s="34">
        <v>7.75</v>
      </c>
      <c r="G86" s="34">
        <v>8.4600000000000009</v>
      </c>
      <c r="H86" s="34">
        <v>7.5</v>
      </c>
      <c r="I86" s="5">
        <v>11267</v>
      </c>
      <c r="J86" s="5">
        <f>df_mep[[#This Row],[volume_BA]]*df_mep[[#This Row],[open_BA]]</f>
        <v>82733581</v>
      </c>
      <c r="K86" s="5">
        <v>0</v>
      </c>
      <c r="L86" s="5">
        <f>df_mep[[#This Row],[volume_D_BA]]*df_mep[[#This Row],[open_D_BA]]</f>
        <v>0</v>
      </c>
      <c r="M86" s="3">
        <v>947.48387096774195</v>
      </c>
      <c r="N86" s="3">
        <v>894.79905437352238</v>
      </c>
      <c r="O86" s="3">
        <v>1009.8666666666667</v>
      </c>
      <c r="P86" s="37">
        <f>MIN(1-df_mep[[#This Row],[MEP_compra_ARS]]/MEDIAN(N:N),100%)</f>
        <v>-4.6306274868026076E-2</v>
      </c>
      <c r="Q86" s="38">
        <f>df_mep[[#This Row],[MEP_compra_USD]]/MEDIAN(O:O)-1</f>
        <v>6.194270306707117E-2</v>
      </c>
      <c r="R8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6" s="38">
        <f>ABS(df_mep[[#This Row],[bid_BA]]-df_mep[[#This Row],[ask_BA]])/AVERAGE(df_mep[[#This Row],[bid_BA]:[ask_BA]])</f>
        <v>5.2826201796090863E-4</v>
      </c>
      <c r="T86" s="36">
        <f>ABS(df_mep[[#This Row],[bid_D_BA]]-df_mep[[#This Row],[ask_D_BA]])/AVERAGE(df_mep[[#This Row],[bid_D_BA]:[ask_D_BA]])</f>
        <v>0.12030075187969935</v>
      </c>
    </row>
    <row r="87" spans="1:20" hidden="1" x14ac:dyDescent="0.35">
      <c r="A87" s="55" t="s">
        <v>17</v>
      </c>
      <c r="B87" s="55" t="s">
        <v>219</v>
      </c>
      <c r="C87" s="4">
        <v>6710</v>
      </c>
      <c r="D87" s="4">
        <v>6689.5</v>
      </c>
      <c r="E87" s="4">
        <v>6689</v>
      </c>
      <c r="F87" s="34">
        <v>7.65</v>
      </c>
      <c r="G87" s="34">
        <v>7.47</v>
      </c>
      <c r="H87" s="34">
        <v>7.25</v>
      </c>
      <c r="I87" s="5">
        <v>5883</v>
      </c>
      <c r="J87" s="5">
        <f>df_mep[[#This Row],[volume_BA]]*df_mep[[#This Row],[open_BA]]</f>
        <v>39474930</v>
      </c>
      <c r="K87" s="5">
        <v>139</v>
      </c>
      <c r="L87" s="5">
        <f>df_mep[[#This Row],[volume_D_BA]]*df_mep[[#This Row],[open_D_BA]]</f>
        <v>1063.3500000000001</v>
      </c>
      <c r="M87" s="3">
        <v>877.12418300653587</v>
      </c>
      <c r="N87" s="3">
        <v>895.44846050870149</v>
      </c>
      <c r="O87" s="3">
        <v>922.68965517241384</v>
      </c>
      <c r="P87" s="37">
        <f>MIN(1-df_mep[[#This Row],[MEP_compra_ARS]]/MEDIAN(N:N),100%)</f>
        <v>-4.7065638337236981E-2</v>
      </c>
      <c r="Q87" s="38">
        <f>df_mep[[#This Row],[MEP_compra_USD]]/MEDIAN(O:O)-1</f>
        <v>-2.9729786269655833E-2</v>
      </c>
      <c r="R8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7" s="38">
        <f>ABS(df_mep[[#This Row],[bid_BA]]-df_mep[[#This Row],[ask_BA]])/AVERAGE(df_mep[[#This Row],[bid_BA]:[ask_BA]])</f>
        <v>7.4746795231154465E-5</v>
      </c>
      <c r="T87" s="36">
        <f>ABS(df_mep[[#This Row],[bid_D_BA]]-df_mep[[#This Row],[ask_D_BA]])/AVERAGE(df_mep[[#This Row],[bid_D_BA]:[ask_D_BA]])</f>
        <v>2.9891304347826057E-2</v>
      </c>
    </row>
    <row r="88" spans="1:20" x14ac:dyDescent="0.35">
      <c r="A88" s="55" t="s">
        <v>164</v>
      </c>
      <c r="B88" s="55" t="s">
        <v>165</v>
      </c>
      <c r="C88" s="4">
        <v>14077</v>
      </c>
      <c r="D88" s="4">
        <v>14463</v>
      </c>
      <c r="E88" s="4">
        <v>14430</v>
      </c>
      <c r="F88" s="34">
        <v>16.2</v>
      </c>
      <c r="G88" s="34">
        <v>17.350000000000001</v>
      </c>
      <c r="H88" s="34">
        <v>15.65</v>
      </c>
      <c r="I88" s="5">
        <v>22745</v>
      </c>
      <c r="J88" s="5">
        <f>df_mep[[#This Row],[volume_BA]]*df_mep[[#This Row],[open_BA]]</f>
        <v>320181365</v>
      </c>
      <c r="K88" s="5">
        <v>246</v>
      </c>
      <c r="L88" s="5">
        <f>df_mep[[#This Row],[volume_D_BA]]*df_mep[[#This Row],[open_D_BA]]</f>
        <v>3985.2</v>
      </c>
      <c r="M88" s="3">
        <v>868.95061728395069</v>
      </c>
      <c r="N88" s="3">
        <v>831.70028818443802</v>
      </c>
      <c r="O88" s="3">
        <v>924.15335463258782</v>
      </c>
      <c r="P88" s="37">
        <f>MIN(1-df_mep[[#This Row],[MEP_compra_ARS]]/MEDIAN(N:N),100%)</f>
        <v>2.7476363454376429E-2</v>
      </c>
      <c r="Q88" s="38">
        <f>df_mep[[#This Row],[MEP_compra_USD]]/MEDIAN(O:O)-1</f>
        <v>-2.8190607868664008E-2</v>
      </c>
      <c r="R88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88" s="38">
        <f>ABS(df_mep[[#This Row],[bid_BA]]-df_mep[[#This Row],[ask_BA]])/AVERAGE(df_mep[[#This Row],[bid_BA]:[ask_BA]])</f>
        <v>2.2842903125324474E-3</v>
      </c>
      <c r="T88" s="36">
        <f>ABS(df_mep[[#This Row],[bid_D_BA]]-df_mep[[#This Row],[ask_D_BA]])/AVERAGE(df_mep[[#This Row],[bid_D_BA]:[ask_D_BA]])</f>
        <v>0.1030303030303031</v>
      </c>
    </row>
    <row r="89" spans="1:20" hidden="1" x14ac:dyDescent="0.35">
      <c r="A89" s="55" t="s">
        <v>74</v>
      </c>
      <c r="B89" s="55" t="s">
        <v>262</v>
      </c>
      <c r="C89" s="4">
        <v>25000</v>
      </c>
      <c r="D89" s="4">
        <v>25315.5</v>
      </c>
      <c r="E89" s="4">
        <v>25255</v>
      </c>
      <c r="F89" s="34">
        <v>26.2</v>
      </c>
      <c r="G89" s="34">
        <v>28.15</v>
      </c>
      <c r="H89" s="34">
        <v>26.1</v>
      </c>
      <c r="I89" s="5">
        <v>20088</v>
      </c>
      <c r="J89" s="5">
        <f>df_mep[[#This Row],[volume_BA]]*df_mep[[#This Row],[open_BA]]</f>
        <v>502200000</v>
      </c>
      <c r="K89" s="5">
        <v>33</v>
      </c>
      <c r="L89" s="5">
        <f>df_mep[[#This Row],[volume_D_BA]]*df_mep[[#This Row],[open_D_BA]]</f>
        <v>864.6</v>
      </c>
      <c r="M89" s="3">
        <v>954.19847328244282</v>
      </c>
      <c r="N89" s="3">
        <v>897.15808170515106</v>
      </c>
      <c r="O89" s="3">
        <v>969.9425287356321</v>
      </c>
      <c r="P89" s="37">
        <f>MIN(1-df_mep[[#This Row],[MEP_compra_ARS]]/MEDIAN(N:N),100%)</f>
        <v>-4.9064732297774416E-2</v>
      </c>
      <c r="Q89" s="38">
        <f>df_mep[[#This Row],[MEP_compra_USD]]/MEDIAN(O:O)-1</f>
        <v>1.9959787548086361E-2</v>
      </c>
      <c r="R8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89" s="38">
        <f>ABS(df_mep[[#This Row],[bid_BA]]-df_mep[[#This Row],[ask_BA]])/AVERAGE(df_mep[[#This Row],[bid_BA]:[ask_BA]])</f>
        <v>2.3926993009758652E-3</v>
      </c>
      <c r="T89" s="36">
        <f>ABS(df_mep[[#This Row],[bid_D_BA]]-df_mep[[#This Row],[ask_D_BA]])/AVERAGE(df_mep[[#This Row],[bid_D_BA]:[ask_D_BA]])</f>
        <v>7.5576036866359345E-2</v>
      </c>
    </row>
    <row r="90" spans="1:20" hidden="1" x14ac:dyDescent="0.35">
      <c r="A90" s="55" t="s">
        <v>242</v>
      </c>
      <c r="B90" s="55" t="s">
        <v>243</v>
      </c>
      <c r="C90" s="4">
        <v>30550</v>
      </c>
      <c r="D90" s="4">
        <v>30935</v>
      </c>
      <c r="E90" s="4">
        <v>30831</v>
      </c>
      <c r="F90" s="34">
        <v>34.4</v>
      </c>
      <c r="G90" s="34">
        <v>34.35</v>
      </c>
      <c r="H90" s="34">
        <v>29.5</v>
      </c>
      <c r="I90" s="5">
        <v>7626</v>
      </c>
      <c r="J90" s="5">
        <f>df_mep[[#This Row],[volume_BA]]*df_mep[[#This Row],[open_BA]]</f>
        <v>232974300</v>
      </c>
      <c r="K90" s="5">
        <v>1</v>
      </c>
      <c r="L90" s="5">
        <f>df_mep[[#This Row],[volume_D_BA]]*df_mep[[#This Row],[open_D_BA]]</f>
        <v>34.4</v>
      </c>
      <c r="M90" s="3">
        <v>888.08139534883719</v>
      </c>
      <c r="N90" s="3">
        <v>897.5545851528384</v>
      </c>
      <c r="O90" s="3">
        <v>1048.6440677966102</v>
      </c>
      <c r="P90" s="37">
        <f>MIN(1-df_mep[[#This Row],[MEP_compra_ARS]]/MEDIAN(N:N),100%)</f>
        <v>-4.952837164036672E-2</v>
      </c>
      <c r="Q90" s="38">
        <f>df_mep[[#This Row],[MEP_compra_USD]]/MEDIAN(O:O)-1</f>
        <v>0.10271974773354353</v>
      </c>
      <c r="R9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0" s="38">
        <f>ABS(df_mep[[#This Row],[bid_BA]]-df_mep[[#This Row],[ask_BA]])/AVERAGE(df_mep[[#This Row],[bid_BA]:[ask_BA]])</f>
        <v>3.3675484894602208E-3</v>
      </c>
      <c r="T90" s="36">
        <f>ABS(df_mep[[#This Row],[bid_D_BA]]-df_mep[[#This Row],[ask_D_BA]])/AVERAGE(df_mep[[#This Row],[bid_D_BA]:[ask_D_BA]])</f>
        <v>0.15191855912294444</v>
      </c>
    </row>
    <row r="91" spans="1:20" hidden="1" x14ac:dyDescent="0.35">
      <c r="A91" s="55" t="s">
        <v>266</v>
      </c>
      <c r="B91" s="55" t="s">
        <v>267</v>
      </c>
      <c r="C91" s="4">
        <v>15600</v>
      </c>
      <c r="D91" s="4">
        <v>15794</v>
      </c>
      <c r="E91" s="4">
        <v>15733</v>
      </c>
      <c r="F91" s="34">
        <v>17.5</v>
      </c>
      <c r="G91" s="34">
        <v>17.5</v>
      </c>
      <c r="H91" s="34">
        <v>16.8</v>
      </c>
      <c r="I91" s="5">
        <v>3914</v>
      </c>
      <c r="J91" s="5">
        <f>df_mep[[#This Row],[volume_BA]]*df_mep[[#This Row],[open_BA]]</f>
        <v>61058400</v>
      </c>
      <c r="K91" s="5">
        <v>25</v>
      </c>
      <c r="L91" s="5">
        <f>df_mep[[#This Row],[volume_D_BA]]*df_mep[[#This Row],[open_D_BA]]</f>
        <v>437.5</v>
      </c>
      <c r="M91" s="3">
        <v>891.42857142857144</v>
      </c>
      <c r="N91" s="3">
        <v>899.02857142857147</v>
      </c>
      <c r="O91" s="3">
        <v>940.11904761904759</v>
      </c>
      <c r="P91" s="37">
        <f>MIN(1-df_mep[[#This Row],[MEP_compra_ARS]]/MEDIAN(N:N),100%)</f>
        <v>-5.1251933016332574E-2</v>
      </c>
      <c r="Q91" s="38">
        <f>df_mep[[#This Row],[MEP_compra_USD]]/MEDIAN(O:O)-1</f>
        <v>-1.1401608166016652E-2</v>
      </c>
      <c r="R9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1" s="38">
        <f>ABS(df_mep[[#This Row],[bid_BA]]-df_mep[[#This Row],[ask_BA]])/AVERAGE(df_mep[[#This Row],[bid_BA]:[ask_BA]])</f>
        <v>3.8696989881688709E-3</v>
      </c>
      <c r="T91" s="36">
        <f>ABS(df_mep[[#This Row],[bid_D_BA]]-df_mep[[#This Row],[ask_D_BA]])/AVERAGE(df_mep[[#This Row],[bid_D_BA]:[ask_D_BA]])</f>
        <v>4.0816326530612207E-2</v>
      </c>
    </row>
    <row r="92" spans="1:20" x14ac:dyDescent="0.35">
      <c r="A92" s="55" t="s">
        <v>240</v>
      </c>
      <c r="B92" s="55" t="s">
        <v>241</v>
      </c>
      <c r="C92" s="4">
        <v>4584</v>
      </c>
      <c r="D92" s="4">
        <v>4568.5</v>
      </c>
      <c r="E92" s="4">
        <v>4560</v>
      </c>
      <c r="F92" s="34">
        <v>5.5</v>
      </c>
      <c r="G92" s="34">
        <v>5.5</v>
      </c>
      <c r="H92" s="34">
        <v>5</v>
      </c>
      <c r="I92" s="5">
        <v>28636</v>
      </c>
      <c r="J92" s="5">
        <f>df_mep[[#This Row],[volume_BA]]*df_mep[[#This Row],[open_BA]]</f>
        <v>131267424</v>
      </c>
      <c r="K92" s="5">
        <v>611</v>
      </c>
      <c r="L92" s="5">
        <f>df_mep[[#This Row],[volume_D_BA]]*df_mep[[#This Row],[open_D_BA]]</f>
        <v>3360.5</v>
      </c>
      <c r="M92" s="3">
        <v>833.4545454545455</v>
      </c>
      <c r="N92" s="3">
        <v>829.09090909090912</v>
      </c>
      <c r="O92" s="3">
        <v>913.7</v>
      </c>
      <c r="P92" s="37">
        <f>MIN(1-df_mep[[#This Row],[MEP_compra_ARS]]/MEDIAN(N:N),100%)</f>
        <v>3.0527562162873223E-2</v>
      </c>
      <c r="Q92" s="38">
        <f>df_mep[[#This Row],[MEP_compra_USD]]/MEDIAN(O:O)-1</f>
        <v>-3.9183013144590384E-2</v>
      </c>
      <c r="R92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92" s="38">
        <f>ABS(df_mep[[#This Row],[bid_BA]]-df_mep[[#This Row],[ask_BA]])/AVERAGE(df_mep[[#This Row],[bid_BA]:[ask_BA]])</f>
        <v>1.8622993920140219E-3</v>
      </c>
      <c r="T92" s="36">
        <f>ABS(df_mep[[#This Row],[bid_D_BA]]-df_mep[[#This Row],[ask_D_BA]])/AVERAGE(df_mep[[#This Row],[bid_D_BA]:[ask_D_BA]])</f>
        <v>9.5238095238095233E-2</v>
      </c>
    </row>
    <row r="93" spans="1:20" x14ac:dyDescent="0.35">
      <c r="A93" s="55" t="s">
        <v>10</v>
      </c>
      <c r="B93" s="55" t="s">
        <v>107</v>
      </c>
      <c r="C93" s="4">
        <v>10048.5</v>
      </c>
      <c r="D93" s="4">
        <v>10349.5</v>
      </c>
      <c r="E93" s="4">
        <v>10311</v>
      </c>
      <c r="F93" s="34">
        <v>11.3</v>
      </c>
      <c r="G93" s="34">
        <v>11.7</v>
      </c>
      <c r="H93" s="34">
        <v>11.4</v>
      </c>
      <c r="I93" s="5">
        <v>11771</v>
      </c>
      <c r="J93" s="5">
        <f>df_mep[[#This Row],[volume_BA]]*df_mep[[#This Row],[open_BA]]</f>
        <v>118280893.5</v>
      </c>
      <c r="K93" s="5">
        <v>285</v>
      </c>
      <c r="L93" s="5">
        <f>df_mep[[#This Row],[volume_D_BA]]*df_mep[[#This Row],[open_D_BA]]</f>
        <v>3220.5</v>
      </c>
      <c r="M93" s="3">
        <v>889.24778761061941</v>
      </c>
      <c r="N93" s="3">
        <v>881.28205128205138</v>
      </c>
      <c r="O93" s="3">
        <v>907.85087719298247</v>
      </c>
      <c r="P93" s="37">
        <f>MIN(1-df_mep[[#This Row],[MEP_compra_ARS]]/MEDIAN(N:N),100%)</f>
        <v>-3.0500575160488541E-2</v>
      </c>
      <c r="Q93" s="38">
        <f>df_mep[[#This Row],[MEP_compra_USD]]/MEDIAN(O:O)-1</f>
        <v>-4.53337590690579E-2</v>
      </c>
      <c r="R93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93" s="38">
        <f>ABS(df_mep[[#This Row],[bid_BA]]-df_mep[[#This Row],[ask_BA]])/AVERAGE(df_mep[[#This Row],[bid_BA]:[ask_BA]])</f>
        <v>3.7269185160088091E-3</v>
      </c>
      <c r="T93" s="36">
        <f>ABS(df_mep[[#This Row],[bid_D_BA]]-df_mep[[#This Row],[ask_D_BA]])/AVERAGE(df_mep[[#This Row],[bid_D_BA]:[ask_D_BA]])</f>
        <v>2.5974025974025879E-2</v>
      </c>
    </row>
    <row r="94" spans="1:20" x14ac:dyDescent="0.35">
      <c r="A94" s="55" t="s">
        <v>59</v>
      </c>
      <c r="B94" s="55" t="s">
        <v>265</v>
      </c>
      <c r="C94" s="4">
        <v>41127</v>
      </c>
      <c r="D94" s="4">
        <v>41861</v>
      </c>
      <c r="E94" s="4">
        <v>41750</v>
      </c>
      <c r="F94" s="34">
        <v>46.15</v>
      </c>
      <c r="G94" s="34">
        <v>48</v>
      </c>
      <c r="H94" s="34">
        <v>43</v>
      </c>
      <c r="I94" s="5">
        <v>42299</v>
      </c>
      <c r="J94" s="5">
        <f>df_mep[[#This Row],[volume_BA]]*df_mep[[#This Row],[open_BA]]</f>
        <v>1739630973</v>
      </c>
      <c r="K94" s="5">
        <v>56</v>
      </c>
      <c r="L94" s="5">
        <f>df_mep[[#This Row],[volume_D_BA]]*df_mep[[#This Row],[open_D_BA]]</f>
        <v>2584.4</v>
      </c>
      <c r="M94" s="3">
        <v>891.15926327193938</v>
      </c>
      <c r="N94" s="3">
        <v>869.79166666666663</v>
      </c>
      <c r="O94" s="3">
        <v>973.51162790697674</v>
      </c>
      <c r="P94" s="37">
        <f>MIN(1-df_mep[[#This Row],[MEP_compra_ARS]]/MEDIAN(N:N),100%)</f>
        <v>-1.7064640617462601E-2</v>
      </c>
      <c r="Q94" s="38">
        <f>df_mep[[#This Row],[MEP_compra_USD]]/MEDIAN(O:O)-1</f>
        <v>2.371293531168428E-2</v>
      </c>
      <c r="R94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94" s="38">
        <f>ABS(df_mep[[#This Row],[bid_BA]]-df_mep[[#This Row],[ask_BA]])/AVERAGE(df_mep[[#This Row],[bid_BA]:[ask_BA]])</f>
        <v>2.6551530301036947E-3</v>
      </c>
      <c r="T94" s="36">
        <f>ABS(df_mep[[#This Row],[bid_D_BA]]-df_mep[[#This Row],[ask_D_BA]])/AVERAGE(df_mep[[#This Row],[bid_D_BA]:[ask_D_BA]])</f>
        <v>0.10989010989010989</v>
      </c>
    </row>
    <row r="95" spans="1:20" hidden="1" x14ac:dyDescent="0.35">
      <c r="A95" s="55" t="s">
        <v>128</v>
      </c>
      <c r="B95" s="55" t="s">
        <v>128</v>
      </c>
      <c r="C95" s="4">
        <v>7400</v>
      </c>
      <c r="D95" s="4">
        <v>7473.5</v>
      </c>
      <c r="E95" s="4">
        <v>7400</v>
      </c>
      <c r="F95" s="34">
        <v>8.18</v>
      </c>
      <c r="G95" s="34">
        <v>8.18</v>
      </c>
      <c r="H95" s="34">
        <v>7.59</v>
      </c>
      <c r="I95" s="5">
        <v>545</v>
      </c>
      <c r="J95" s="5">
        <f>df_mep[[#This Row],[volume_BA]]*df_mep[[#This Row],[open_BA]]</f>
        <v>4033000</v>
      </c>
      <c r="K95" s="5">
        <v>0</v>
      </c>
      <c r="L95" s="5">
        <f>df_mep[[#This Row],[volume_D_BA]]*df_mep[[#This Row],[open_D_BA]]</f>
        <v>0</v>
      </c>
      <c r="M95" s="3">
        <v>904.64547677261612</v>
      </c>
      <c r="N95" s="3">
        <v>904.64547677261612</v>
      </c>
      <c r="O95" s="3">
        <v>984.65085638998687</v>
      </c>
      <c r="P95" s="37">
        <f>MIN(1-df_mep[[#This Row],[MEP_compra_ARS]]/MEDIAN(N:N),100%)</f>
        <v>-5.7819891797791456E-2</v>
      </c>
      <c r="Q95" s="38">
        <f>df_mep[[#This Row],[MEP_compra_USD]]/MEDIAN(O:O)-1</f>
        <v>3.5426583059237959E-2</v>
      </c>
      <c r="R9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5" s="38">
        <f>ABS(df_mep[[#This Row],[bid_BA]]-df_mep[[#This Row],[ask_BA]])/AVERAGE(df_mep[[#This Row],[bid_BA]:[ask_BA]])</f>
        <v>9.8833495814704009E-3</v>
      </c>
      <c r="T95" s="36">
        <f>ABS(df_mep[[#This Row],[bid_D_BA]]-df_mep[[#This Row],[ask_D_BA]])/AVERAGE(df_mep[[#This Row],[bid_D_BA]:[ask_D_BA]])</f>
        <v>7.4825618262523763E-2</v>
      </c>
    </row>
    <row r="96" spans="1:20" x14ac:dyDescent="0.35">
      <c r="A96" s="55" t="s">
        <v>208</v>
      </c>
      <c r="B96" s="55" t="s">
        <v>209</v>
      </c>
      <c r="C96" s="4">
        <v>11939.5</v>
      </c>
      <c r="D96" s="4">
        <v>12053</v>
      </c>
      <c r="E96" s="4">
        <v>12035</v>
      </c>
      <c r="F96" s="34">
        <v>13.45</v>
      </c>
      <c r="G96" s="34">
        <v>14.2</v>
      </c>
      <c r="H96" s="34">
        <v>13.45</v>
      </c>
      <c r="I96" s="5">
        <v>1249</v>
      </c>
      <c r="J96" s="5">
        <f>df_mep[[#This Row],[volume_BA]]*df_mep[[#This Row],[open_BA]]</f>
        <v>14912435.5</v>
      </c>
      <c r="K96" s="5">
        <v>189</v>
      </c>
      <c r="L96" s="5">
        <f>df_mep[[#This Row],[volume_D_BA]]*df_mep[[#This Row],[open_D_BA]]</f>
        <v>2542.0499999999997</v>
      </c>
      <c r="M96" s="3">
        <v>887.69516728624535</v>
      </c>
      <c r="N96" s="3">
        <v>847.53521126760563</v>
      </c>
      <c r="O96" s="3">
        <v>896.13382899628255</v>
      </c>
      <c r="P96" s="37">
        <f>MIN(1-df_mep[[#This Row],[MEP_compra_ARS]]/MEDIAN(N:N),100%)</f>
        <v>8.9602739446811297E-3</v>
      </c>
      <c r="Q96" s="38">
        <f>df_mep[[#This Row],[MEP_compra_USD]]/MEDIAN(O:O)-1</f>
        <v>-5.765502309794357E-2</v>
      </c>
      <c r="R96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96" s="38">
        <f>ABS(df_mep[[#This Row],[bid_BA]]-df_mep[[#This Row],[ask_BA]])/AVERAGE(df_mep[[#This Row],[bid_BA]:[ask_BA]])</f>
        <v>1.4945200929923613E-3</v>
      </c>
      <c r="T96" s="36">
        <f>ABS(df_mep[[#This Row],[bid_D_BA]]-df_mep[[#This Row],[ask_D_BA]])/AVERAGE(df_mep[[#This Row],[bid_D_BA]:[ask_D_BA]])</f>
        <v>5.4249547920434002E-2</v>
      </c>
    </row>
    <row r="97" spans="1:20" hidden="1" x14ac:dyDescent="0.35">
      <c r="A97" s="55" t="s">
        <v>140</v>
      </c>
      <c r="B97" s="55" t="s">
        <v>141</v>
      </c>
      <c r="C97" s="4">
        <v>6429.5</v>
      </c>
      <c r="D97" s="4">
        <v>6497.5</v>
      </c>
      <c r="E97" s="4">
        <v>6435</v>
      </c>
      <c r="F97" s="34">
        <v>7.4</v>
      </c>
      <c r="G97" s="34">
        <v>7.1</v>
      </c>
      <c r="H97" s="34">
        <v>7</v>
      </c>
      <c r="I97" s="5">
        <v>998</v>
      </c>
      <c r="J97" s="5">
        <f>df_mep[[#This Row],[volume_BA]]*df_mep[[#This Row],[open_BA]]</f>
        <v>6416641</v>
      </c>
      <c r="K97" s="5">
        <v>0</v>
      </c>
      <c r="L97" s="5">
        <f>df_mep[[#This Row],[volume_D_BA]]*df_mep[[#This Row],[open_D_BA]]</f>
        <v>0</v>
      </c>
      <c r="M97" s="3">
        <v>868.85135135135135</v>
      </c>
      <c r="N97" s="3">
        <v>906.33802816901414</v>
      </c>
      <c r="O97" s="3">
        <v>928.21428571428567</v>
      </c>
      <c r="P97" s="37">
        <f>MIN(1-df_mep[[#This Row],[MEP_compra_ARS]]/MEDIAN(N:N),100%)</f>
        <v>-5.9799025702696795E-2</v>
      </c>
      <c r="Q97" s="38">
        <f>df_mep[[#This Row],[MEP_compra_USD]]/MEDIAN(O:O)-1</f>
        <v>-2.392026578073092E-2</v>
      </c>
      <c r="R9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97" s="38">
        <f>ABS(df_mep[[#This Row],[bid_BA]]-df_mep[[#This Row],[ask_BA]])/AVERAGE(df_mep[[#This Row],[bid_BA]:[ask_BA]])</f>
        <v>9.6655712352600037E-3</v>
      </c>
      <c r="T97" s="36">
        <f>ABS(df_mep[[#This Row],[bid_D_BA]]-df_mep[[#This Row],[ask_D_BA]])/AVERAGE(df_mep[[#This Row],[bid_D_BA]:[ask_D_BA]])</f>
        <v>1.4184397163120517E-2</v>
      </c>
    </row>
    <row r="98" spans="1:20" x14ac:dyDescent="0.35">
      <c r="A98" s="55" t="s">
        <v>24</v>
      </c>
      <c r="B98" s="55" t="s">
        <v>204</v>
      </c>
      <c r="C98" s="4">
        <v>7680</v>
      </c>
      <c r="D98" s="4">
        <v>7850</v>
      </c>
      <c r="E98" s="4">
        <v>7700</v>
      </c>
      <c r="F98" s="34">
        <v>8.81</v>
      </c>
      <c r="G98" s="34">
        <v>8.7899999999999991</v>
      </c>
      <c r="H98" s="34">
        <v>8.3000000000000007</v>
      </c>
      <c r="I98" s="5">
        <v>7220</v>
      </c>
      <c r="J98" s="5">
        <f>df_mep[[#This Row],[volume_BA]]*df_mep[[#This Row],[open_BA]]</f>
        <v>55449600</v>
      </c>
      <c r="K98" s="5">
        <v>235</v>
      </c>
      <c r="L98" s="5">
        <f>df_mep[[#This Row],[volume_D_BA]]*df_mep[[#This Row],[open_D_BA]]</f>
        <v>2070.35</v>
      </c>
      <c r="M98" s="3">
        <v>871.73666288308732</v>
      </c>
      <c r="N98" s="3">
        <v>875.99544937428902</v>
      </c>
      <c r="O98" s="3">
        <v>945.78313253012038</v>
      </c>
      <c r="P98" s="37">
        <f>MIN(1-df_mep[[#This Row],[MEP_compra_ARS]]/MEDIAN(N:N),100%)</f>
        <v>-2.4318846735782218E-2</v>
      </c>
      <c r="Q98" s="38">
        <f>df_mep[[#This Row],[MEP_compra_USD]]/MEDIAN(O:O)-1</f>
        <v>-5.4454420310159346E-3</v>
      </c>
      <c r="R98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98" s="38">
        <f>ABS(df_mep[[#This Row],[bid_BA]]-df_mep[[#This Row],[ask_BA]])/AVERAGE(df_mep[[#This Row],[bid_BA]:[ask_BA]])</f>
        <v>1.9292604501607719E-2</v>
      </c>
      <c r="T98" s="36">
        <f>ABS(df_mep[[#This Row],[bid_D_BA]]-df_mep[[#This Row],[ask_D_BA]])/AVERAGE(df_mep[[#This Row],[bid_D_BA]:[ask_D_BA]])</f>
        <v>5.7343475716793262E-2</v>
      </c>
    </row>
    <row r="99" spans="1:20" x14ac:dyDescent="0.35">
      <c r="A99" s="55" t="s">
        <v>55</v>
      </c>
      <c r="B99" s="55" t="s">
        <v>68</v>
      </c>
      <c r="C99" s="4">
        <v>9700</v>
      </c>
      <c r="D99" s="4">
        <v>10036</v>
      </c>
      <c r="E99" s="4">
        <v>10001</v>
      </c>
      <c r="F99" s="34">
        <v>10.95</v>
      </c>
      <c r="G99" s="34">
        <v>11.6</v>
      </c>
      <c r="H99" s="34">
        <v>11.5</v>
      </c>
      <c r="I99" s="5">
        <v>8657</v>
      </c>
      <c r="J99" s="5">
        <f>df_mep[[#This Row],[volume_BA]]*df_mep[[#This Row],[open_BA]]</f>
        <v>83972900</v>
      </c>
      <c r="K99" s="5">
        <v>184</v>
      </c>
      <c r="L99" s="5">
        <f>df_mep[[#This Row],[volume_D_BA]]*df_mep[[#This Row],[open_D_BA]]</f>
        <v>2014.8</v>
      </c>
      <c r="M99" s="3">
        <v>885.84474885844759</v>
      </c>
      <c r="N99" s="3">
        <v>862.15517241379314</v>
      </c>
      <c r="O99" s="3">
        <v>872.695652173913</v>
      </c>
      <c r="P99" s="37">
        <f>MIN(1-df_mep[[#This Row],[MEP_compra_ARS]]/MEDIAN(N:N),100%)</f>
        <v>-8.1351364838564422E-3</v>
      </c>
      <c r="Q99" s="38">
        <f>df_mep[[#This Row],[MEP_compra_USD]]/MEDIAN(O:O)-1</f>
        <v>-8.2301842001142989E-2</v>
      </c>
      <c r="R99" s="39">
        <f>IF(AND(
df_mep[[#This Row],[volume_money_BA]]&gt;80000,
df_mep[[#This Row],[volume_money_D_BA]]&gt;2000,
ABS(df_mep[[#This Row],[conviene entrar ARS]])&lt;0.5,
ABS(df_mep[[#This Row],[conviene entrar USD]])&lt;0.5
),1,0)</f>
        <v>1</v>
      </c>
      <c r="S99" s="38">
        <f>ABS(df_mep[[#This Row],[bid_BA]]-df_mep[[#This Row],[ask_BA]])/AVERAGE(df_mep[[#This Row],[bid_BA]:[ask_BA]])</f>
        <v>3.493536956630234E-3</v>
      </c>
      <c r="T99" s="36">
        <f>ABS(df_mep[[#This Row],[bid_D_BA]]-df_mep[[#This Row],[ask_D_BA]])/AVERAGE(df_mep[[#This Row],[bid_D_BA]:[ask_D_BA]])</f>
        <v>8.6580086580086268E-3</v>
      </c>
    </row>
    <row r="100" spans="1:20" hidden="1" x14ac:dyDescent="0.35">
      <c r="A100" s="55" t="s">
        <v>168</v>
      </c>
      <c r="B100" s="55" t="s">
        <v>169</v>
      </c>
      <c r="C100" s="4">
        <v>4245</v>
      </c>
      <c r="D100" s="4">
        <v>4257</v>
      </c>
      <c r="E100" s="4">
        <v>4252.5</v>
      </c>
      <c r="F100" s="34">
        <v>4.5</v>
      </c>
      <c r="G100" s="34">
        <v>4.62</v>
      </c>
      <c r="H100" s="34">
        <v>4</v>
      </c>
      <c r="I100" s="5">
        <v>11763</v>
      </c>
      <c r="J100" s="5">
        <f>df_mep[[#This Row],[volume_BA]]*df_mep[[#This Row],[open_BA]]</f>
        <v>49933935</v>
      </c>
      <c r="K100" s="5">
        <v>58</v>
      </c>
      <c r="L100" s="5">
        <f>df_mep[[#This Row],[volume_D_BA]]*df_mep[[#This Row],[open_D_BA]]</f>
        <v>261</v>
      </c>
      <c r="M100" s="3">
        <v>943.33333333333337</v>
      </c>
      <c r="N100" s="3">
        <v>920.45454545454538</v>
      </c>
      <c r="O100" s="3">
        <v>1064.25</v>
      </c>
      <c r="P100" s="37">
        <f>MIN(1-df_mep[[#This Row],[MEP_compra_ARS]]/MEDIAN(N:N),100%)</f>
        <v>-7.6305749243520404E-2</v>
      </c>
      <c r="Q100" s="38">
        <f>df_mep[[#This Row],[MEP_compra_USD]]/MEDIAN(O:O)-1</f>
        <v>0.11913043478260876</v>
      </c>
      <c r="R10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0" s="38">
        <f>ABS(df_mep[[#This Row],[bid_BA]]-df_mep[[#This Row],[ask_BA]])/AVERAGE(df_mep[[#This Row],[bid_BA]:[ask_BA]])</f>
        <v>1.0576414595452142E-3</v>
      </c>
      <c r="T100" s="36">
        <f>ABS(df_mep[[#This Row],[bid_D_BA]]-df_mep[[#This Row],[ask_D_BA]])/AVERAGE(df_mep[[#This Row],[bid_D_BA]:[ask_D_BA]])</f>
        <v>0.14385150812064967</v>
      </c>
    </row>
    <row r="101" spans="1:20" hidden="1" x14ac:dyDescent="0.35">
      <c r="A101" s="55" t="s">
        <v>272</v>
      </c>
      <c r="B101" s="55" t="s">
        <v>407</v>
      </c>
      <c r="C101" s="4">
        <v>13850</v>
      </c>
      <c r="D101" s="4">
        <v>14120</v>
      </c>
      <c r="E101" s="4">
        <v>14007</v>
      </c>
      <c r="F101" s="34">
        <v>15.8</v>
      </c>
      <c r="G101" s="34">
        <v>0</v>
      </c>
      <c r="H101" s="34">
        <v>14.5</v>
      </c>
      <c r="I101" s="5">
        <v>183</v>
      </c>
      <c r="J101" s="5">
        <f>df_mep[[#This Row],[volume_BA]]*df_mep[[#This Row],[open_BA]]</f>
        <v>2534550</v>
      </c>
      <c r="K101" s="5">
        <v>0</v>
      </c>
      <c r="L101" s="5">
        <f>df_mep[[#This Row],[volume_D_BA]]*df_mep[[#This Row],[open_D_BA]]</f>
        <v>0</v>
      </c>
      <c r="M101" s="3">
        <v>876.58227848101262</v>
      </c>
      <c r="O101" s="3">
        <v>973.79310344827582</v>
      </c>
      <c r="P101" s="37">
        <f>MIN(1-df_mep[[#This Row],[MEP_compra_ARS]]/MEDIAN(N:N),100%)</f>
        <v>1</v>
      </c>
      <c r="Q101" s="38">
        <f>df_mep[[#This Row],[MEP_compra_USD]]/MEDIAN(O:O)-1</f>
        <v>2.4008925769673173E-2</v>
      </c>
      <c r="R10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1" s="38">
        <f>ABS(df_mep[[#This Row],[bid_BA]]-df_mep[[#This Row],[ask_BA]])/AVERAGE(df_mep[[#This Row],[bid_BA]:[ask_BA]])</f>
        <v>8.0349841789028337E-3</v>
      </c>
      <c r="T101" s="36">
        <f>ABS(df_mep[[#This Row],[bid_D_BA]]-df_mep[[#This Row],[ask_D_BA]])/AVERAGE(df_mep[[#This Row],[bid_D_BA]:[ask_D_BA]])</f>
        <v>2</v>
      </c>
    </row>
    <row r="102" spans="1:20" hidden="1" x14ac:dyDescent="0.35">
      <c r="A102" s="55" t="s">
        <v>103</v>
      </c>
      <c r="B102" s="55" t="s">
        <v>104</v>
      </c>
      <c r="C102" s="4">
        <v>7121</v>
      </c>
      <c r="D102" s="4">
        <v>7417</v>
      </c>
      <c r="E102" s="4">
        <v>7352</v>
      </c>
      <c r="F102" s="34">
        <v>9.0500000000000007</v>
      </c>
      <c r="G102" s="34">
        <v>0</v>
      </c>
      <c r="H102" s="34">
        <v>7.61</v>
      </c>
      <c r="I102" s="5">
        <v>993</v>
      </c>
      <c r="J102" s="5">
        <f>df_mep[[#This Row],[volume_BA]]*df_mep[[#This Row],[open_BA]]</f>
        <v>7071153</v>
      </c>
      <c r="K102" s="5">
        <v>0</v>
      </c>
      <c r="L102" s="5">
        <f>df_mep[[#This Row],[volume_D_BA]]*df_mep[[#This Row],[open_D_BA]]</f>
        <v>0</v>
      </c>
      <c r="M102" s="3">
        <v>786.85082872928172</v>
      </c>
      <c r="O102" s="3">
        <v>974.63863337713531</v>
      </c>
      <c r="P102" s="37">
        <f>MIN(1-df_mep[[#This Row],[MEP_compra_ARS]]/MEDIAN(N:N),100%)</f>
        <v>1</v>
      </c>
      <c r="Q102" s="38">
        <f>df_mep[[#This Row],[MEP_compra_USD]]/MEDIAN(O:O)-1</f>
        <v>2.4898057342993551E-2</v>
      </c>
      <c r="R10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2" s="38">
        <f>ABS(df_mep[[#This Row],[bid_BA]]-df_mep[[#This Row],[ask_BA]])/AVERAGE(df_mep[[#This Row],[bid_BA]:[ask_BA]])</f>
        <v>8.8022208680343956E-3</v>
      </c>
      <c r="T102" s="36">
        <f>ABS(df_mep[[#This Row],[bid_D_BA]]-df_mep[[#This Row],[ask_D_BA]])/AVERAGE(df_mep[[#This Row],[bid_D_BA]:[ask_D_BA]])</f>
        <v>2</v>
      </c>
    </row>
    <row r="103" spans="1:20" hidden="1" x14ac:dyDescent="0.35">
      <c r="A103" s="55" t="s">
        <v>115</v>
      </c>
      <c r="B103" s="55" t="s">
        <v>116</v>
      </c>
      <c r="C103" s="4">
        <v>32467.5</v>
      </c>
      <c r="D103" s="4">
        <v>32540</v>
      </c>
      <c r="E103" s="4">
        <v>32200</v>
      </c>
      <c r="F103" s="34">
        <v>35.5</v>
      </c>
      <c r="G103" s="34">
        <v>0</v>
      </c>
      <c r="H103" s="34">
        <v>23.5</v>
      </c>
      <c r="I103" s="5">
        <v>6719</v>
      </c>
      <c r="J103" s="5">
        <f>df_mep[[#This Row],[volume_BA]]*df_mep[[#This Row],[open_BA]]</f>
        <v>218149132.5</v>
      </c>
      <c r="K103" s="5">
        <v>0</v>
      </c>
      <c r="L103" s="5">
        <f>df_mep[[#This Row],[volume_D_BA]]*df_mep[[#This Row],[open_D_BA]]</f>
        <v>0</v>
      </c>
      <c r="M103" s="3">
        <v>914.57746478873241</v>
      </c>
      <c r="O103" s="3">
        <v>1384.6808510638298</v>
      </c>
      <c r="P103" s="37">
        <f>MIN(1-df_mep[[#This Row],[MEP_compra_ARS]]/MEDIAN(N:N),100%)</f>
        <v>1</v>
      </c>
      <c r="Q103" s="38">
        <f>df_mep[[#This Row],[MEP_compra_USD]]/MEDIAN(O:O)-1</f>
        <v>0.45608502033001308</v>
      </c>
      <c r="R10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3" s="38">
        <f>ABS(df_mep[[#This Row],[bid_BA]]-df_mep[[#This Row],[ask_BA]])/AVERAGE(df_mep[[#This Row],[bid_BA]:[ask_BA]])</f>
        <v>1.050355267222737E-2</v>
      </c>
      <c r="T103" s="36">
        <f>ABS(df_mep[[#This Row],[bid_D_BA]]-df_mep[[#This Row],[ask_D_BA]])/AVERAGE(df_mep[[#This Row],[bid_D_BA]:[ask_D_BA]])</f>
        <v>2</v>
      </c>
    </row>
    <row r="104" spans="1:20" hidden="1" x14ac:dyDescent="0.35">
      <c r="A104" s="55" t="s">
        <v>327</v>
      </c>
      <c r="B104" s="55" t="s">
        <v>408</v>
      </c>
      <c r="C104" s="4">
        <v>22500</v>
      </c>
      <c r="D104" s="4">
        <v>26500</v>
      </c>
      <c r="E104" s="4">
        <v>21650.5</v>
      </c>
      <c r="F104" s="34">
        <v>28.7</v>
      </c>
      <c r="G104" s="34">
        <v>0</v>
      </c>
      <c r="H104" s="34">
        <v>23.55</v>
      </c>
      <c r="I104" s="5">
        <v>2663</v>
      </c>
      <c r="J104" s="5">
        <f>df_mep[[#This Row],[volume_BA]]*df_mep[[#This Row],[open_BA]]</f>
        <v>59917500</v>
      </c>
      <c r="K104" s="5">
        <v>0</v>
      </c>
      <c r="L104" s="5">
        <f>df_mep[[#This Row],[volume_D_BA]]*df_mep[[#This Row],[open_D_BA]]</f>
        <v>0</v>
      </c>
      <c r="M104" s="3">
        <v>783.97212543554008</v>
      </c>
      <c r="O104" s="3">
        <v>1125.2653927813162</v>
      </c>
      <c r="P104" s="37">
        <f>MIN(1-df_mep[[#This Row],[MEP_compra_ARS]]/MEDIAN(N:N),100%)</f>
        <v>1</v>
      </c>
      <c r="Q104" s="38">
        <f>df_mep[[#This Row],[MEP_compra_USD]]/MEDIAN(O:O)-1</f>
        <v>0.18329222294496339</v>
      </c>
      <c r="R10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4" s="38">
        <f>ABS(df_mep[[#This Row],[bid_BA]]-df_mep[[#This Row],[ask_BA]])/AVERAGE(df_mep[[#This Row],[bid_BA]:[ask_BA]])</f>
        <v>0.20143093010456797</v>
      </c>
      <c r="T104" s="36">
        <f>ABS(df_mep[[#This Row],[bid_D_BA]]-df_mep[[#This Row],[ask_D_BA]])/AVERAGE(df_mep[[#This Row],[bid_D_BA]:[ask_D_BA]])</f>
        <v>2</v>
      </c>
    </row>
    <row r="105" spans="1:20" hidden="1" x14ac:dyDescent="0.35">
      <c r="A105" s="55" t="s">
        <v>166</v>
      </c>
      <c r="B105" s="55" t="s">
        <v>167</v>
      </c>
      <c r="C105" s="4">
        <v>8793.5</v>
      </c>
      <c r="D105" s="4">
        <v>8890.5</v>
      </c>
      <c r="E105" s="4">
        <v>8800</v>
      </c>
      <c r="F105" s="34">
        <v>10</v>
      </c>
      <c r="G105" s="34">
        <v>0</v>
      </c>
      <c r="H105" s="34">
        <v>8.1</v>
      </c>
      <c r="I105" s="5">
        <v>298</v>
      </c>
      <c r="J105" s="5">
        <f>df_mep[[#This Row],[volume_BA]]*df_mep[[#This Row],[open_BA]]</f>
        <v>2620463</v>
      </c>
      <c r="K105" s="5">
        <v>0</v>
      </c>
      <c r="L105" s="5">
        <f>df_mep[[#This Row],[volume_D_BA]]*df_mep[[#This Row],[open_D_BA]]</f>
        <v>0</v>
      </c>
      <c r="M105" s="3">
        <v>879.35</v>
      </c>
      <c r="O105" s="3">
        <v>1097.5925925925926</v>
      </c>
      <c r="P105" s="37">
        <f>MIN(1-df_mep[[#This Row],[MEP_compra_ARS]]/MEDIAN(N:N),100%)</f>
        <v>1</v>
      </c>
      <c r="Q105" s="38">
        <f>df_mep[[#This Row],[MEP_compra_USD]]/MEDIAN(O:O)-1</f>
        <v>0.15419241283750895</v>
      </c>
      <c r="R10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5" s="38">
        <f>ABS(df_mep[[#This Row],[bid_BA]]-df_mep[[#This Row],[ask_BA]])/AVERAGE(df_mep[[#This Row],[bid_BA]:[ask_BA]])</f>
        <v>1.0231480172974195E-2</v>
      </c>
      <c r="T105" s="36">
        <f>ABS(df_mep[[#This Row],[bid_D_BA]]-df_mep[[#This Row],[ask_D_BA]])/AVERAGE(df_mep[[#This Row],[bid_D_BA]:[ask_D_BA]])</f>
        <v>2</v>
      </c>
    </row>
    <row r="106" spans="1:20" hidden="1" x14ac:dyDescent="0.35">
      <c r="A106" s="55" t="s">
        <v>184</v>
      </c>
      <c r="B106" s="55" t="s">
        <v>185</v>
      </c>
      <c r="C106" s="4">
        <v>11162.5</v>
      </c>
      <c r="D106" s="4">
        <v>11000</v>
      </c>
      <c r="E106" s="4">
        <v>10902</v>
      </c>
      <c r="F106" s="34">
        <v>10.3</v>
      </c>
      <c r="G106" s="34">
        <v>0</v>
      </c>
      <c r="H106" s="34">
        <v>10.3</v>
      </c>
      <c r="I106" s="5">
        <v>611</v>
      </c>
      <c r="J106" s="5">
        <f>df_mep[[#This Row],[volume_BA]]*df_mep[[#This Row],[open_BA]]</f>
        <v>6820287.5</v>
      </c>
      <c r="K106" s="5">
        <v>2</v>
      </c>
      <c r="L106" s="5">
        <f>df_mep[[#This Row],[volume_D_BA]]*df_mep[[#This Row],[open_D_BA]]</f>
        <v>20.6</v>
      </c>
      <c r="M106" s="3">
        <v>1083.7378640776699</v>
      </c>
      <c r="O106" s="3">
        <v>1067.9611650485435</v>
      </c>
      <c r="P106" s="37">
        <f>MIN(1-df_mep[[#This Row],[MEP_compra_ARS]]/MEDIAN(N:N),100%)</f>
        <v>1</v>
      </c>
      <c r="Q106" s="38">
        <f>df_mep[[#This Row],[MEP_compra_USD]]/MEDIAN(O:O)-1</f>
        <v>0.12303297436853922</v>
      </c>
      <c r="R10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6" s="38">
        <f>ABS(df_mep[[#This Row],[bid_BA]]-df_mep[[#This Row],[ask_BA]])/AVERAGE(df_mep[[#This Row],[bid_BA]:[ask_BA]])</f>
        <v>8.9489544333850798E-3</v>
      </c>
      <c r="T106" s="36">
        <f>ABS(df_mep[[#This Row],[bid_D_BA]]-df_mep[[#This Row],[ask_D_BA]])/AVERAGE(df_mep[[#This Row],[bid_D_BA]:[ask_D_BA]])</f>
        <v>2</v>
      </c>
    </row>
    <row r="107" spans="1:20" hidden="1" x14ac:dyDescent="0.35">
      <c r="A107" s="55" t="s">
        <v>217</v>
      </c>
      <c r="B107" s="55" t="s">
        <v>218</v>
      </c>
      <c r="C107" s="4">
        <v>17328</v>
      </c>
      <c r="D107" s="4">
        <v>17612</v>
      </c>
      <c r="E107" s="4">
        <v>17520</v>
      </c>
      <c r="F107" s="34">
        <v>19.5</v>
      </c>
      <c r="G107" s="34">
        <v>0</v>
      </c>
      <c r="H107" s="34">
        <v>18.5</v>
      </c>
      <c r="I107" s="5">
        <v>80</v>
      </c>
      <c r="J107" s="5">
        <f>df_mep[[#This Row],[volume_BA]]*df_mep[[#This Row],[open_BA]]</f>
        <v>1386240</v>
      </c>
      <c r="K107" s="5">
        <v>0</v>
      </c>
      <c r="L107" s="5">
        <f>df_mep[[#This Row],[volume_D_BA]]*df_mep[[#This Row],[open_D_BA]]</f>
        <v>0</v>
      </c>
      <c r="M107" s="3">
        <v>888.61538461538464</v>
      </c>
      <c r="O107" s="3">
        <v>952</v>
      </c>
      <c r="P107" s="37">
        <f>MIN(1-df_mep[[#This Row],[MEP_compra_ARS]]/MEDIAN(N:N),100%)</f>
        <v>1</v>
      </c>
      <c r="Q107" s="38">
        <f>df_mep[[#This Row],[MEP_compra_USD]]/MEDIAN(O:O)-1</f>
        <v>1.092012133468101E-3</v>
      </c>
      <c r="R10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7" s="38">
        <f>ABS(df_mep[[#This Row],[bid_BA]]-df_mep[[#This Row],[ask_BA]])/AVERAGE(df_mep[[#This Row],[bid_BA]:[ask_BA]])</f>
        <v>5.2373904132984178E-3</v>
      </c>
      <c r="T107" s="36">
        <f>ABS(df_mep[[#This Row],[bid_D_BA]]-df_mep[[#This Row],[ask_D_BA]])/AVERAGE(df_mep[[#This Row],[bid_D_BA]:[ask_D_BA]])</f>
        <v>2</v>
      </c>
    </row>
    <row r="108" spans="1:20" hidden="1" x14ac:dyDescent="0.35">
      <c r="A108" s="55" t="s">
        <v>249</v>
      </c>
      <c r="B108" s="55" t="s">
        <v>250</v>
      </c>
      <c r="C108" s="4">
        <v>30245</v>
      </c>
      <c r="D108" s="4">
        <v>29639.5</v>
      </c>
      <c r="E108" s="4">
        <v>29055</v>
      </c>
      <c r="F108" s="34">
        <v>32.5</v>
      </c>
      <c r="G108" s="34">
        <v>0</v>
      </c>
      <c r="H108" s="34">
        <v>30</v>
      </c>
      <c r="I108" s="5">
        <v>239</v>
      </c>
      <c r="J108" s="5">
        <f>df_mep[[#This Row],[volume_BA]]*df_mep[[#This Row],[open_BA]]</f>
        <v>7228555</v>
      </c>
      <c r="K108" s="5">
        <v>0</v>
      </c>
      <c r="L108" s="5">
        <f>df_mep[[#This Row],[volume_D_BA]]*df_mep[[#This Row],[open_D_BA]]</f>
        <v>0</v>
      </c>
      <c r="M108" s="3">
        <v>930.61538461538464</v>
      </c>
      <c r="O108" s="3">
        <v>987.98333333333335</v>
      </c>
      <c r="P108" s="37">
        <f>MIN(1-df_mep[[#This Row],[MEP_compra_ARS]]/MEDIAN(N:N),100%)</f>
        <v>1</v>
      </c>
      <c r="Q108" s="38">
        <f>df_mep[[#This Row],[MEP_compra_USD]]/MEDIAN(O:O)-1</f>
        <v>3.8930906639703444E-2</v>
      </c>
      <c r="R10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8" s="38">
        <f>ABS(df_mep[[#This Row],[bid_BA]]-df_mep[[#This Row],[ask_BA]])/AVERAGE(df_mep[[#This Row],[bid_BA]:[ask_BA]])</f>
        <v>1.9916687253490533E-2</v>
      </c>
      <c r="T108" s="36">
        <f>ABS(df_mep[[#This Row],[bid_D_BA]]-df_mep[[#This Row],[ask_D_BA]])/AVERAGE(df_mep[[#This Row],[bid_D_BA]:[ask_D_BA]])</f>
        <v>2</v>
      </c>
    </row>
    <row r="109" spans="1:20" hidden="1" x14ac:dyDescent="0.35">
      <c r="A109" s="55" t="s">
        <v>392</v>
      </c>
      <c r="B109" s="55" t="s">
        <v>409</v>
      </c>
      <c r="C109" s="4">
        <v>22080.5</v>
      </c>
      <c r="D109" s="4">
        <v>21977</v>
      </c>
      <c r="E109" s="4">
        <v>21700</v>
      </c>
      <c r="F109" s="34">
        <v>14.7</v>
      </c>
      <c r="G109" s="34">
        <v>0</v>
      </c>
      <c r="H109" s="34">
        <v>14.2</v>
      </c>
      <c r="I109" s="5">
        <v>2124</v>
      </c>
      <c r="J109" s="5">
        <f>df_mep[[#This Row],[volume_BA]]*df_mep[[#This Row],[open_BA]]</f>
        <v>46898982</v>
      </c>
      <c r="K109" s="5">
        <v>0</v>
      </c>
      <c r="L109" s="5">
        <f>df_mep[[#This Row],[volume_D_BA]]*df_mep[[#This Row],[open_D_BA]]</f>
        <v>0</v>
      </c>
      <c r="M109" s="3">
        <v>1502.0748299319728</v>
      </c>
      <c r="O109" s="3">
        <v>1547.6760563380283</v>
      </c>
      <c r="P109" s="37">
        <f>MIN(1-df_mep[[#This Row],[MEP_compra_ARS]]/MEDIAN(N:N),100%)</f>
        <v>1</v>
      </c>
      <c r="Q109" s="38">
        <f>df_mep[[#This Row],[MEP_compra_USD]]/MEDIAN(O:O)-1</f>
        <v>0.62748543841410465</v>
      </c>
      <c r="R10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09" s="38">
        <f>ABS(df_mep[[#This Row],[bid_BA]]-df_mep[[#This Row],[ask_BA]])/AVERAGE(df_mep[[#This Row],[bid_BA]:[ask_BA]])</f>
        <v>1.2684021338461891E-2</v>
      </c>
      <c r="T109" s="36">
        <f>ABS(df_mep[[#This Row],[bid_D_BA]]-df_mep[[#This Row],[ask_D_BA]])/AVERAGE(df_mep[[#This Row],[bid_D_BA]:[ask_D_BA]])</f>
        <v>2</v>
      </c>
    </row>
    <row r="110" spans="1:20" hidden="1" x14ac:dyDescent="0.35">
      <c r="A110" s="55" t="s">
        <v>273</v>
      </c>
      <c r="B110" s="55" t="s">
        <v>81</v>
      </c>
      <c r="C110" s="4">
        <v>8200</v>
      </c>
      <c r="D110" s="4">
        <v>8011.5</v>
      </c>
      <c r="E110" s="4">
        <v>7850</v>
      </c>
      <c r="I110" s="5">
        <v>1197</v>
      </c>
      <c r="J110" s="5">
        <f>df_mep[[#This Row],[volume_BA]]*df_mep[[#This Row],[open_BA]]</f>
        <v>9815400</v>
      </c>
      <c r="L110" s="5">
        <f>df_mep[[#This Row],[volume_D_BA]]*df_mep[[#This Row],[open_D_BA]]</f>
        <v>0</v>
      </c>
      <c r="P110" s="37">
        <f>MIN(1-df_mep[[#This Row],[MEP_compra_ARS]]/MEDIAN(N:N),100%)</f>
        <v>1</v>
      </c>
      <c r="Q110" s="38">
        <f>df_mep[[#This Row],[MEP_compra_USD]]/MEDIAN(O:O)-1</f>
        <v>-1</v>
      </c>
      <c r="R11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0" s="38">
        <f>ABS(df_mep[[#This Row],[bid_BA]]-df_mep[[#This Row],[ask_BA]])/AVERAGE(df_mep[[#This Row],[bid_BA]:[ask_BA]])</f>
        <v>2.0363773917977494E-2</v>
      </c>
      <c r="T110" s="36" t="e">
        <f>ABS(df_mep[[#This Row],[bid_D_BA]]-df_mep[[#This Row],[ask_D_BA]])/AVERAGE(df_mep[[#This Row],[bid_D_BA]:[ask_D_BA]])</f>
        <v>#DIV/0!</v>
      </c>
    </row>
    <row r="111" spans="1:20" hidden="1" x14ac:dyDescent="0.35">
      <c r="A111" s="55" t="s">
        <v>274</v>
      </c>
      <c r="B111" s="55" t="s">
        <v>81</v>
      </c>
      <c r="C111" s="4">
        <v>23800</v>
      </c>
      <c r="D111" s="4">
        <v>24427.5</v>
      </c>
      <c r="E111" s="4">
        <v>23900</v>
      </c>
      <c r="I111" s="5">
        <v>3367</v>
      </c>
      <c r="J111" s="5">
        <f>df_mep[[#This Row],[volume_BA]]*df_mep[[#This Row],[open_BA]]</f>
        <v>80134600</v>
      </c>
      <c r="L111" s="5">
        <f>df_mep[[#This Row],[volume_D_BA]]*df_mep[[#This Row],[open_D_BA]]</f>
        <v>0</v>
      </c>
      <c r="P111" s="37">
        <f>MIN(1-df_mep[[#This Row],[MEP_compra_ARS]]/MEDIAN(N:N),100%)</f>
        <v>1</v>
      </c>
      <c r="Q111" s="38">
        <f>df_mep[[#This Row],[MEP_compra_USD]]/MEDIAN(O:O)-1</f>
        <v>-1</v>
      </c>
      <c r="R11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1" s="38">
        <f>ABS(df_mep[[#This Row],[bid_BA]]-df_mep[[#This Row],[ask_BA]])/AVERAGE(df_mep[[#This Row],[bid_BA]:[ask_BA]])</f>
        <v>2.183022088872795E-2</v>
      </c>
      <c r="T111" s="36" t="e">
        <f>ABS(df_mep[[#This Row],[bid_D_BA]]-df_mep[[#This Row],[ask_D_BA]])/AVERAGE(df_mep[[#This Row],[bid_D_BA]:[ask_D_BA]])</f>
        <v>#DIV/0!</v>
      </c>
    </row>
    <row r="112" spans="1:20" hidden="1" x14ac:dyDescent="0.35">
      <c r="A112" s="55" t="s">
        <v>275</v>
      </c>
      <c r="B112" s="55" t="s">
        <v>81</v>
      </c>
      <c r="C112" s="4">
        <v>20280.5</v>
      </c>
      <c r="D112" s="4">
        <v>20346.5</v>
      </c>
      <c r="E112" s="4">
        <v>20168</v>
      </c>
      <c r="I112" s="5">
        <v>974</v>
      </c>
      <c r="J112" s="5">
        <f>df_mep[[#This Row],[volume_BA]]*df_mep[[#This Row],[open_BA]]</f>
        <v>19753207</v>
      </c>
      <c r="L112" s="5">
        <f>df_mep[[#This Row],[volume_D_BA]]*df_mep[[#This Row],[open_D_BA]]</f>
        <v>0</v>
      </c>
      <c r="P112" s="37">
        <f>MIN(1-df_mep[[#This Row],[MEP_compra_ARS]]/MEDIAN(N:N),100%)</f>
        <v>1</v>
      </c>
      <c r="Q112" s="38">
        <f>df_mep[[#This Row],[MEP_compra_USD]]/MEDIAN(O:O)-1</f>
        <v>-1</v>
      </c>
      <c r="R11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2" s="38">
        <f>ABS(df_mep[[#This Row],[bid_BA]]-df_mep[[#This Row],[ask_BA]])/AVERAGE(df_mep[[#This Row],[bid_BA]:[ask_BA]])</f>
        <v>8.8116600229547447E-3</v>
      </c>
      <c r="T112" s="36" t="e">
        <f>ABS(df_mep[[#This Row],[bid_D_BA]]-df_mep[[#This Row],[ask_D_BA]])/AVERAGE(df_mep[[#This Row],[bid_D_BA]:[ask_D_BA]])</f>
        <v>#DIV/0!</v>
      </c>
    </row>
    <row r="113" spans="1:20" hidden="1" x14ac:dyDescent="0.35">
      <c r="A113" s="55" t="s">
        <v>276</v>
      </c>
      <c r="B113" s="55" t="s">
        <v>81</v>
      </c>
      <c r="C113" s="4">
        <v>10858</v>
      </c>
      <c r="D113" s="4">
        <v>11041.5</v>
      </c>
      <c r="E113" s="4">
        <v>10816</v>
      </c>
      <c r="I113" s="5">
        <v>81</v>
      </c>
      <c r="J113" s="5">
        <f>df_mep[[#This Row],[volume_BA]]*df_mep[[#This Row],[open_BA]]</f>
        <v>879498</v>
      </c>
      <c r="L113" s="5">
        <f>df_mep[[#This Row],[volume_D_BA]]*df_mep[[#This Row],[open_D_BA]]</f>
        <v>0</v>
      </c>
      <c r="P113" s="37">
        <f>MIN(1-df_mep[[#This Row],[MEP_compra_ARS]]/MEDIAN(N:N),100%)</f>
        <v>1</v>
      </c>
      <c r="Q113" s="38">
        <f>df_mep[[#This Row],[MEP_compra_USD]]/MEDIAN(O:O)-1</f>
        <v>-1</v>
      </c>
      <c r="R11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3" s="38">
        <f>ABS(df_mep[[#This Row],[bid_BA]]-df_mep[[#This Row],[ask_BA]])/AVERAGE(df_mep[[#This Row],[bid_BA]:[ask_BA]])</f>
        <v>2.0633649776964427E-2</v>
      </c>
      <c r="T113" s="36" t="e">
        <f>ABS(df_mep[[#This Row],[bid_D_BA]]-df_mep[[#This Row],[ask_D_BA]])/AVERAGE(df_mep[[#This Row],[bid_D_BA]:[ask_D_BA]])</f>
        <v>#DIV/0!</v>
      </c>
    </row>
    <row r="114" spans="1:20" hidden="1" x14ac:dyDescent="0.35">
      <c r="A114" s="55" t="s">
        <v>277</v>
      </c>
      <c r="B114" s="55" t="s">
        <v>81</v>
      </c>
      <c r="C114" s="4">
        <v>39964</v>
      </c>
      <c r="D114" s="4">
        <v>39455.5</v>
      </c>
      <c r="E114" s="4">
        <v>38680</v>
      </c>
      <c r="I114" s="5">
        <v>8</v>
      </c>
      <c r="J114" s="5">
        <f>df_mep[[#This Row],[volume_BA]]*df_mep[[#This Row],[open_BA]]</f>
        <v>319712</v>
      </c>
      <c r="L114" s="5">
        <f>df_mep[[#This Row],[volume_D_BA]]*df_mep[[#This Row],[open_D_BA]]</f>
        <v>0</v>
      </c>
      <c r="P114" s="37">
        <f>MIN(1-df_mep[[#This Row],[MEP_compra_ARS]]/MEDIAN(N:N),100%)</f>
        <v>1</v>
      </c>
      <c r="Q114" s="38">
        <f>df_mep[[#This Row],[MEP_compra_USD]]/MEDIAN(O:O)-1</f>
        <v>-1</v>
      </c>
      <c r="R11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4" s="38">
        <f>ABS(df_mep[[#This Row],[bid_BA]]-df_mep[[#This Row],[ask_BA]])/AVERAGE(df_mep[[#This Row],[bid_BA]:[ask_BA]])</f>
        <v>1.9850132142240084E-2</v>
      </c>
      <c r="T114" s="36" t="e">
        <f>ABS(df_mep[[#This Row],[bid_D_BA]]-df_mep[[#This Row],[ask_D_BA]])/AVERAGE(df_mep[[#This Row],[bid_D_BA]:[ask_D_BA]])</f>
        <v>#DIV/0!</v>
      </c>
    </row>
    <row r="115" spans="1:20" hidden="1" x14ac:dyDescent="0.35">
      <c r="A115" s="55" t="s">
        <v>278</v>
      </c>
      <c r="B115" s="55" t="s">
        <v>81</v>
      </c>
      <c r="C115" s="4">
        <v>3980</v>
      </c>
      <c r="D115" s="4">
        <v>0</v>
      </c>
      <c r="E115" s="4">
        <v>4000</v>
      </c>
      <c r="I115" s="5">
        <v>0</v>
      </c>
      <c r="J115" s="5">
        <f>df_mep[[#This Row],[volume_BA]]*df_mep[[#This Row],[open_BA]]</f>
        <v>0</v>
      </c>
      <c r="L115" s="5">
        <f>df_mep[[#This Row],[volume_D_BA]]*df_mep[[#This Row],[open_D_BA]]</f>
        <v>0</v>
      </c>
      <c r="P115" s="37">
        <f>MIN(1-df_mep[[#This Row],[MEP_compra_ARS]]/MEDIAN(N:N),100%)</f>
        <v>1</v>
      </c>
      <c r="Q115" s="38">
        <f>df_mep[[#This Row],[MEP_compra_USD]]/MEDIAN(O:O)-1</f>
        <v>-1</v>
      </c>
      <c r="R11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5" s="38">
        <f>ABS(df_mep[[#This Row],[bid_BA]]-df_mep[[#This Row],[ask_BA]])/AVERAGE(df_mep[[#This Row],[bid_BA]:[ask_BA]])</f>
        <v>2</v>
      </c>
      <c r="T115" s="36" t="e">
        <f>ABS(df_mep[[#This Row],[bid_D_BA]]-df_mep[[#This Row],[ask_D_BA]])/AVERAGE(df_mep[[#This Row],[bid_D_BA]:[ask_D_BA]])</f>
        <v>#DIV/0!</v>
      </c>
    </row>
    <row r="116" spans="1:20" hidden="1" x14ac:dyDescent="0.35">
      <c r="A116" s="55" t="s">
        <v>279</v>
      </c>
      <c r="B116" s="55" t="s">
        <v>81</v>
      </c>
      <c r="C116" s="4">
        <v>14700</v>
      </c>
      <c r="D116" s="4">
        <v>14919.5</v>
      </c>
      <c r="E116" s="4">
        <v>14617.5</v>
      </c>
      <c r="I116" s="5">
        <v>279</v>
      </c>
      <c r="J116" s="5">
        <f>df_mep[[#This Row],[volume_BA]]*df_mep[[#This Row],[open_BA]]</f>
        <v>4101300</v>
      </c>
      <c r="L116" s="5">
        <f>df_mep[[#This Row],[volume_D_BA]]*df_mep[[#This Row],[open_D_BA]]</f>
        <v>0</v>
      </c>
      <c r="P116" s="37">
        <f>MIN(1-df_mep[[#This Row],[MEP_compra_ARS]]/MEDIAN(N:N),100%)</f>
        <v>1</v>
      </c>
      <c r="Q116" s="38">
        <f>df_mep[[#This Row],[MEP_compra_USD]]/MEDIAN(O:O)-1</f>
        <v>-1</v>
      </c>
      <c r="R11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6" s="38">
        <f>ABS(df_mep[[#This Row],[bid_BA]]-df_mep[[#This Row],[ask_BA]])/AVERAGE(df_mep[[#This Row],[bid_BA]:[ask_BA]])</f>
        <v>2.0448928462606222E-2</v>
      </c>
      <c r="T116" s="36" t="e">
        <f>ABS(df_mep[[#This Row],[bid_D_BA]]-df_mep[[#This Row],[ask_D_BA]])/AVERAGE(df_mep[[#This Row],[bid_D_BA]:[ask_D_BA]])</f>
        <v>#DIV/0!</v>
      </c>
    </row>
    <row r="117" spans="1:20" hidden="1" x14ac:dyDescent="0.35">
      <c r="A117" s="55" t="s">
        <v>280</v>
      </c>
      <c r="B117" s="55" t="s">
        <v>81</v>
      </c>
      <c r="C117" s="4">
        <v>11605</v>
      </c>
      <c r="D117" s="4">
        <v>11675</v>
      </c>
      <c r="E117" s="4">
        <v>11500</v>
      </c>
      <c r="I117" s="5">
        <v>101</v>
      </c>
      <c r="J117" s="5">
        <f>df_mep[[#This Row],[volume_BA]]*df_mep[[#This Row],[open_BA]]</f>
        <v>1172105</v>
      </c>
      <c r="L117" s="5">
        <f>df_mep[[#This Row],[volume_D_BA]]*df_mep[[#This Row],[open_D_BA]]</f>
        <v>0</v>
      </c>
      <c r="P117" s="37">
        <f>MIN(1-df_mep[[#This Row],[MEP_compra_ARS]]/MEDIAN(N:N),100%)</f>
        <v>1</v>
      </c>
      <c r="Q117" s="38">
        <f>df_mep[[#This Row],[MEP_compra_USD]]/MEDIAN(O:O)-1</f>
        <v>-1</v>
      </c>
      <c r="R11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7" s="38">
        <f>ABS(df_mep[[#This Row],[bid_BA]]-df_mep[[#This Row],[ask_BA]])/AVERAGE(df_mep[[#This Row],[bid_BA]:[ask_BA]])</f>
        <v>1.5102481121898598E-2</v>
      </c>
      <c r="T117" s="36" t="e">
        <f>ABS(df_mep[[#This Row],[bid_D_BA]]-df_mep[[#This Row],[ask_D_BA]])/AVERAGE(df_mep[[#This Row],[bid_D_BA]:[ask_D_BA]])</f>
        <v>#DIV/0!</v>
      </c>
    </row>
    <row r="118" spans="1:20" hidden="1" x14ac:dyDescent="0.35">
      <c r="A118" s="55" t="s">
        <v>281</v>
      </c>
      <c r="B118" s="55" t="s">
        <v>81</v>
      </c>
      <c r="C118" s="4">
        <v>27657.5</v>
      </c>
      <c r="D118" s="4">
        <v>27800</v>
      </c>
      <c r="E118" s="4">
        <v>27175</v>
      </c>
      <c r="I118" s="5">
        <v>328</v>
      </c>
      <c r="J118" s="5">
        <f>df_mep[[#This Row],[volume_BA]]*df_mep[[#This Row],[open_BA]]</f>
        <v>9071660</v>
      </c>
      <c r="L118" s="5">
        <f>df_mep[[#This Row],[volume_D_BA]]*df_mep[[#This Row],[open_D_BA]]</f>
        <v>0</v>
      </c>
      <c r="P118" s="37">
        <f>MIN(1-df_mep[[#This Row],[MEP_compra_ARS]]/MEDIAN(N:N),100%)</f>
        <v>1</v>
      </c>
      <c r="Q118" s="38">
        <f>df_mep[[#This Row],[MEP_compra_USD]]/MEDIAN(O:O)-1</f>
        <v>-1</v>
      </c>
      <c r="R11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8" s="38">
        <f>ABS(df_mep[[#This Row],[bid_BA]]-df_mep[[#This Row],[ask_BA]])/AVERAGE(df_mep[[#This Row],[bid_BA]:[ask_BA]])</f>
        <v>2.2737608003638016E-2</v>
      </c>
      <c r="T118" s="36" t="e">
        <f>ABS(df_mep[[#This Row],[bid_D_BA]]-df_mep[[#This Row],[ask_D_BA]])/AVERAGE(df_mep[[#This Row],[bid_D_BA]:[ask_D_BA]])</f>
        <v>#DIV/0!</v>
      </c>
    </row>
    <row r="119" spans="1:20" hidden="1" x14ac:dyDescent="0.35">
      <c r="A119" s="55" t="s">
        <v>282</v>
      </c>
      <c r="B119" s="55" t="s">
        <v>81</v>
      </c>
      <c r="C119" s="4">
        <v>26800</v>
      </c>
      <c r="D119" s="4">
        <v>27406</v>
      </c>
      <c r="E119" s="4">
        <v>27100</v>
      </c>
      <c r="I119" s="5">
        <v>2442</v>
      </c>
      <c r="J119" s="5">
        <f>df_mep[[#This Row],[volume_BA]]*df_mep[[#This Row],[open_BA]]</f>
        <v>65445600</v>
      </c>
      <c r="L119" s="5">
        <f>df_mep[[#This Row],[volume_D_BA]]*df_mep[[#This Row],[open_D_BA]]</f>
        <v>0</v>
      </c>
      <c r="P119" s="37">
        <f>MIN(1-df_mep[[#This Row],[MEP_compra_ARS]]/MEDIAN(N:N),100%)</f>
        <v>1</v>
      </c>
      <c r="Q119" s="38">
        <f>df_mep[[#This Row],[MEP_compra_USD]]/MEDIAN(O:O)-1</f>
        <v>-1</v>
      </c>
      <c r="R11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19" s="38">
        <f>ABS(df_mep[[#This Row],[bid_BA]]-df_mep[[#This Row],[ask_BA]])/AVERAGE(df_mep[[#This Row],[bid_BA]:[ask_BA]])</f>
        <v>1.1228121674678017E-2</v>
      </c>
      <c r="T119" s="36" t="e">
        <f>ABS(df_mep[[#This Row],[bid_D_BA]]-df_mep[[#This Row],[ask_D_BA]])/AVERAGE(df_mep[[#This Row],[bid_D_BA]:[ask_D_BA]])</f>
        <v>#DIV/0!</v>
      </c>
    </row>
    <row r="120" spans="1:20" hidden="1" x14ac:dyDescent="0.35">
      <c r="A120" s="55" t="s">
        <v>283</v>
      </c>
      <c r="B120" s="55" t="s">
        <v>81</v>
      </c>
      <c r="C120" s="4">
        <v>15800</v>
      </c>
      <c r="D120" s="4">
        <v>16064</v>
      </c>
      <c r="E120" s="4">
        <v>15735</v>
      </c>
      <c r="I120" s="5">
        <v>290</v>
      </c>
      <c r="J120" s="5">
        <f>df_mep[[#This Row],[volume_BA]]*df_mep[[#This Row],[open_BA]]</f>
        <v>4582000</v>
      </c>
      <c r="L120" s="5">
        <f>df_mep[[#This Row],[volume_D_BA]]*df_mep[[#This Row],[open_D_BA]]</f>
        <v>0</v>
      </c>
      <c r="P120" s="37">
        <f>MIN(1-df_mep[[#This Row],[MEP_compra_ARS]]/MEDIAN(N:N),100%)</f>
        <v>1</v>
      </c>
      <c r="Q120" s="38">
        <f>df_mep[[#This Row],[MEP_compra_USD]]/MEDIAN(O:O)-1</f>
        <v>-1</v>
      </c>
      <c r="R12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0" s="38">
        <f>ABS(df_mep[[#This Row],[bid_BA]]-df_mep[[#This Row],[ask_BA]])/AVERAGE(df_mep[[#This Row],[bid_BA]:[ask_BA]])</f>
        <v>2.0692474606119688E-2</v>
      </c>
      <c r="T120" s="36" t="e">
        <f>ABS(df_mep[[#This Row],[bid_D_BA]]-df_mep[[#This Row],[ask_D_BA]])/AVERAGE(df_mep[[#This Row],[bid_D_BA]:[ask_D_BA]])</f>
        <v>#DIV/0!</v>
      </c>
    </row>
    <row r="121" spans="1:20" hidden="1" x14ac:dyDescent="0.35">
      <c r="A121" s="55" t="s">
        <v>284</v>
      </c>
      <c r="B121" s="55" t="s">
        <v>81</v>
      </c>
      <c r="C121" s="4">
        <v>59967</v>
      </c>
      <c r="D121" s="4">
        <v>58829</v>
      </c>
      <c r="E121" s="4">
        <v>57853</v>
      </c>
      <c r="I121" s="5">
        <v>31</v>
      </c>
      <c r="J121" s="5">
        <f>df_mep[[#This Row],[volume_BA]]*df_mep[[#This Row],[open_BA]]</f>
        <v>1858977</v>
      </c>
      <c r="L121" s="5">
        <f>df_mep[[#This Row],[volume_D_BA]]*df_mep[[#This Row],[open_D_BA]]</f>
        <v>0</v>
      </c>
      <c r="P121" s="37">
        <f>MIN(1-df_mep[[#This Row],[MEP_compra_ARS]]/MEDIAN(N:N),100%)</f>
        <v>1</v>
      </c>
      <c r="Q121" s="38">
        <f>df_mep[[#This Row],[MEP_compra_USD]]/MEDIAN(O:O)-1</f>
        <v>-1</v>
      </c>
      <c r="R12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1" s="38">
        <f>ABS(df_mep[[#This Row],[bid_BA]]-df_mep[[#This Row],[ask_BA]])/AVERAGE(df_mep[[#This Row],[bid_BA]:[ask_BA]])</f>
        <v>1.6729229872645308E-2</v>
      </c>
      <c r="T121" s="36" t="e">
        <f>ABS(df_mep[[#This Row],[bid_D_BA]]-df_mep[[#This Row],[ask_D_BA]])/AVERAGE(df_mep[[#This Row],[bid_D_BA]:[ask_D_BA]])</f>
        <v>#DIV/0!</v>
      </c>
    </row>
    <row r="122" spans="1:20" hidden="1" x14ac:dyDescent="0.35">
      <c r="A122" s="55" t="s">
        <v>285</v>
      </c>
      <c r="B122" s="55" t="s">
        <v>81</v>
      </c>
      <c r="C122" s="4">
        <v>10110</v>
      </c>
      <c r="D122" s="4">
        <v>10110</v>
      </c>
      <c r="E122" s="4">
        <v>7535</v>
      </c>
      <c r="I122" s="5">
        <v>6</v>
      </c>
      <c r="J122" s="5">
        <f>df_mep[[#This Row],[volume_BA]]*df_mep[[#This Row],[open_BA]]</f>
        <v>60660</v>
      </c>
      <c r="L122" s="5">
        <f>df_mep[[#This Row],[volume_D_BA]]*df_mep[[#This Row],[open_D_BA]]</f>
        <v>0</v>
      </c>
      <c r="P122" s="37">
        <f>MIN(1-df_mep[[#This Row],[MEP_compra_ARS]]/MEDIAN(N:N),100%)</f>
        <v>1</v>
      </c>
      <c r="Q122" s="38">
        <f>df_mep[[#This Row],[MEP_compra_USD]]/MEDIAN(O:O)-1</f>
        <v>-1</v>
      </c>
      <c r="R12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2" s="38">
        <f>ABS(df_mep[[#This Row],[bid_BA]]-df_mep[[#This Row],[ask_BA]])/AVERAGE(df_mep[[#This Row],[bid_BA]:[ask_BA]])</f>
        <v>0.29186738452819494</v>
      </c>
      <c r="T122" s="36" t="e">
        <f>ABS(df_mep[[#This Row],[bid_D_BA]]-df_mep[[#This Row],[ask_D_BA]])/AVERAGE(df_mep[[#This Row],[bid_D_BA]:[ask_D_BA]])</f>
        <v>#DIV/0!</v>
      </c>
    </row>
    <row r="123" spans="1:20" hidden="1" x14ac:dyDescent="0.35">
      <c r="A123" s="55" t="s">
        <v>286</v>
      </c>
      <c r="B123" s="55" t="s">
        <v>81</v>
      </c>
      <c r="C123" s="4">
        <v>17840</v>
      </c>
      <c r="D123" s="4">
        <v>18029</v>
      </c>
      <c r="E123" s="4">
        <v>17648.5</v>
      </c>
      <c r="I123" s="5">
        <v>387</v>
      </c>
      <c r="J123" s="5">
        <f>df_mep[[#This Row],[volume_BA]]*df_mep[[#This Row],[open_BA]]</f>
        <v>6904080</v>
      </c>
      <c r="L123" s="5">
        <f>df_mep[[#This Row],[volume_D_BA]]*df_mep[[#This Row],[open_D_BA]]</f>
        <v>0</v>
      </c>
      <c r="P123" s="37">
        <f>MIN(1-df_mep[[#This Row],[MEP_compra_ARS]]/MEDIAN(N:N),100%)</f>
        <v>1</v>
      </c>
      <c r="Q123" s="38">
        <f>df_mep[[#This Row],[MEP_compra_USD]]/MEDIAN(O:O)-1</f>
        <v>-1</v>
      </c>
      <c r="R12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3" s="38">
        <f>ABS(df_mep[[#This Row],[bid_BA]]-df_mep[[#This Row],[ask_BA]])/AVERAGE(df_mep[[#This Row],[bid_BA]:[ask_BA]])</f>
        <v>2.1329969868965033E-2</v>
      </c>
      <c r="T123" s="36" t="e">
        <f>ABS(df_mep[[#This Row],[bid_D_BA]]-df_mep[[#This Row],[ask_D_BA]])/AVERAGE(df_mep[[#This Row],[bid_D_BA]:[ask_D_BA]])</f>
        <v>#DIV/0!</v>
      </c>
    </row>
    <row r="124" spans="1:20" hidden="1" x14ac:dyDescent="0.35">
      <c r="A124" s="55" t="s">
        <v>287</v>
      </c>
      <c r="B124" s="55" t="s">
        <v>81</v>
      </c>
      <c r="C124" s="4">
        <v>10364.5</v>
      </c>
      <c r="D124" s="4">
        <v>10453</v>
      </c>
      <c r="E124" s="4">
        <v>10182</v>
      </c>
      <c r="I124" s="5">
        <v>31</v>
      </c>
      <c r="J124" s="5">
        <f>df_mep[[#This Row],[volume_BA]]*df_mep[[#This Row],[open_BA]]</f>
        <v>321299.5</v>
      </c>
      <c r="L124" s="5">
        <f>df_mep[[#This Row],[volume_D_BA]]*df_mep[[#This Row],[open_D_BA]]</f>
        <v>0</v>
      </c>
      <c r="P124" s="37">
        <f>MIN(1-df_mep[[#This Row],[MEP_compra_ARS]]/MEDIAN(N:N),100%)</f>
        <v>1</v>
      </c>
      <c r="Q124" s="38">
        <f>df_mep[[#This Row],[MEP_compra_USD]]/MEDIAN(O:O)-1</f>
        <v>-1</v>
      </c>
      <c r="R12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4" s="38">
        <f>ABS(df_mep[[#This Row],[bid_BA]]-df_mep[[#This Row],[ask_BA]])/AVERAGE(df_mep[[#This Row],[bid_BA]:[ask_BA]])</f>
        <v>2.6266052822873757E-2</v>
      </c>
      <c r="T124" s="36" t="e">
        <f>ABS(df_mep[[#This Row],[bid_D_BA]]-df_mep[[#This Row],[ask_D_BA]])/AVERAGE(df_mep[[#This Row],[bid_D_BA]:[ask_D_BA]])</f>
        <v>#DIV/0!</v>
      </c>
    </row>
    <row r="125" spans="1:20" hidden="1" x14ac:dyDescent="0.35">
      <c r="A125" s="55" t="s">
        <v>288</v>
      </c>
      <c r="B125" s="55" t="s">
        <v>81</v>
      </c>
      <c r="C125" s="4">
        <v>9917</v>
      </c>
      <c r="D125" s="4">
        <v>9686</v>
      </c>
      <c r="E125" s="4">
        <v>9222.5</v>
      </c>
      <c r="I125" s="5">
        <v>145</v>
      </c>
      <c r="J125" s="5">
        <f>df_mep[[#This Row],[volume_BA]]*df_mep[[#This Row],[open_BA]]</f>
        <v>1437965</v>
      </c>
      <c r="L125" s="5">
        <f>df_mep[[#This Row],[volume_D_BA]]*df_mep[[#This Row],[open_D_BA]]</f>
        <v>0</v>
      </c>
      <c r="P125" s="37">
        <f>MIN(1-df_mep[[#This Row],[MEP_compra_ARS]]/MEDIAN(N:N),100%)</f>
        <v>1</v>
      </c>
      <c r="Q125" s="38">
        <f>df_mep[[#This Row],[MEP_compra_USD]]/MEDIAN(O:O)-1</f>
        <v>-1</v>
      </c>
      <c r="R12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5" s="38">
        <f>ABS(df_mep[[#This Row],[bid_BA]]-df_mep[[#This Row],[ask_BA]])/AVERAGE(df_mep[[#This Row],[bid_BA]:[ask_BA]])</f>
        <v>4.9025570510616921E-2</v>
      </c>
      <c r="T125" s="36" t="e">
        <f>ABS(df_mep[[#This Row],[bid_D_BA]]-df_mep[[#This Row],[ask_D_BA]])/AVERAGE(df_mep[[#This Row],[bid_D_BA]:[ask_D_BA]])</f>
        <v>#DIV/0!</v>
      </c>
    </row>
    <row r="126" spans="1:20" hidden="1" x14ac:dyDescent="0.35">
      <c r="A126" s="55" t="s">
        <v>289</v>
      </c>
      <c r="B126" s="55" t="s">
        <v>81</v>
      </c>
      <c r="C126" s="4">
        <v>30479.5</v>
      </c>
      <c r="D126" s="4">
        <v>30478</v>
      </c>
      <c r="E126" s="4">
        <v>30370.5</v>
      </c>
      <c r="I126" s="5">
        <v>12984</v>
      </c>
      <c r="J126" s="5">
        <f>df_mep[[#This Row],[volume_BA]]*df_mep[[#This Row],[open_BA]]</f>
        <v>395745828</v>
      </c>
      <c r="L126" s="5">
        <f>df_mep[[#This Row],[volume_D_BA]]*df_mep[[#This Row],[open_D_BA]]</f>
        <v>0</v>
      </c>
      <c r="P126" s="37">
        <f>MIN(1-df_mep[[#This Row],[MEP_compra_ARS]]/MEDIAN(N:N),100%)</f>
        <v>1</v>
      </c>
      <c r="Q126" s="38">
        <f>df_mep[[#This Row],[MEP_compra_USD]]/MEDIAN(O:O)-1</f>
        <v>-1</v>
      </c>
      <c r="R12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6" s="38">
        <f>ABS(df_mep[[#This Row],[bid_BA]]-df_mep[[#This Row],[ask_BA]])/AVERAGE(df_mep[[#This Row],[bid_BA]:[ask_BA]])</f>
        <v>3.5333656540424167E-3</v>
      </c>
      <c r="T126" s="36" t="e">
        <f>ABS(df_mep[[#This Row],[bid_D_BA]]-df_mep[[#This Row],[ask_D_BA]])/AVERAGE(df_mep[[#This Row],[bid_D_BA]:[ask_D_BA]])</f>
        <v>#DIV/0!</v>
      </c>
    </row>
    <row r="127" spans="1:20" hidden="1" x14ac:dyDescent="0.35">
      <c r="A127" s="55" t="s">
        <v>290</v>
      </c>
      <c r="B127" s="55" t="s">
        <v>81</v>
      </c>
      <c r="C127" s="4">
        <v>0</v>
      </c>
      <c r="D127" s="4">
        <v>0</v>
      </c>
      <c r="E127" s="4">
        <v>3401</v>
      </c>
      <c r="I127" s="5">
        <v>0</v>
      </c>
      <c r="J127" s="5">
        <f>df_mep[[#This Row],[volume_BA]]*df_mep[[#This Row],[open_BA]]</f>
        <v>0</v>
      </c>
      <c r="L127" s="5">
        <f>df_mep[[#This Row],[volume_D_BA]]*df_mep[[#This Row],[open_D_BA]]</f>
        <v>0</v>
      </c>
      <c r="P127" s="37">
        <f>MIN(1-df_mep[[#This Row],[MEP_compra_ARS]]/MEDIAN(N:N),100%)</f>
        <v>1</v>
      </c>
      <c r="Q127" s="38">
        <f>df_mep[[#This Row],[MEP_compra_USD]]/MEDIAN(O:O)-1</f>
        <v>-1</v>
      </c>
      <c r="R12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7" s="38">
        <f>ABS(df_mep[[#This Row],[bid_BA]]-df_mep[[#This Row],[ask_BA]])/AVERAGE(df_mep[[#This Row],[bid_BA]:[ask_BA]])</f>
        <v>2</v>
      </c>
      <c r="T127" s="36" t="e">
        <f>ABS(df_mep[[#This Row],[bid_D_BA]]-df_mep[[#This Row],[ask_D_BA]])/AVERAGE(df_mep[[#This Row],[bid_D_BA]:[ask_D_BA]])</f>
        <v>#DIV/0!</v>
      </c>
    </row>
    <row r="128" spans="1:20" hidden="1" x14ac:dyDescent="0.35">
      <c r="A128" s="55" t="s">
        <v>291</v>
      </c>
      <c r="B128" s="55" t="s">
        <v>81</v>
      </c>
      <c r="C128" s="4">
        <v>1152</v>
      </c>
      <c r="D128" s="4">
        <v>1119</v>
      </c>
      <c r="E128" s="4">
        <v>1114.5</v>
      </c>
      <c r="I128" s="5">
        <v>3460</v>
      </c>
      <c r="J128" s="5">
        <f>df_mep[[#This Row],[volume_BA]]*df_mep[[#This Row],[open_BA]]</f>
        <v>3985920</v>
      </c>
      <c r="L128" s="5">
        <f>df_mep[[#This Row],[volume_D_BA]]*df_mep[[#This Row],[open_D_BA]]</f>
        <v>0</v>
      </c>
      <c r="P128" s="37">
        <f>MIN(1-df_mep[[#This Row],[MEP_compra_ARS]]/MEDIAN(N:N),100%)</f>
        <v>1</v>
      </c>
      <c r="Q128" s="38">
        <f>df_mep[[#This Row],[MEP_compra_USD]]/MEDIAN(O:O)-1</f>
        <v>-1</v>
      </c>
      <c r="R12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8" s="38">
        <f>ABS(df_mep[[#This Row],[bid_BA]]-df_mep[[#This Row],[ask_BA]])/AVERAGE(df_mep[[#This Row],[bid_BA]:[ask_BA]])</f>
        <v>4.0295500335795834E-3</v>
      </c>
      <c r="T128" s="36" t="e">
        <f>ABS(df_mep[[#This Row],[bid_D_BA]]-df_mep[[#This Row],[ask_D_BA]])/AVERAGE(df_mep[[#This Row],[bid_D_BA]:[ask_D_BA]])</f>
        <v>#DIV/0!</v>
      </c>
    </row>
    <row r="129" spans="1:20" hidden="1" x14ac:dyDescent="0.35">
      <c r="A129" s="55" t="s">
        <v>292</v>
      </c>
      <c r="B129" s="55" t="s">
        <v>81</v>
      </c>
      <c r="C129" s="4">
        <v>8000</v>
      </c>
      <c r="D129" s="4">
        <v>7810.5</v>
      </c>
      <c r="E129" s="4">
        <v>7634.5</v>
      </c>
      <c r="I129" s="5">
        <v>177</v>
      </c>
      <c r="J129" s="5">
        <f>df_mep[[#This Row],[volume_BA]]*df_mep[[#This Row],[open_BA]]</f>
        <v>1416000</v>
      </c>
      <c r="L129" s="5">
        <f>df_mep[[#This Row],[volume_D_BA]]*df_mep[[#This Row],[open_D_BA]]</f>
        <v>0</v>
      </c>
      <c r="P129" s="37">
        <f>MIN(1-df_mep[[#This Row],[MEP_compra_ARS]]/MEDIAN(N:N),100%)</f>
        <v>1</v>
      </c>
      <c r="Q129" s="38">
        <f>df_mep[[#This Row],[MEP_compra_USD]]/MEDIAN(O:O)-1</f>
        <v>-1</v>
      </c>
      <c r="R12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29" s="38">
        <f>ABS(df_mep[[#This Row],[bid_BA]]-df_mep[[#This Row],[ask_BA]])/AVERAGE(df_mep[[#This Row],[bid_BA]:[ask_BA]])</f>
        <v>2.2790547102622207E-2</v>
      </c>
      <c r="T129" s="36" t="e">
        <f>ABS(df_mep[[#This Row],[bid_D_BA]]-df_mep[[#This Row],[ask_D_BA]])/AVERAGE(df_mep[[#This Row],[bid_D_BA]:[ask_D_BA]])</f>
        <v>#DIV/0!</v>
      </c>
    </row>
    <row r="130" spans="1:20" hidden="1" x14ac:dyDescent="0.35">
      <c r="A130" s="55" t="s">
        <v>293</v>
      </c>
      <c r="B130" s="55" t="s">
        <v>81</v>
      </c>
      <c r="C130" s="4">
        <v>7147.5</v>
      </c>
      <c r="D130" s="4">
        <v>7148</v>
      </c>
      <c r="E130" s="4">
        <v>7000</v>
      </c>
      <c r="I130" s="5">
        <v>899</v>
      </c>
      <c r="J130" s="5">
        <f>df_mep[[#This Row],[volume_BA]]*df_mep[[#This Row],[open_BA]]</f>
        <v>6425602.5</v>
      </c>
      <c r="L130" s="5">
        <f>df_mep[[#This Row],[volume_D_BA]]*df_mep[[#This Row],[open_D_BA]]</f>
        <v>0</v>
      </c>
      <c r="P130" s="37">
        <f>MIN(1-df_mep[[#This Row],[MEP_compra_ARS]]/MEDIAN(N:N),100%)</f>
        <v>1</v>
      </c>
      <c r="Q130" s="38">
        <f>df_mep[[#This Row],[MEP_compra_USD]]/MEDIAN(O:O)-1</f>
        <v>-1</v>
      </c>
      <c r="R13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0" s="38">
        <f>ABS(df_mep[[#This Row],[bid_BA]]-df_mep[[#This Row],[ask_BA]])/AVERAGE(df_mep[[#This Row],[bid_BA]:[ask_BA]])</f>
        <v>2.0921685043822448E-2</v>
      </c>
      <c r="T130" s="36" t="e">
        <f>ABS(df_mep[[#This Row],[bid_D_BA]]-df_mep[[#This Row],[ask_D_BA]])/AVERAGE(df_mep[[#This Row],[bid_D_BA]:[ask_D_BA]])</f>
        <v>#DIV/0!</v>
      </c>
    </row>
    <row r="131" spans="1:20" hidden="1" x14ac:dyDescent="0.35">
      <c r="A131" s="55" t="s">
        <v>294</v>
      </c>
      <c r="B131" s="55" t="s">
        <v>81</v>
      </c>
      <c r="C131" s="4">
        <v>27113.5</v>
      </c>
      <c r="D131" s="4">
        <v>26950</v>
      </c>
      <c r="E131" s="4">
        <v>26800</v>
      </c>
      <c r="I131" s="5">
        <v>113</v>
      </c>
      <c r="J131" s="5">
        <f>df_mep[[#This Row],[volume_BA]]*df_mep[[#This Row],[open_BA]]</f>
        <v>3063825.5</v>
      </c>
      <c r="L131" s="5">
        <f>df_mep[[#This Row],[volume_D_BA]]*df_mep[[#This Row],[open_D_BA]]</f>
        <v>0</v>
      </c>
      <c r="P131" s="37">
        <f>MIN(1-df_mep[[#This Row],[MEP_compra_ARS]]/MEDIAN(N:N),100%)</f>
        <v>1</v>
      </c>
      <c r="Q131" s="38">
        <f>df_mep[[#This Row],[MEP_compra_USD]]/MEDIAN(O:O)-1</f>
        <v>-1</v>
      </c>
      <c r="R13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1" s="38">
        <f>ABS(df_mep[[#This Row],[bid_BA]]-df_mep[[#This Row],[ask_BA]])/AVERAGE(df_mep[[#This Row],[bid_BA]:[ask_BA]])</f>
        <v>5.5813953488372094E-3</v>
      </c>
      <c r="T131" s="36" t="e">
        <f>ABS(df_mep[[#This Row],[bid_D_BA]]-df_mep[[#This Row],[ask_D_BA]])/AVERAGE(df_mep[[#This Row],[bid_D_BA]:[ask_D_BA]])</f>
        <v>#DIV/0!</v>
      </c>
    </row>
    <row r="132" spans="1:20" hidden="1" x14ac:dyDescent="0.35">
      <c r="A132" s="55" t="s">
        <v>295</v>
      </c>
      <c r="B132" s="55" t="s">
        <v>81</v>
      </c>
      <c r="C132" s="4">
        <v>19150</v>
      </c>
      <c r="D132" s="4">
        <v>19180.5</v>
      </c>
      <c r="E132" s="4">
        <v>18789.5</v>
      </c>
      <c r="I132" s="5">
        <v>158</v>
      </c>
      <c r="J132" s="5">
        <f>df_mep[[#This Row],[volume_BA]]*df_mep[[#This Row],[open_BA]]</f>
        <v>3025700</v>
      </c>
      <c r="L132" s="5">
        <f>df_mep[[#This Row],[volume_D_BA]]*df_mep[[#This Row],[open_D_BA]]</f>
        <v>0</v>
      </c>
      <c r="P132" s="37">
        <f>MIN(1-df_mep[[#This Row],[MEP_compra_ARS]]/MEDIAN(N:N),100%)</f>
        <v>1</v>
      </c>
      <c r="Q132" s="38">
        <f>df_mep[[#This Row],[MEP_compra_USD]]/MEDIAN(O:O)-1</f>
        <v>-1</v>
      </c>
      <c r="R13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2" s="38">
        <f>ABS(df_mep[[#This Row],[bid_BA]]-df_mep[[#This Row],[ask_BA]])/AVERAGE(df_mep[[#This Row],[bid_BA]:[ask_BA]])</f>
        <v>2.0595206742164866E-2</v>
      </c>
      <c r="T132" s="36" t="e">
        <f>ABS(df_mep[[#This Row],[bid_D_BA]]-df_mep[[#This Row],[ask_D_BA]])/AVERAGE(df_mep[[#This Row],[bid_D_BA]:[ask_D_BA]])</f>
        <v>#DIV/0!</v>
      </c>
    </row>
    <row r="133" spans="1:20" hidden="1" x14ac:dyDescent="0.35">
      <c r="A133" s="55" t="s">
        <v>296</v>
      </c>
      <c r="B133" s="55" t="s">
        <v>81</v>
      </c>
      <c r="C133" s="4">
        <v>19059</v>
      </c>
      <c r="D133" s="4">
        <v>19605</v>
      </c>
      <c r="E133" s="4">
        <v>19555</v>
      </c>
      <c r="I133" s="5">
        <v>88</v>
      </c>
      <c r="J133" s="5">
        <f>df_mep[[#This Row],[volume_BA]]*df_mep[[#This Row],[open_BA]]</f>
        <v>1677192</v>
      </c>
      <c r="L133" s="5">
        <f>df_mep[[#This Row],[volume_D_BA]]*df_mep[[#This Row],[open_D_BA]]</f>
        <v>0</v>
      </c>
      <c r="P133" s="37">
        <f>MIN(1-df_mep[[#This Row],[MEP_compra_ARS]]/MEDIAN(N:N),100%)</f>
        <v>1</v>
      </c>
      <c r="Q133" s="38">
        <f>df_mep[[#This Row],[MEP_compra_USD]]/MEDIAN(O:O)-1</f>
        <v>-1</v>
      </c>
      <c r="R13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3" s="38">
        <f>ABS(df_mep[[#This Row],[bid_BA]]-df_mep[[#This Row],[ask_BA]])/AVERAGE(df_mep[[#This Row],[bid_BA]:[ask_BA]])</f>
        <v>2.5536261491317671E-3</v>
      </c>
      <c r="T133" s="36" t="e">
        <f>ABS(df_mep[[#This Row],[bid_D_BA]]-df_mep[[#This Row],[ask_D_BA]])/AVERAGE(df_mep[[#This Row],[bid_D_BA]:[ask_D_BA]])</f>
        <v>#DIV/0!</v>
      </c>
    </row>
    <row r="134" spans="1:20" hidden="1" x14ac:dyDescent="0.35">
      <c r="A134" s="55" t="s">
        <v>297</v>
      </c>
      <c r="B134" s="55" t="s">
        <v>81</v>
      </c>
      <c r="C134" s="4">
        <v>18800</v>
      </c>
      <c r="D134" s="4">
        <v>19233.5</v>
      </c>
      <c r="E134" s="4">
        <v>19150</v>
      </c>
      <c r="I134" s="5">
        <v>247</v>
      </c>
      <c r="J134" s="5">
        <f>df_mep[[#This Row],[volume_BA]]*df_mep[[#This Row],[open_BA]]</f>
        <v>4643600</v>
      </c>
      <c r="L134" s="5">
        <f>df_mep[[#This Row],[volume_D_BA]]*df_mep[[#This Row],[open_D_BA]]</f>
        <v>0</v>
      </c>
      <c r="P134" s="37">
        <f>MIN(1-df_mep[[#This Row],[MEP_compra_ARS]]/MEDIAN(N:N),100%)</f>
        <v>1</v>
      </c>
      <c r="Q134" s="38">
        <f>df_mep[[#This Row],[MEP_compra_USD]]/MEDIAN(O:O)-1</f>
        <v>-1</v>
      </c>
      <c r="R13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4" s="38">
        <f>ABS(df_mep[[#This Row],[bid_BA]]-df_mep[[#This Row],[ask_BA]])/AVERAGE(df_mep[[#This Row],[bid_BA]:[ask_BA]])</f>
        <v>4.3508278296663927E-3</v>
      </c>
      <c r="T134" s="36" t="e">
        <f>ABS(df_mep[[#This Row],[bid_D_BA]]-df_mep[[#This Row],[ask_D_BA]])/AVERAGE(df_mep[[#This Row],[bid_D_BA]:[ask_D_BA]])</f>
        <v>#DIV/0!</v>
      </c>
    </row>
    <row r="135" spans="1:20" hidden="1" x14ac:dyDescent="0.35">
      <c r="A135" s="55" t="s">
        <v>298</v>
      </c>
      <c r="B135" s="55" t="s">
        <v>81</v>
      </c>
      <c r="C135" s="4">
        <v>6055</v>
      </c>
      <c r="D135" s="4">
        <v>6070.5</v>
      </c>
      <c r="E135" s="4">
        <v>6055</v>
      </c>
      <c r="I135" s="5">
        <v>527</v>
      </c>
      <c r="J135" s="5">
        <f>df_mep[[#This Row],[volume_BA]]*df_mep[[#This Row],[open_BA]]</f>
        <v>3190985</v>
      </c>
      <c r="L135" s="5">
        <f>df_mep[[#This Row],[volume_D_BA]]*df_mep[[#This Row],[open_D_BA]]</f>
        <v>0</v>
      </c>
      <c r="P135" s="37">
        <f>MIN(1-df_mep[[#This Row],[MEP_compra_ARS]]/MEDIAN(N:N),100%)</f>
        <v>1</v>
      </c>
      <c r="Q135" s="38">
        <f>df_mep[[#This Row],[MEP_compra_USD]]/MEDIAN(O:O)-1</f>
        <v>-1</v>
      </c>
      <c r="R13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5" s="38">
        <f>ABS(df_mep[[#This Row],[bid_BA]]-df_mep[[#This Row],[ask_BA]])/AVERAGE(df_mep[[#This Row],[bid_BA]:[ask_BA]])</f>
        <v>2.5565956043049772E-3</v>
      </c>
      <c r="T135" s="36" t="e">
        <f>ABS(df_mep[[#This Row],[bid_D_BA]]-df_mep[[#This Row],[ask_D_BA]])/AVERAGE(df_mep[[#This Row],[bid_D_BA]:[ask_D_BA]])</f>
        <v>#DIV/0!</v>
      </c>
    </row>
    <row r="136" spans="1:20" hidden="1" x14ac:dyDescent="0.35">
      <c r="A136" s="55" t="s">
        <v>299</v>
      </c>
      <c r="B136" s="55" t="s">
        <v>81</v>
      </c>
      <c r="C136" s="4">
        <v>5122</v>
      </c>
      <c r="D136" s="4">
        <v>5085.5</v>
      </c>
      <c r="E136" s="4">
        <v>4953</v>
      </c>
      <c r="I136" s="5">
        <v>134</v>
      </c>
      <c r="J136" s="5">
        <f>df_mep[[#This Row],[volume_BA]]*df_mep[[#This Row],[open_BA]]</f>
        <v>686348</v>
      </c>
      <c r="L136" s="5">
        <f>df_mep[[#This Row],[volume_D_BA]]*df_mep[[#This Row],[open_D_BA]]</f>
        <v>0</v>
      </c>
      <c r="P136" s="37">
        <f>MIN(1-df_mep[[#This Row],[MEP_compra_ARS]]/MEDIAN(N:N),100%)</f>
        <v>1</v>
      </c>
      <c r="Q136" s="38">
        <f>df_mep[[#This Row],[MEP_compra_USD]]/MEDIAN(O:O)-1</f>
        <v>-1</v>
      </c>
      <c r="R13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6" s="38">
        <f>ABS(df_mep[[#This Row],[bid_BA]]-df_mep[[#This Row],[ask_BA]])/AVERAGE(df_mep[[#This Row],[bid_BA]:[ask_BA]])</f>
        <v>2.6398366289784331E-2</v>
      </c>
      <c r="T136" s="36" t="e">
        <f>ABS(df_mep[[#This Row],[bid_D_BA]]-df_mep[[#This Row],[ask_D_BA]])/AVERAGE(df_mep[[#This Row],[bid_D_BA]:[ask_D_BA]])</f>
        <v>#DIV/0!</v>
      </c>
    </row>
    <row r="137" spans="1:20" hidden="1" x14ac:dyDescent="0.35">
      <c r="A137" s="55" t="s">
        <v>300</v>
      </c>
      <c r="B137" s="55" t="s">
        <v>81</v>
      </c>
      <c r="C137" s="4">
        <v>12952.5</v>
      </c>
      <c r="D137" s="4">
        <v>13163</v>
      </c>
      <c r="E137" s="4">
        <v>13146.5</v>
      </c>
      <c r="I137" s="5">
        <v>15410</v>
      </c>
      <c r="J137" s="5">
        <f>df_mep[[#This Row],[volume_BA]]*df_mep[[#This Row],[open_BA]]</f>
        <v>199598025</v>
      </c>
      <c r="L137" s="5">
        <f>df_mep[[#This Row],[volume_D_BA]]*df_mep[[#This Row],[open_D_BA]]</f>
        <v>0</v>
      </c>
      <c r="P137" s="37">
        <f>MIN(1-df_mep[[#This Row],[MEP_compra_ARS]]/MEDIAN(N:N),100%)</f>
        <v>1</v>
      </c>
      <c r="Q137" s="38">
        <f>df_mep[[#This Row],[MEP_compra_USD]]/MEDIAN(O:O)-1</f>
        <v>-1</v>
      </c>
      <c r="R13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7" s="38">
        <f>ABS(df_mep[[#This Row],[bid_BA]]-df_mep[[#This Row],[ask_BA]])/AVERAGE(df_mep[[#This Row],[bid_BA]:[ask_BA]])</f>
        <v>1.2542997776468577E-3</v>
      </c>
      <c r="T137" s="36" t="e">
        <f>ABS(df_mep[[#This Row],[bid_D_BA]]-df_mep[[#This Row],[ask_D_BA]])/AVERAGE(df_mep[[#This Row],[bid_D_BA]:[ask_D_BA]])</f>
        <v>#DIV/0!</v>
      </c>
    </row>
    <row r="138" spans="1:20" hidden="1" x14ac:dyDescent="0.35">
      <c r="A138" s="55" t="s">
        <v>301</v>
      </c>
      <c r="B138" s="55" t="s">
        <v>81</v>
      </c>
      <c r="C138" s="4">
        <v>48154</v>
      </c>
      <c r="D138" s="4">
        <v>47818.5</v>
      </c>
      <c r="E138" s="4">
        <v>47400</v>
      </c>
      <c r="I138" s="5">
        <v>312</v>
      </c>
      <c r="J138" s="5">
        <f>df_mep[[#This Row],[volume_BA]]*df_mep[[#This Row],[open_BA]]</f>
        <v>15024048</v>
      </c>
      <c r="L138" s="5">
        <f>df_mep[[#This Row],[volume_D_BA]]*df_mep[[#This Row],[open_D_BA]]</f>
        <v>0</v>
      </c>
      <c r="P138" s="37">
        <f>MIN(1-df_mep[[#This Row],[MEP_compra_ARS]]/MEDIAN(N:N),100%)</f>
        <v>1</v>
      </c>
      <c r="Q138" s="38">
        <f>df_mep[[#This Row],[MEP_compra_USD]]/MEDIAN(O:O)-1</f>
        <v>-1</v>
      </c>
      <c r="R13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8" s="38">
        <f>ABS(df_mep[[#This Row],[bid_BA]]-df_mep[[#This Row],[ask_BA]])/AVERAGE(df_mep[[#This Row],[bid_BA]:[ask_BA]])</f>
        <v>8.7903086059956843E-3</v>
      </c>
      <c r="T138" s="36" t="e">
        <f>ABS(df_mep[[#This Row],[bid_D_BA]]-df_mep[[#This Row],[ask_D_BA]])/AVERAGE(df_mep[[#This Row],[bid_D_BA]:[ask_D_BA]])</f>
        <v>#DIV/0!</v>
      </c>
    </row>
    <row r="139" spans="1:20" hidden="1" x14ac:dyDescent="0.35">
      <c r="A139" s="55" t="s">
        <v>302</v>
      </c>
      <c r="B139" s="55" t="s">
        <v>81</v>
      </c>
      <c r="C139" s="4">
        <v>27808</v>
      </c>
      <c r="D139" s="4">
        <v>29381</v>
      </c>
      <c r="E139" s="4">
        <v>28662</v>
      </c>
      <c r="I139" s="5">
        <v>88</v>
      </c>
      <c r="J139" s="5">
        <f>df_mep[[#This Row],[volume_BA]]*df_mep[[#This Row],[open_BA]]</f>
        <v>2447104</v>
      </c>
      <c r="L139" s="5">
        <f>df_mep[[#This Row],[volume_D_BA]]*df_mep[[#This Row],[open_D_BA]]</f>
        <v>0</v>
      </c>
      <c r="P139" s="37">
        <f>MIN(1-df_mep[[#This Row],[MEP_compra_ARS]]/MEDIAN(N:N),100%)</f>
        <v>1</v>
      </c>
      <c r="Q139" s="38">
        <f>df_mep[[#This Row],[MEP_compra_USD]]/MEDIAN(O:O)-1</f>
        <v>-1</v>
      </c>
      <c r="R13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39" s="38">
        <f>ABS(df_mep[[#This Row],[bid_BA]]-df_mep[[#This Row],[ask_BA]])/AVERAGE(df_mep[[#This Row],[bid_BA]:[ask_BA]])</f>
        <v>2.4774735971607256E-2</v>
      </c>
      <c r="T139" s="36" t="e">
        <f>ABS(df_mep[[#This Row],[bid_D_BA]]-df_mep[[#This Row],[ask_D_BA]])/AVERAGE(df_mep[[#This Row],[bid_D_BA]:[ask_D_BA]])</f>
        <v>#DIV/0!</v>
      </c>
    </row>
    <row r="140" spans="1:20" hidden="1" x14ac:dyDescent="0.35">
      <c r="A140" s="55" t="s">
        <v>303</v>
      </c>
      <c r="B140" s="55" t="s">
        <v>81</v>
      </c>
      <c r="C140" s="4">
        <v>6647.5</v>
      </c>
      <c r="D140" s="4">
        <v>6584</v>
      </c>
      <c r="E140" s="4">
        <v>6399.5</v>
      </c>
      <c r="I140" s="5">
        <v>201</v>
      </c>
      <c r="J140" s="5">
        <f>df_mep[[#This Row],[volume_BA]]*df_mep[[#This Row],[open_BA]]</f>
        <v>1336147.5</v>
      </c>
      <c r="L140" s="5">
        <f>df_mep[[#This Row],[volume_D_BA]]*df_mep[[#This Row],[open_D_BA]]</f>
        <v>0</v>
      </c>
      <c r="P140" s="37">
        <f>MIN(1-df_mep[[#This Row],[MEP_compra_ARS]]/MEDIAN(N:N),100%)</f>
        <v>1</v>
      </c>
      <c r="Q140" s="38">
        <f>df_mep[[#This Row],[MEP_compra_USD]]/MEDIAN(O:O)-1</f>
        <v>-1</v>
      </c>
      <c r="R14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0" s="38">
        <f>ABS(df_mep[[#This Row],[bid_BA]]-df_mep[[#This Row],[ask_BA]])/AVERAGE(df_mep[[#This Row],[bid_BA]:[ask_BA]])</f>
        <v>2.8420687796048831E-2</v>
      </c>
      <c r="T140" s="36" t="e">
        <f>ABS(df_mep[[#This Row],[bid_D_BA]]-df_mep[[#This Row],[ask_D_BA]])/AVERAGE(df_mep[[#This Row],[bid_D_BA]:[ask_D_BA]])</f>
        <v>#DIV/0!</v>
      </c>
    </row>
    <row r="141" spans="1:20" hidden="1" x14ac:dyDescent="0.35">
      <c r="A141" s="55" t="s">
        <v>304</v>
      </c>
      <c r="B141" s="55" t="s">
        <v>81</v>
      </c>
      <c r="C141" s="4">
        <v>2150</v>
      </c>
      <c r="D141" s="4">
        <v>2122</v>
      </c>
      <c r="E141" s="4">
        <v>2077</v>
      </c>
      <c r="I141" s="5">
        <v>788</v>
      </c>
      <c r="J141" s="5">
        <f>df_mep[[#This Row],[volume_BA]]*df_mep[[#This Row],[open_BA]]</f>
        <v>1694200</v>
      </c>
      <c r="L141" s="5">
        <f>df_mep[[#This Row],[volume_D_BA]]*df_mep[[#This Row],[open_D_BA]]</f>
        <v>0</v>
      </c>
      <c r="P141" s="37">
        <f>MIN(1-df_mep[[#This Row],[MEP_compra_ARS]]/MEDIAN(N:N),100%)</f>
        <v>1</v>
      </c>
      <c r="Q141" s="38">
        <f>df_mep[[#This Row],[MEP_compra_USD]]/MEDIAN(O:O)-1</f>
        <v>-1</v>
      </c>
      <c r="R14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1" s="38">
        <f>ABS(df_mep[[#This Row],[bid_BA]]-df_mep[[#This Row],[ask_BA]])/AVERAGE(df_mep[[#This Row],[bid_BA]:[ask_BA]])</f>
        <v>2.1433674684448678E-2</v>
      </c>
      <c r="T141" s="36" t="e">
        <f>ABS(df_mep[[#This Row],[bid_D_BA]]-df_mep[[#This Row],[ask_D_BA]])/AVERAGE(df_mep[[#This Row],[bid_D_BA]:[ask_D_BA]])</f>
        <v>#DIV/0!</v>
      </c>
    </row>
    <row r="142" spans="1:20" hidden="1" x14ac:dyDescent="0.35">
      <c r="A142" s="55" t="s">
        <v>305</v>
      </c>
      <c r="B142" s="55" t="s">
        <v>81</v>
      </c>
      <c r="C142" s="4">
        <v>21800</v>
      </c>
      <c r="D142" s="4">
        <v>22266.5</v>
      </c>
      <c r="E142" s="4">
        <v>21827.5</v>
      </c>
      <c r="I142" s="5">
        <v>167</v>
      </c>
      <c r="J142" s="5">
        <f>df_mep[[#This Row],[volume_BA]]*df_mep[[#This Row],[open_BA]]</f>
        <v>3640600</v>
      </c>
      <c r="L142" s="5">
        <f>df_mep[[#This Row],[volume_D_BA]]*df_mep[[#This Row],[open_D_BA]]</f>
        <v>0</v>
      </c>
      <c r="P142" s="37">
        <f>MIN(1-df_mep[[#This Row],[MEP_compra_ARS]]/MEDIAN(N:N),100%)</f>
        <v>1</v>
      </c>
      <c r="Q142" s="38">
        <f>df_mep[[#This Row],[MEP_compra_USD]]/MEDIAN(O:O)-1</f>
        <v>-1</v>
      </c>
      <c r="R14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2" s="38">
        <f>ABS(df_mep[[#This Row],[bid_BA]]-df_mep[[#This Row],[ask_BA]])/AVERAGE(df_mep[[#This Row],[bid_BA]:[ask_BA]])</f>
        <v>1.9912006168639723E-2</v>
      </c>
      <c r="T142" s="36" t="e">
        <f>ABS(df_mep[[#This Row],[bid_D_BA]]-df_mep[[#This Row],[ask_D_BA]])/AVERAGE(df_mep[[#This Row],[bid_D_BA]:[ask_D_BA]])</f>
        <v>#DIV/0!</v>
      </c>
    </row>
    <row r="143" spans="1:20" hidden="1" x14ac:dyDescent="0.35">
      <c r="A143" s="55" t="s">
        <v>306</v>
      </c>
      <c r="B143" s="55" t="s">
        <v>81</v>
      </c>
      <c r="C143" s="4">
        <v>11006.5</v>
      </c>
      <c r="D143" s="4">
        <v>11245.5</v>
      </c>
      <c r="E143" s="4">
        <v>11123.5</v>
      </c>
      <c r="I143" s="5">
        <v>889</v>
      </c>
      <c r="J143" s="5">
        <f>df_mep[[#This Row],[volume_BA]]*df_mep[[#This Row],[open_BA]]</f>
        <v>9784778.5</v>
      </c>
      <c r="L143" s="5">
        <f>df_mep[[#This Row],[volume_D_BA]]*df_mep[[#This Row],[open_D_BA]]</f>
        <v>0</v>
      </c>
      <c r="P143" s="37">
        <f>MIN(1-df_mep[[#This Row],[MEP_compra_ARS]]/MEDIAN(N:N),100%)</f>
        <v>1</v>
      </c>
      <c r="Q143" s="38">
        <f>df_mep[[#This Row],[MEP_compra_USD]]/MEDIAN(O:O)-1</f>
        <v>-1</v>
      </c>
      <c r="R14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3" s="38">
        <f>ABS(df_mep[[#This Row],[bid_BA]]-df_mep[[#This Row],[ask_BA]])/AVERAGE(df_mep[[#This Row],[bid_BA]:[ask_BA]])</f>
        <v>1.0907952970628996E-2</v>
      </c>
      <c r="T143" s="36" t="e">
        <f>ABS(df_mep[[#This Row],[bid_D_BA]]-df_mep[[#This Row],[ask_D_BA]])/AVERAGE(df_mep[[#This Row],[bid_D_BA]:[ask_D_BA]])</f>
        <v>#DIV/0!</v>
      </c>
    </row>
    <row r="144" spans="1:20" hidden="1" x14ac:dyDescent="0.35">
      <c r="A144" s="55" t="s">
        <v>307</v>
      </c>
      <c r="B144" s="55" t="s">
        <v>81</v>
      </c>
      <c r="C144" s="4">
        <v>11298</v>
      </c>
      <c r="D144" s="4">
        <v>10861</v>
      </c>
      <c r="E144" s="4">
        <v>10510</v>
      </c>
      <c r="I144" s="5">
        <v>4487</v>
      </c>
      <c r="J144" s="5">
        <f>df_mep[[#This Row],[volume_BA]]*df_mep[[#This Row],[open_BA]]</f>
        <v>50694126</v>
      </c>
      <c r="L144" s="5">
        <f>df_mep[[#This Row],[volume_D_BA]]*df_mep[[#This Row],[open_D_BA]]</f>
        <v>0</v>
      </c>
      <c r="P144" s="37">
        <f>MIN(1-df_mep[[#This Row],[MEP_compra_ARS]]/MEDIAN(N:N),100%)</f>
        <v>1</v>
      </c>
      <c r="Q144" s="38">
        <f>df_mep[[#This Row],[MEP_compra_USD]]/MEDIAN(O:O)-1</f>
        <v>-1</v>
      </c>
      <c r="R14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4" s="38">
        <f>ABS(df_mep[[#This Row],[bid_BA]]-df_mep[[#This Row],[ask_BA]])/AVERAGE(df_mep[[#This Row],[bid_BA]:[ask_BA]])</f>
        <v>3.2848252304524823E-2</v>
      </c>
      <c r="T144" s="36" t="e">
        <f>ABS(df_mep[[#This Row],[bid_D_BA]]-df_mep[[#This Row],[ask_D_BA]])/AVERAGE(df_mep[[#This Row],[bid_D_BA]:[ask_D_BA]])</f>
        <v>#DIV/0!</v>
      </c>
    </row>
    <row r="145" spans="1:20" hidden="1" x14ac:dyDescent="0.35">
      <c r="A145" s="55" t="s">
        <v>308</v>
      </c>
      <c r="B145" s="55" t="s">
        <v>81</v>
      </c>
      <c r="C145" s="4">
        <v>5900</v>
      </c>
      <c r="D145" s="4">
        <v>5893.5</v>
      </c>
      <c r="E145" s="4">
        <v>5822</v>
      </c>
      <c r="I145" s="5">
        <v>1310</v>
      </c>
      <c r="J145" s="5">
        <f>df_mep[[#This Row],[volume_BA]]*df_mep[[#This Row],[open_BA]]</f>
        <v>7729000</v>
      </c>
      <c r="L145" s="5">
        <f>df_mep[[#This Row],[volume_D_BA]]*df_mep[[#This Row],[open_D_BA]]</f>
        <v>0</v>
      </c>
      <c r="P145" s="37">
        <f>MIN(1-df_mep[[#This Row],[MEP_compra_ARS]]/MEDIAN(N:N),100%)</f>
        <v>1</v>
      </c>
      <c r="Q145" s="38">
        <f>df_mep[[#This Row],[MEP_compra_USD]]/MEDIAN(O:O)-1</f>
        <v>-1</v>
      </c>
      <c r="R14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5" s="38">
        <f>ABS(df_mep[[#This Row],[bid_BA]]-df_mep[[#This Row],[ask_BA]])/AVERAGE(df_mep[[#This Row],[bid_BA]:[ask_BA]])</f>
        <v>1.2206051811702446E-2</v>
      </c>
      <c r="T145" s="36" t="e">
        <f>ABS(df_mep[[#This Row],[bid_D_BA]]-df_mep[[#This Row],[ask_D_BA]])/AVERAGE(df_mep[[#This Row],[bid_D_BA]:[ask_D_BA]])</f>
        <v>#DIV/0!</v>
      </c>
    </row>
    <row r="146" spans="1:20" hidden="1" x14ac:dyDescent="0.35">
      <c r="A146" s="55" t="s">
        <v>309</v>
      </c>
      <c r="B146" s="55" t="s">
        <v>81</v>
      </c>
      <c r="C146" s="4">
        <v>14450.5</v>
      </c>
      <c r="D146" s="4">
        <v>14425</v>
      </c>
      <c r="E146" s="4">
        <v>14126</v>
      </c>
      <c r="I146" s="5">
        <v>11</v>
      </c>
      <c r="J146" s="5">
        <f>df_mep[[#This Row],[volume_BA]]*df_mep[[#This Row],[open_BA]]</f>
        <v>158955.5</v>
      </c>
      <c r="L146" s="5">
        <f>df_mep[[#This Row],[volume_D_BA]]*df_mep[[#This Row],[open_D_BA]]</f>
        <v>0</v>
      </c>
      <c r="P146" s="37">
        <f>MIN(1-df_mep[[#This Row],[MEP_compra_ARS]]/MEDIAN(N:N),100%)</f>
        <v>1</v>
      </c>
      <c r="Q146" s="38">
        <f>df_mep[[#This Row],[MEP_compra_USD]]/MEDIAN(O:O)-1</f>
        <v>-1</v>
      </c>
      <c r="R14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6" s="38">
        <f>ABS(df_mep[[#This Row],[bid_BA]]-df_mep[[#This Row],[ask_BA]])/AVERAGE(df_mep[[#This Row],[bid_BA]:[ask_BA]])</f>
        <v>2.0944975657595181E-2</v>
      </c>
      <c r="T146" s="36" t="e">
        <f>ABS(df_mep[[#This Row],[bid_D_BA]]-df_mep[[#This Row],[ask_D_BA]])/AVERAGE(df_mep[[#This Row],[bid_D_BA]:[ask_D_BA]])</f>
        <v>#DIV/0!</v>
      </c>
    </row>
    <row r="147" spans="1:20" hidden="1" x14ac:dyDescent="0.35">
      <c r="A147" s="55" t="s">
        <v>310</v>
      </c>
      <c r="B147" s="55" t="s">
        <v>81</v>
      </c>
      <c r="C147" s="4">
        <v>24223.5</v>
      </c>
      <c r="D147" s="4">
        <v>24252</v>
      </c>
      <c r="E147" s="4">
        <v>23764</v>
      </c>
      <c r="I147" s="5">
        <v>149</v>
      </c>
      <c r="J147" s="5">
        <f>df_mep[[#This Row],[volume_BA]]*df_mep[[#This Row],[open_BA]]</f>
        <v>3609301.5</v>
      </c>
      <c r="L147" s="5">
        <f>df_mep[[#This Row],[volume_D_BA]]*df_mep[[#This Row],[open_D_BA]]</f>
        <v>0</v>
      </c>
      <c r="P147" s="37">
        <f>MIN(1-df_mep[[#This Row],[MEP_compra_ARS]]/MEDIAN(N:N),100%)</f>
        <v>1</v>
      </c>
      <c r="Q147" s="38">
        <f>df_mep[[#This Row],[MEP_compra_USD]]/MEDIAN(O:O)-1</f>
        <v>-1</v>
      </c>
      <c r="R14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7" s="38">
        <f>ABS(df_mep[[#This Row],[bid_BA]]-df_mep[[#This Row],[ask_BA]])/AVERAGE(df_mep[[#This Row],[bid_BA]:[ask_BA]])</f>
        <v>2.032655781406198E-2</v>
      </c>
      <c r="T147" s="36" t="e">
        <f>ABS(df_mep[[#This Row],[bid_D_BA]]-df_mep[[#This Row],[ask_D_BA]])/AVERAGE(df_mep[[#This Row],[bid_D_BA]:[ask_D_BA]])</f>
        <v>#DIV/0!</v>
      </c>
    </row>
    <row r="148" spans="1:20" hidden="1" x14ac:dyDescent="0.35">
      <c r="A148" s="55" t="s">
        <v>311</v>
      </c>
      <c r="B148" s="55" t="s">
        <v>81</v>
      </c>
      <c r="C148" s="4">
        <v>1775</v>
      </c>
      <c r="D148" s="4">
        <v>1768</v>
      </c>
      <c r="E148" s="4">
        <v>1760</v>
      </c>
      <c r="I148" s="5">
        <v>324</v>
      </c>
      <c r="J148" s="5">
        <f>df_mep[[#This Row],[volume_BA]]*df_mep[[#This Row],[open_BA]]</f>
        <v>575100</v>
      </c>
      <c r="L148" s="5">
        <f>df_mep[[#This Row],[volume_D_BA]]*df_mep[[#This Row],[open_D_BA]]</f>
        <v>0</v>
      </c>
      <c r="P148" s="37">
        <f>MIN(1-df_mep[[#This Row],[MEP_compra_ARS]]/MEDIAN(N:N),100%)</f>
        <v>1</v>
      </c>
      <c r="Q148" s="38">
        <f>df_mep[[#This Row],[MEP_compra_USD]]/MEDIAN(O:O)-1</f>
        <v>-1</v>
      </c>
      <c r="R14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8" s="38">
        <f>ABS(df_mep[[#This Row],[bid_BA]]-df_mep[[#This Row],[ask_BA]])/AVERAGE(df_mep[[#This Row],[bid_BA]:[ask_BA]])</f>
        <v>4.5351473922902496E-3</v>
      </c>
      <c r="T148" s="36" t="e">
        <f>ABS(df_mep[[#This Row],[bid_D_BA]]-df_mep[[#This Row],[ask_D_BA]])/AVERAGE(df_mep[[#This Row],[bid_D_BA]:[ask_D_BA]])</f>
        <v>#DIV/0!</v>
      </c>
    </row>
    <row r="149" spans="1:20" hidden="1" x14ac:dyDescent="0.35">
      <c r="A149" s="55" t="s">
        <v>312</v>
      </c>
      <c r="B149" s="55" t="s">
        <v>81</v>
      </c>
      <c r="C149" s="4">
        <v>8001</v>
      </c>
      <c r="D149" s="4">
        <v>7966.5</v>
      </c>
      <c r="E149" s="4">
        <v>7811.5</v>
      </c>
      <c r="I149" s="5">
        <v>4724</v>
      </c>
      <c r="J149" s="5">
        <f>df_mep[[#This Row],[volume_BA]]*df_mep[[#This Row],[open_BA]]</f>
        <v>37796724</v>
      </c>
      <c r="L149" s="5">
        <f>df_mep[[#This Row],[volume_D_BA]]*df_mep[[#This Row],[open_D_BA]]</f>
        <v>0</v>
      </c>
      <c r="P149" s="37">
        <f>MIN(1-df_mep[[#This Row],[MEP_compra_ARS]]/MEDIAN(N:N),100%)</f>
        <v>1</v>
      </c>
      <c r="Q149" s="38">
        <f>df_mep[[#This Row],[MEP_compra_USD]]/MEDIAN(O:O)-1</f>
        <v>-1</v>
      </c>
      <c r="R14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49" s="38">
        <f>ABS(df_mep[[#This Row],[bid_BA]]-df_mep[[#This Row],[ask_BA]])/AVERAGE(df_mep[[#This Row],[bid_BA]:[ask_BA]])</f>
        <v>1.9647610597033845E-2</v>
      </c>
      <c r="T149" s="36" t="e">
        <f>ABS(df_mep[[#This Row],[bid_D_BA]]-df_mep[[#This Row],[ask_D_BA]])/AVERAGE(df_mep[[#This Row],[bid_D_BA]:[ask_D_BA]])</f>
        <v>#DIV/0!</v>
      </c>
    </row>
    <row r="150" spans="1:20" hidden="1" x14ac:dyDescent="0.35">
      <c r="A150" s="55" t="s">
        <v>313</v>
      </c>
      <c r="B150" s="55" t="s">
        <v>81</v>
      </c>
      <c r="C150" s="4">
        <v>7734.5</v>
      </c>
      <c r="D150" s="4">
        <v>7685.5</v>
      </c>
      <c r="E150" s="4">
        <v>7680</v>
      </c>
      <c r="I150" s="5">
        <v>6</v>
      </c>
      <c r="J150" s="5">
        <f>df_mep[[#This Row],[volume_BA]]*df_mep[[#This Row],[open_BA]]</f>
        <v>46407</v>
      </c>
      <c r="L150" s="5">
        <f>df_mep[[#This Row],[volume_D_BA]]*df_mep[[#This Row],[open_D_BA]]</f>
        <v>0</v>
      </c>
      <c r="P150" s="37">
        <f>MIN(1-df_mep[[#This Row],[MEP_compra_ARS]]/MEDIAN(N:N),100%)</f>
        <v>1</v>
      </c>
      <c r="Q150" s="38">
        <f>df_mep[[#This Row],[MEP_compra_USD]]/MEDIAN(O:O)-1</f>
        <v>-1</v>
      </c>
      <c r="R15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0" s="38">
        <f>ABS(df_mep[[#This Row],[bid_BA]]-df_mep[[#This Row],[ask_BA]])/AVERAGE(df_mep[[#This Row],[bid_BA]:[ask_BA]])</f>
        <v>7.1588949269467308E-4</v>
      </c>
      <c r="T150" s="36" t="e">
        <f>ABS(df_mep[[#This Row],[bid_D_BA]]-df_mep[[#This Row],[ask_D_BA]])/AVERAGE(df_mep[[#This Row],[bid_D_BA]:[ask_D_BA]])</f>
        <v>#DIV/0!</v>
      </c>
    </row>
    <row r="151" spans="1:20" hidden="1" x14ac:dyDescent="0.35">
      <c r="A151" s="55" t="s">
        <v>314</v>
      </c>
      <c r="B151" s="55" t="s">
        <v>81</v>
      </c>
      <c r="C151" s="4">
        <v>26763.5</v>
      </c>
      <c r="D151" s="4">
        <v>26839.5</v>
      </c>
      <c r="E151" s="4">
        <v>26157</v>
      </c>
      <c r="I151" s="5">
        <v>24</v>
      </c>
      <c r="J151" s="5">
        <f>df_mep[[#This Row],[volume_BA]]*df_mep[[#This Row],[open_BA]]</f>
        <v>642324</v>
      </c>
      <c r="L151" s="5">
        <f>df_mep[[#This Row],[volume_D_BA]]*df_mep[[#This Row],[open_D_BA]]</f>
        <v>0</v>
      </c>
      <c r="P151" s="37">
        <f>MIN(1-df_mep[[#This Row],[MEP_compra_ARS]]/MEDIAN(N:N),100%)</f>
        <v>1</v>
      </c>
      <c r="Q151" s="38">
        <f>df_mep[[#This Row],[MEP_compra_USD]]/MEDIAN(O:O)-1</f>
        <v>-1</v>
      </c>
      <c r="R15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1" s="38">
        <f>ABS(df_mep[[#This Row],[bid_BA]]-df_mep[[#This Row],[ask_BA]])/AVERAGE(df_mep[[#This Row],[bid_BA]:[ask_BA]])</f>
        <v>2.575641787665223E-2</v>
      </c>
      <c r="T151" s="36" t="e">
        <f>ABS(df_mep[[#This Row],[bid_D_BA]]-df_mep[[#This Row],[ask_D_BA]])/AVERAGE(df_mep[[#This Row],[bid_D_BA]:[ask_D_BA]])</f>
        <v>#DIV/0!</v>
      </c>
    </row>
    <row r="152" spans="1:20" hidden="1" x14ac:dyDescent="0.35">
      <c r="A152" s="55" t="s">
        <v>315</v>
      </c>
      <c r="B152" s="55" t="s">
        <v>81</v>
      </c>
      <c r="C152" s="4">
        <v>10808</v>
      </c>
      <c r="D152" s="4">
        <v>10845</v>
      </c>
      <c r="E152" s="4">
        <v>10589</v>
      </c>
      <c r="I152" s="5">
        <v>86</v>
      </c>
      <c r="J152" s="5">
        <f>df_mep[[#This Row],[volume_BA]]*df_mep[[#This Row],[open_BA]]</f>
        <v>929488</v>
      </c>
      <c r="L152" s="5">
        <f>df_mep[[#This Row],[volume_D_BA]]*df_mep[[#This Row],[open_D_BA]]</f>
        <v>0</v>
      </c>
      <c r="P152" s="37">
        <f>MIN(1-df_mep[[#This Row],[MEP_compra_ARS]]/MEDIAN(N:N),100%)</f>
        <v>1</v>
      </c>
      <c r="Q152" s="38">
        <f>df_mep[[#This Row],[MEP_compra_USD]]/MEDIAN(O:O)-1</f>
        <v>-1</v>
      </c>
      <c r="R15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2" s="38">
        <f>ABS(df_mep[[#This Row],[bid_BA]]-df_mep[[#This Row],[ask_BA]])/AVERAGE(df_mep[[#This Row],[bid_BA]:[ask_BA]])</f>
        <v>2.3887281888588224E-2</v>
      </c>
      <c r="T152" s="36" t="e">
        <f>ABS(df_mep[[#This Row],[bid_D_BA]]-df_mep[[#This Row],[ask_D_BA]])/AVERAGE(df_mep[[#This Row],[bid_D_BA]:[ask_D_BA]])</f>
        <v>#DIV/0!</v>
      </c>
    </row>
    <row r="153" spans="1:20" hidden="1" x14ac:dyDescent="0.35">
      <c r="A153" s="55" t="s">
        <v>316</v>
      </c>
      <c r="B153" s="55" t="s">
        <v>81</v>
      </c>
      <c r="C153" s="4">
        <v>2260</v>
      </c>
      <c r="D153" s="4">
        <v>2313</v>
      </c>
      <c r="E153" s="4">
        <v>2260</v>
      </c>
      <c r="I153" s="5">
        <v>667</v>
      </c>
      <c r="J153" s="5">
        <f>df_mep[[#This Row],[volume_BA]]*df_mep[[#This Row],[open_BA]]</f>
        <v>1507420</v>
      </c>
      <c r="L153" s="5">
        <f>df_mep[[#This Row],[volume_D_BA]]*df_mep[[#This Row],[open_D_BA]]</f>
        <v>0</v>
      </c>
      <c r="P153" s="37">
        <f>MIN(1-df_mep[[#This Row],[MEP_compra_ARS]]/MEDIAN(N:N),100%)</f>
        <v>1</v>
      </c>
      <c r="Q153" s="38">
        <f>df_mep[[#This Row],[MEP_compra_USD]]/MEDIAN(O:O)-1</f>
        <v>-1</v>
      </c>
      <c r="R15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3" s="38">
        <f>ABS(df_mep[[#This Row],[bid_BA]]-df_mep[[#This Row],[ask_BA]])/AVERAGE(df_mep[[#This Row],[bid_BA]:[ask_BA]])</f>
        <v>2.3179532035862673E-2</v>
      </c>
      <c r="T153" s="36" t="e">
        <f>ABS(df_mep[[#This Row],[bid_D_BA]]-df_mep[[#This Row],[ask_D_BA]])/AVERAGE(df_mep[[#This Row],[bid_D_BA]:[ask_D_BA]])</f>
        <v>#DIV/0!</v>
      </c>
    </row>
    <row r="154" spans="1:20" hidden="1" x14ac:dyDescent="0.35">
      <c r="A154" s="55" t="s">
        <v>317</v>
      </c>
      <c r="B154" s="55" t="s">
        <v>81</v>
      </c>
      <c r="C154" s="4">
        <v>11850</v>
      </c>
      <c r="D154" s="4">
        <v>11408.5</v>
      </c>
      <c r="E154" s="4">
        <v>11179</v>
      </c>
      <c r="I154" s="5">
        <v>588</v>
      </c>
      <c r="J154" s="5">
        <f>df_mep[[#This Row],[volume_BA]]*df_mep[[#This Row],[open_BA]]</f>
        <v>6967800</v>
      </c>
      <c r="L154" s="5">
        <f>df_mep[[#This Row],[volume_D_BA]]*df_mep[[#This Row],[open_D_BA]]</f>
        <v>0</v>
      </c>
      <c r="P154" s="37">
        <f>MIN(1-df_mep[[#This Row],[MEP_compra_ARS]]/MEDIAN(N:N),100%)</f>
        <v>1</v>
      </c>
      <c r="Q154" s="38">
        <f>df_mep[[#This Row],[MEP_compra_USD]]/MEDIAN(O:O)-1</f>
        <v>-1</v>
      </c>
      <c r="R15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4" s="38">
        <f>ABS(df_mep[[#This Row],[bid_BA]]-df_mep[[#This Row],[ask_BA]])/AVERAGE(df_mep[[#This Row],[bid_BA]:[ask_BA]])</f>
        <v>2.0320973990038738E-2</v>
      </c>
      <c r="T154" s="36" t="e">
        <f>ABS(df_mep[[#This Row],[bid_D_BA]]-df_mep[[#This Row],[ask_D_BA]])/AVERAGE(df_mep[[#This Row],[bid_D_BA]:[ask_D_BA]])</f>
        <v>#DIV/0!</v>
      </c>
    </row>
    <row r="155" spans="1:20" hidden="1" x14ac:dyDescent="0.35">
      <c r="A155" s="55" t="s">
        <v>318</v>
      </c>
      <c r="B155" s="55" t="s">
        <v>81</v>
      </c>
      <c r="C155" s="4">
        <v>23850</v>
      </c>
      <c r="D155" s="4">
        <v>24002</v>
      </c>
      <c r="E155" s="4">
        <v>23520.5</v>
      </c>
      <c r="I155" s="5">
        <v>516</v>
      </c>
      <c r="J155" s="5">
        <f>df_mep[[#This Row],[volume_BA]]*df_mep[[#This Row],[open_BA]]</f>
        <v>12306600</v>
      </c>
      <c r="L155" s="5">
        <f>df_mep[[#This Row],[volume_D_BA]]*df_mep[[#This Row],[open_D_BA]]</f>
        <v>0</v>
      </c>
      <c r="P155" s="37">
        <f>MIN(1-df_mep[[#This Row],[MEP_compra_ARS]]/MEDIAN(N:N),100%)</f>
        <v>1</v>
      </c>
      <c r="Q155" s="38">
        <f>df_mep[[#This Row],[MEP_compra_USD]]/MEDIAN(O:O)-1</f>
        <v>-1</v>
      </c>
      <c r="R15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5" s="38">
        <f>ABS(df_mep[[#This Row],[bid_BA]]-df_mep[[#This Row],[ask_BA]])/AVERAGE(df_mep[[#This Row],[bid_BA]:[ask_BA]])</f>
        <v>2.0264085433215846E-2</v>
      </c>
      <c r="T155" s="36" t="e">
        <f>ABS(df_mep[[#This Row],[bid_D_BA]]-df_mep[[#This Row],[ask_D_BA]])/AVERAGE(df_mep[[#This Row],[bid_D_BA]:[ask_D_BA]])</f>
        <v>#DIV/0!</v>
      </c>
    </row>
    <row r="156" spans="1:20" hidden="1" x14ac:dyDescent="0.35">
      <c r="A156" s="55" t="s">
        <v>319</v>
      </c>
      <c r="B156" s="55" t="s">
        <v>81</v>
      </c>
      <c r="C156" s="4">
        <v>16500</v>
      </c>
      <c r="D156" s="4">
        <v>17030.5</v>
      </c>
      <c r="E156" s="4">
        <v>16676</v>
      </c>
      <c r="I156" s="5">
        <v>24</v>
      </c>
      <c r="J156" s="5">
        <f>df_mep[[#This Row],[volume_BA]]*df_mep[[#This Row],[open_BA]]</f>
        <v>396000</v>
      </c>
      <c r="L156" s="5">
        <f>df_mep[[#This Row],[volume_D_BA]]*df_mep[[#This Row],[open_D_BA]]</f>
        <v>0</v>
      </c>
      <c r="P156" s="37">
        <f>MIN(1-df_mep[[#This Row],[MEP_compra_ARS]]/MEDIAN(N:N),100%)</f>
        <v>1</v>
      </c>
      <c r="Q156" s="38">
        <f>df_mep[[#This Row],[MEP_compra_USD]]/MEDIAN(O:O)-1</f>
        <v>-1</v>
      </c>
      <c r="R15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6" s="38">
        <f>ABS(df_mep[[#This Row],[bid_BA]]-df_mep[[#This Row],[ask_BA]])/AVERAGE(df_mep[[#This Row],[bid_BA]:[ask_BA]])</f>
        <v>2.1034518564668536E-2</v>
      </c>
      <c r="T156" s="36" t="e">
        <f>ABS(df_mep[[#This Row],[bid_D_BA]]-df_mep[[#This Row],[ask_D_BA]])/AVERAGE(df_mep[[#This Row],[bid_D_BA]:[ask_D_BA]])</f>
        <v>#DIV/0!</v>
      </c>
    </row>
    <row r="157" spans="1:20" hidden="1" x14ac:dyDescent="0.35">
      <c r="A157" s="55" t="s">
        <v>320</v>
      </c>
      <c r="B157" s="55" t="s">
        <v>81</v>
      </c>
      <c r="C157" s="4">
        <v>48305</v>
      </c>
      <c r="D157" s="4">
        <v>47350</v>
      </c>
      <c r="E157" s="4">
        <v>47180</v>
      </c>
      <c r="I157" s="5">
        <v>83</v>
      </c>
      <c r="J157" s="5">
        <f>df_mep[[#This Row],[volume_BA]]*df_mep[[#This Row],[open_BA]]</f>
        <v>4009315</v>
      </c>
      <c r="L157" s="5">
        <f>df_mep[[#This Row],[volume_D_BA]]*df_mep[[#This Row],[open_D_BA]]</f>
        <v>0</v>
      </c>
      <c r="P157" s="37">
        <f>MIN(1-df_mep[[#This Row],[MEP_compra_ARS]]/MEDIAN(N:N),100%)</f>
        <v>1</v>
      </c>
      <c r="Q157" s="38">
        <f>df_mep[[#This Row],[MEP_compra_USD]]/MEDIAN(O:O)-1</f>
        <v>-1</v>
      </c>
      <c r="R15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7" s="38">
        <f>ABS(df_mep[[#This Row],[bid_BA]]-df_mep[[#This Row],[ask_BA]])/AVERAGE(df_mep[[#This Row],[bid_BA]:[ask_BA]])</f>
        <v>3.5967417750978527E-3</v>
      </c>
      <c r="T157" s="36" t="e">
        <f>ABS(df_mep[[#This Row],[bid_D_BA]]-df_mep[[#This Row],[ask_D_BA]])/AVERAGE(df_mep[[#This Row],[bid_D_BA]:[ask_D_BA]])</f>
        <v>#DIV/0!</v>
      </c>
    </row>
    <row r="158" spans="1:20" hidden="1" x14ac:dyDescent="0.35">
      <c r="A158" s="55" t="s">
        <v>321</v>
      </c>
      <c r="B158" s="55" t="s">
        <v>81</v>
      </c>
      <c r="C158" s="4">
        <v>13558</v>
      </c>
      <c r="D158" s="4">
        <v>13448</v>
      </c>
      <c r="E158" s="4">
        <v>12796.5</v>
      </c>
      <c r="I158" s="5">
        <v>698</v>
      </c>
      <c r="J158" s="5">
        <f>df_mep[[#This Row],[volume_BA]]*df_mep[[#This Row],[open_BA]]</f>
        <v>9463484</v>
      </c>
      <c r="L158" s="5">
        <f>df_mep[[#This Row],[volume_D_BA]]*df_mep[[#This Row],[open_D_BA]]</f>
        <v>0</v>
      </c>
      <c r="P158" s="37">
        <f>MIN(1-df_mep[[#This Row],[MEP_compra_ARS]]/MEDIAN(N:N),100%)</f>
        <v>1</v>
      </c>
      <c r="Q158" s="38">
        <f>df_mep[[#This Row],[MEP_compra_USD]]/MEDIAN(O:O)-1</f>
        <v>-1</v>
      </c>
      <c r="R15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8" s="38">
        <f>ABS(df_mep[[#This Row],[bid_BA]]-df_mep[[#This Row],[ask_BA]])/AVERAGE(df_mep[[#This Row],[bid_BA]:[ask_BA]])</f>
        <v>4.9648497780487341E-2</v>
      </c>
      <c r="T158" s="36" t="e">
        <f>ABS(df_mep[[#This Row],[bid_D_BA]]-df_mep[[#This Row],[ask_D_BA]])/AVERAGE(df_mep[[#This Row],[bid_D_BA]:[ask_D_BA]])</f>
        <v>#DIV/0!</v>
      </c>
    </row>
    <row r="159" spans="1:20" hidden="1" x14ac:dyDescent="0.35">
      <c r="A159" s="55" t="s">
        <v>322</v>
      </c>
      <c r="B159" s="55" t="s">
        <v>81</v>
      </c>
      <c r="C159" s="4">
        <v>12444.5</v>
      </c>
      <c r="D159" s="4">
        <v>12652</v>
      </c>
      <c r="E159" s="4">
        <v>12333.5</v>
      </c>
      <c r="I159" s="5">
        <v>420</v>
      </c>
      <c r="J159" s="5">
        <f>df_mep[[#This Row],[volume_BA]]*df_mep[[#This Row],[open_BA]]</f>
        <v>5226690</v>
      </c>
      <c r="L159" s="5">
        <f>df_mep[[#This Row],[volume_D_BA]]*df_mep[[#This Row],[open_D_BA]]</f>
        <v>0</v>
      </c>
      <c r="P159" s="37">
        <f>MIN(1-df_mep[[#This Row],[MEP_compra_ARS]]/MEDIAN(N:N),100%)</f>
        <v>1</v>
      </c>
      <c r="Q159" s="38">
        <f>df_mep[[#This Row],[MEP_compra_USD]]/MEDIAN(O:O)-1</f>
        <v>-1</v>
      </c>
      <c r="R15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59" s="38">
        <f>ABS(df_mep[[#This Row],[bid_BA]]-df_mep[[#This Row],[ask_BA]])/AVERAGE(df_mep[[#This Row],[bid_BA]:[ask_BA]])</f>
        <v>2.5494786976446339E-2</v>
      </c>
      <c r="T159" s="36" t="e">
        <f>ABS(df_mep[[#This Row],[bid_D_BA]]-df_mep[[#This Row],[ask_D_BA]])/AVERAGE(df_mep[[#This Row],[bid_D_BA]:[ask_D_BA]])</f>
        <v>#DIV/0!</v>
      </c>
    </row>
    <row r="160" spans="1:20" hidden="1" x14ac:dyDescent="0.35">
      <c r="A160" s="55" t="s">
        <v>323</v>
      </c>
      <c r="B160" s="55" t="s">
        <v>81</v>
      </c>
      <c r="C160" s="4">
        <v>16426</v>
      </c>
      <c r="D160" s="4">
        <v>16586</v>
      </c>
      <c r="E160" s="4">
        <v>16575</v>
      </c>
      <c r="I160" s="5">
        <v>114</v>
      </c>
      <c r="J160" s="5">
        <f>df_mep[[#This Row],[volume_BA]]*df_mep[[#This Row],[open_BA]]</f>
        <v>1872564</v>
      </c>
      <c r="L160" s="5">
        <f>df_mep[[#This Row],[volume_D_BA]]*df_mep[[#This Row],[open_D_BA]]</f>
        <v>0</v>
      </c>
      <c r="P160" s="37">
        <f>MIN(1-df_mep[[#This Row],[MEP_compra_ARS]]/MEDIAN(N:N),100%)</f>
        <v>1</v>
      </c>
      <c r="Q160" s="38">
        <f>df_mep[[#This Row],[MEP_compra_USD]]/MEDIAN(O:O)-1</f>
        <v>-1</v>
      </c>
      <c r="R16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0" s="38">
        <f>ABS(df_mep[[#This Row],[bid_BA]]-df_mep[[#This Row],[ask_BA]])/AVERAGE(df_mep[[#This Row],[bid_BA]:[ask_BA]])</f>
        <v>6.6342993275232958E-4</v>
      </c>
      <c r="T160" s="36" t="e">
        <f>ABS(df_mep[[#This Row],[bid_D_BA]]-df_mep[[#This Row],[ask_D_BA]])/AVERAGE(df_mep[[#This Row],[bid_D_BA]:[ask_D_BA]])</f>
        <v>#DIV/0!</v>
      </c>
    </row>
    <row r="161" spans="1:20" hidden="1" x14ac:dyDescent="0.35">
      <c r="A161" s="55" t="s">
        <v>324</v>
      </c>
      <c r="B161" s="55" t="s">
        <v>81</v>
      </c>
      <c r="C161" s="4">
        <v>6800</v>
      </c>
      <c r="D161" s="4">
        <v>6721</v>
      </c>
      <c r="E161" s="4">
        <v>6660</v>
      </c>
      <c r="I161" s="5">
        <v>65</v>
      </c>
      <c r="J161" s="5">
        <f>df_mep[[#This Row],[volume_BA]]*df_mep[[#This Row],[open_BA]]</f>
        <v>442000</v>
      </c>
      <c r="L161" s="5">
        <f>df_mep[[#This Row],[volume_D_BA]]*df_mep[[#This Row],[open_D_BA]]</f>
        <v>0</v>
      </c>
      <c r="P161" s="37">
        <f>MIN(1-df_mep[[#This Row],[MEP_compra_ARS]]/MEDIAN(N:N),100%)</f>
        <v>1</v>
      </c>
      <c r="Q161" s="38">
        <f>df_mep[[#This Row],[MEP_compra_USD]]/MEDIAN(O:O)-1</f>
        <v>-1</v>
      </c>
      <c r="R16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1" s="38">
        <f>ABS(df_mep[[#This Row],[bid_BA]]-df_mep[[#This Row],[ask_BA]])/AVERAGE(df_mep[[#This Row],[bid_BA]:[ask_BA]])</f>
        <v>9.1174052761378074E-3</v>
      </c>
      <c r="T161" s="36" t="e">
        <f>ABS(df_mep[[#This Row],[bid_D_BA]]-df_mep[[#This Row],[ask_D_BA]])/AVERAGE(df_mep[[#This Row],[bid_D_BA]:[ask_D_BA]])</f>
        <v>#DIV/0!</v>
      </c>
    </row>
    <row r="162" spans="1:20" hidden="1" x14ac:dyDescent="0.35">
      <c r="A162" s="55" t="s">
        <v>325</v>
      </c>
      <c r="B162" s="55" t="s">
        <v>81</v>
      </c>
      <c r="C162" s="4">
        <v>9728</v>
      </c>
      <c r="D162" s="4">
        <v>9984</v>
      </c>
      <c r="E162" s="4">
        <v>9672</v>
      </c>
      <c r="I162" s="5">
        <v>61</v>
      </c>
      <c r="J162" s="5">
        <f>df_mep[[#This Row],[volume_BA]]*df_mep[[#This Row],[open_BA]]</f>
        <v>593408</v>
      </c>
      <c r="L162" s="5">
        <f>df_mep[[#This Row],[volume_D_BA]]*df_mep[[#This Row],[open_D_BA]]</f>
        <v>0</v>
      </c>
      <c r="P162" s="37">
        <f>MIN(1-df_mep[[#This Row],[MEP_compra_ARS]]/MEDIAN(N:N),100%)</f>
        <v>1</v>
      </c>
      <c r="Q162" s="38">
        <f>df_mep[[#This Row],[MEP_compra_USD]]/MEDIAN(O:O)-1</f>
        <v>-1</v>
      </c>
      <c r="R16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2" s="38">
        <f>ABS(df_mep[[#This Row],[bid_BA]]-df_mep[[#This Row],[ask_BA]])/AVERAGE(df_mep[[#This Row],[bid_BA]:[ask_BA]])</f>
        <v>3.1746031746031744E-2</v>
      </c>
      <c r="T162" s="36" t="e">
        <f>ABS(df_mep[[#This Row],[bid_D_BA]]-df_mep[[#This Row],[ask_D_BA]])/AVERAGE(df_mep[[#This Row],[bid_D_BA]:[ask_D_BA]])</f>
        <v>#DIV/0!</v>
      </c>
    </row>
    <row r="163" spans="1:20" hidden="1" x14ac:dyDescent="0.35">
      <c r="A163" s="55" t="s">
        <v>326</v>
      </c>
      <c r="B163" s="55" t="s">
        <v>81</v>
      </c>
      <c r="C163" s="4">
        <v>34190</v>
      </c>
      <c r="D163" s="4">
        <v>34018</v>
      </c>
      <c r="E163" s="4">
        <v>33559</v>
      </c>
      <c r="I163" s="5">
        <v>11</v>
      </c>
      <c r="J163" s="5">
        <f>df_mep[[#This Row],[volume_BA]]*df_mep[[#This Row],[open_BA]]</f>
        <v>376090</v>
      </c>
      <c r="L163" s="5">
        <f>df_mep[[#This Row],[volume_D_BA]]*df_mep[[#This Row],[open_D_BA]]</f>
        <v>0</v>
      </c>
      <c r="P163" s="37">
        <f>MIN(1-df_mep[[#This Row],[MEP_compra_ARS]]/MEDIAN(N:N),100%)</f>
        <v>1</v>
      </c>
      <c r="Q163" s="38">
        <f>df_mep[[#This Row],[MEP_compra_USD]]/MEDIAN(O:O)-1</f>
        <v>-1</v>
      </c>
      <c r="R16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3" s="38">
        <f>ABS(df_mep[[#This Row],[bid_BA]]-df_mep[[#This Row],[ask_BA]])/AVERAGE(df_mep[[#This Row],[bid_BA]:[ask_BA]])</f>
        <v>1.358450360329698E-2</v>
      </c>
      <c r="T163" s="36" t="e">
        <f>ABS(df_mep[[#This Row],[bid_D_BA]]-df_mep[[#This Row],[ask_D_BA]])/AVERAGE(df_mep[[#This Row],[bid_D_BA]:[ask_D_BA]])</f>
        <v>#DIV/0!</v>
      </c>
    </row>
    <row r="164" spans="1:20" hidden="1" x14ac:dyDescent="0.35">
      <c r="A164" s="55" t="s">
        <v>328</v>
      </c>
      <c r="B164" s="55" t="s">
        <v>81</v>
      </c>
      <c r="C164" s="4">
        <v>19800</v>
      </c>
      <c r="D164" s="4">
        <v>19828</v>
      </c>
      <c r="E164" s="4">
        <v>19429</v>
      </c>
      <c r="I164" s="5">
        <v>45</v>
      </c>
      <c r="J164" s="5">
        <f>df_mep[[#This Row],[volume_BA]]*df_mep[[#This Row],[open_BA]]</f>
        <v>891000</v>
      </c>
      <c r="L164" s="5">
        <f>df_mep[[#This Row],[volume_D_BA]]*df_mep[[#This Row],[open_D_BA]]</f>
        <v>0</v>
      </c>
      <c r="P164" s="37">
        <f>MIN(1-df_mep[[#This Row],[MEP_compra_ARS]]/MEDIAN(N:N),100%)</f>
        <v>1</v>
      </c>
      <c r="Q164" s="38">
        <f>df_mep[[#This Row],[MEP_compra_USD]]/MEDIAN(O:O)-1</f>
        <v>-1</v>
      </c>
      <c r="R16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4" s="38">
        <f>ABS(df_mep[[#This Row],[bid_BA]]-df_mep[[#This Row],[ask_BA]])/AVERAGE(df_mep[[#This Row],[bid_BA]:[ask_BA]])</f>
        <v>2.0327584889319104E-2</v>
      </c>
      <c r="T164" s="36" t="e">
        <f>ABS(df_mep[[#This Row],[bid_D_BA]]-df_mep[[#This Row],[ask_D_BA]])/AVERAGE(df_mep[[#This Row],[bid_D_BA]:[ask_D_BA]])</f>
        <v>#DIV/0!</v>
      </c>
    </row>
    <row r="165" spans="1:20" hidden="1" x14ac:dyDescent="0.35">
      <c r="A165" s="55" t="s">
        <v>329</v>
      </c>
      <c r="B165" s="55" t="s">
        <v>81</v>
      </c>
      <c r="C165" s="4">
        <v>9013</v>
      </c>
      <c r="D165" s="4">
        <v>8737</v>
      </c>
      <c r="E165" s="4">
        <v>8705</v>
      </c>
      <c r="I165" s="5">
        <v>624</v>
      </c>
      <c r="J165" s="5">
        <f>df_mep[[#This Row],[volume_BA]]*df_mep[[#This Row],[open_BA]]</f>
        <v>5624112</v>
      </c>
      <c r="L165" s="5">
        <f>df_mep[[#This Row],[volume_D_BA]]*df_mep[[#This Row],[open_D_BA]]</f>
        <v>0</v>
      </c>
      <c r="P165" s="37">
        <f>MIN(1-df_mep[[#This Row],[MEP_compra_ARS]]/MEDIAN(N:N),100%)</f>
        <v>1</v>
      </c>
      <c r="Q165" s="38">
        <f>df_mep[[#This Row],[MEP_compra_USD]]/MEDIAN(O:O)-1</f>
        <v>-1</v>
      </c>
      <c r="R16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5" s="38">
        <f>ABS(df_mep[[#This Row],[bid_BA]]-df_mep[[#This Row],[ask_BA]])/AVERAGE(df_mep[[#This Row],[bid_BA]:[ask_BA]])</f>
        <v>3.669303978901502E-3</v>
      </c>
      <c r="T165" s="36" t="e">
        <f>ABS(df_mep[[#This Row],[bid_D_BA]]-df_mep[[#This Row],[ask_D_BA]])/AVERAGE(df_mep[[#This Row],[bid_D_BA]:[ask_D_BA]])</f>
        <v>#DIV/0!</v>
      </c>
    </row>
    <row r="166" spans="1:20" hidden="1" x14ac:dyDescent="0.35">
      <c r="A166" s="55" t="s">
        <v>330</v>
      </c>
      <c r="B166" s="55" t="s">
        <v>81</v>
      </c>
      <c r="C166" s="4">
        <v>27838</v>
      </c>
      <c r="D166" s="4">
        <v>28136</v>
      </c>
      <c r="E166" s="4">
        <v>27585.5</v>
      </c>
      <c r="I166" s="5">
        <v>0</v>
      </c>
      <c r="J166" s="5">
        <f>df_mep[[#This Row],[volume_BA]]*df_mep[[#This Row],[open_BA]]</f>
        <v>0</v>
      </c>
      <c r="L166" s="5">
        <f>df_mep[[#This Row],[volume_D_BA]]*df_mep[[#This Row],[open_D_BA]]</f>
        <v>0</v>
      </c>
      <c r="P166" s="37">
        <f>MIN(1-df_mep[[#This Row],[MEP_compra_ARS]]/MEDIAN(N:N),100%)</f>
        <v>1</v>
      </c>
      <c r="Q166" s="38">
        <f>df_mep[[#This Row],[MEP_compra_USD]]/MEDIAN(O:O)-1</f>
        <v>-1</v>
      </c>
      <c r="R16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6" s="38">
        <f>ABS(df_mep[[#This Row],[bid_BA]]-df_mep[[#This Row],[ask_BA]])/AVERAGE(df_mep[[#This Row],[bid_BA]:[ask_BA]])</f>
        <v>1.9758979926958176E-2</v>
      </c>
      <c r="T166" s="36" t="e">
        <f>ABS(df_mep[[#This Row],[bid_D_BA]]-df_mep[[#This Row],[ask_D_BA]])/AVERAGE(df_mep[[#This Row],[bid_D_BA]:[ask_D_BA]])</f>
        <v>#DIV/0!</v>
      </c>
    </row>
    <row r="167" spans="1:20" hidden="1" x14ac:dyDescent="0.35">
      <c r="A167" s="55" t="s">
        <v>331</v>
      </c>
      <c r="B167" s="55" t="s">
        <v>81</v>
      </c>
      <c r="C167" s="4">
        <v>3650</v>
      </c>
      <c r="D167" s="4">
        <v>3520.5</v>
      </c>
      <c r="E167" s="4">
        <v>3502.5</v>
      </c>
      <c r="I167" s="5">
        <v>966</v>
      </c>
      <c r="J167" s="5">
        <f>df_mep[[#This Row],[volume_BA]]*df_mep[[#This Row],[open_BA]]</f>
        <v>3525900</v>
      </c>
      <c r="L167" s="5">
        <f>df_mep[[#This Row],[volume_D_BA]]*df_mep[[#This Row],[open_D_BA]]</f>
        <v>0</v>
      </c>
      <c r="P167" s="37">
        <f>MIN(1-df_mep[[#This Row],[MEP_compra_ARS]]/MEDIAN(N:N),100%)</f>
        <v>1</v>
      </c>
      <c r="Q167" s="38">
        <f>df_mep[[#This Row],[MEP_compra_USD]]/MEDIAN(O:O)-1</f>
        <v>-1</v>
      </c>
      <c r="R16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7" s="38">
        <f>ABS(df_mep[[#This Row],[bid_BA]]-df_mep[[#This Row],[ask_BA]])/AVERAGE(df_mep[[#This Row],[bid_BA]:[ask_BA]])</f>
        <v>5.1260145237078175E-3</v>
      </c>
      <c r="T167" s="36" t="e">
        <f>ABS(df_mep[[#This Row],[bid_D_BA]]-df_mep[[#This Row],[ask_D_BA]])/AVERAGE(df_mep[[#This Row],[bid_D_BA]:[ask_D_BA]])</f>
        <v>#DIV/0!</v>
      </c>
    </row>
    <row r="168" spans="1:20" hidden="1" x14ac:dyDescent="0.35">
      <c r="A168" s="55" t="s">
        <v>332</v>
      </c>
      <c r="B168" s="55" t="s">
        <v>81</v>
      </c>
      <c r="C168" s="4">
        <v>32356</v>
      </c>
      <c r="D168" s="4">
        <v>32508</v>
      </c>
      <c r="E168" s="4">
        <v>31750</v>
      </c>
      <c r="I168" s="5">
        <v>45</v>
      </c>
      <c r="J168" s="5">
        <f>df_mep[[#This Row],[volume_BA]]*df_mep[[#This Row],[open_BA]]</f>
        <v>1456020</v>
      </c>
      <c r="L168" s="5">
        <f>df_mep[[#This Row],[volume_D_BA]]*df_mep[[#This Row],[open_D_BA]]</f>
        <v>0</v>
      </c>
      <c r="P168" s="37">
        <f>MIN(1-df_mep[[#This Row],[MEP_compra_ARS]]/MEDIAN(N:N),100%)</f>
        <v>1</v>
      </c>
      <c r="Q168" s="38">
        <f>df_mep[[#This Row],[MEP_compra_USD]]/MEDIAN(O:O)-1</f>
        <v>-1</v>
      </c>
      <c r="R16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8" s="38">
        <f>ABS(df_mep[[#This Row],[bid_BA]]-df_mep[[#This Row],[ask_BA]])/AVERAGE(df_mep[[#This Row],[bid_BA]:[ask_BA]])</f>
        <v>2.3592393165053377E-2</v>
      </c>
      <c r="T168" s="36" t="e">
        <f>ABS(df_mep[[#This Row],[bid_D_BA]]-df_mep[[#This Row],[ask_D_BA]])/AVERAGE(df_mep[[#This Row],[bid_D_BA]:[ask_D_BA]])</f>
        <v>#DIV/0!</v>
      </c>
    </row>
    <row r="169" spans="1:20" hidden="1" x14ac:dyDescent="0.35">
      <c r="A169" s="55" t="s">
        <v>333</v>
      </c>
      <c r="B169" s="55" t="s">
        <v>81</v>
      </c>
      <c r="C169" s="4">
        <v>9604.5</v>
      </c>
      <c r="D169" s="4">
        <v>9474</v>
      </c>
      <c r="E169" s="4">
        <v>9400</v>
      </c>
      <c r="I169" s="5">
        <v>106</v>
      </c>
      <c r="J169" s="5">
        <f>df_mep[[#This Row],[volume_BA]]*df_mep[[#This Row],[open_BA]]</f>
        <v>1018077</v>
      </c>
      <c r="L169" s="5">
        <f>df_mep[[#This Row],[volume_D_BA]]*df_mep[[#This Row],[open_D_BA]]</f>
        <v>0</v>
      </c>
      <c r="P169" s="37">
        <f>MIN(1-df_mep[[#This Row],[MEP_compra_ARS]]/MEDIAN(N:N),100%)</f>
        <v>1</v>
      </c>
      <c r="Q169" s="38">
        <f>df_mep[[#This Row],[MEP_compra_USD]]/MEDIAN(O:O)-1</f>
        <v>-1</v>
      </c>
      <c r="R16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69" s="38">
        <f>ABS(df_mep[[#This Row],[bid_BA]]-df_mep[[#This Row],[ask_BA]])/AVERAGE(df_mep[[#This Row],[bid_BA]:[ask_BA]])</f>
        <v>7.8414750450354984E-3</v>
      </c>
      <c r="T169" s="36" t="e">
        <f>ABS(df_mep[[#This Row],[bid_D_BA]]-df_mep[[#This Row],[ask_D_BA]])/AVERAGE(df_mep[[#This Row],[bid_D_BA]:[ask_D_BA]])</f>
        <v>#DIV/0!</v>
      </c>
    </row>
    <row r="170" spans="1:20" hidden="1" x14ac:dyDescent="0.35">
      <c r="A170" s="55" t="s">
        <v>334</v>
      </c>
      <c r="B170" s="55" t="s">
        <v>81</v>
      </c>
      <c r="C170" s="4">
        <v>20947</v>
      </c>
      <c r="D170" s="4">
        <v>21939</v>
      </c>
      <c r="E170" s="4">
        <v>21515.5</v>
      </c>
      <c r="I170" s="5">
        <v>2086</v>
      </c>
      <c r="J170" s="5">
        <f>df_mep[[#This Row],[volume_BA]]*df_mep[[#This Row],[open_BA]]</f>
        <v>43695442</v>
      </c>
      <c r="L170" s="5">
        <f>df_mep[[#This Row],[volume_D_BA]]*df_mep[[#This Row],[open_D_BA]]</f>
        <v>0</v>
      </c>
      <c r="P170" s="37">
        <f>MIN(1-df_mep[[#This Row],[MEP_compra_ARS]]/MEDIAN(N:N),100%)</f>
        <v>1</v>
      </c>
      <c r="Q170" s="38">
        <f>df_mep[[#This Row],[MEP_compra_USD]]/MEDIAN(O:O)-1</f>
        <v>-1</v>
      </c>
      <c r="R17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0" s="38">
        <f>ABS(df_mep[[#This Row],[bid_BA]]-df_mep[[#This Row],[ask_BA]])/AVERAGE(df_mep[[#This Row],[bid_BA]:[ask_BA]])</f>
        <v>1.9491652187920698E-2</v>
      </c>
      <c r="T170" s="36" t="e">
        <f>ABS(df_mep[[#This Row],[bid_D_BA]]-df_mep[[#This Row],[ask_D_BA]])/AVERAGE(df_mep[[#This Row],[bid_D_BA]:[ask_D_BA]])</f>
        <v>#DIV/0!</v>
      </c>
    </row>
    <row r="171" spans="1:20" hidden="1" x14ac:dyDescent="0.35">
      <c r="A171" s="55" t="s">
        <v>335</v>
      </c>
      <c r="B171" s="55" t="s">
        <v>81</v>
      </c>
      <c r="C171" s="4">
        <v>25335.5</v>
      </c>
      <c r="D171" s="4">
        <v>25599.5</v>
      </c>
      <c r="E171" s="4">
        <v>23932.5</v>
      </c>
      <c r="I171" s="5">
        <v>1541</v>
      </c>
      <c r="J171" s="5">
        <f>df_mep[[#This Row],[volume_BA]]*df_mep[[#This Row],[open_BA]]</f>
        <v>39042005.5</v>
      </c>
      <c r="L171" s="5">
        <f>df_mep[[#This Row],[volume_D_BA]]*df_mep[[#This Row],[open_D_BA]]</f>
        <v>0</v>
      </c>
      <c r="P171" s="37">
        <f>MIN(1-df_mep[[#This Row],[MEP_compra_ARS]]/MEDIAN(N:N),100%)</f>
        <v>1</v>
      </c>
      <c r="Q171" s="38">
        <f>df_mep[[#This Row],[MEP_compra_USD]]/MEDIAN(O:O)-1</f>
        <v>-1</v>
      </c>
      <c r="R17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1" s="38">
        <f>ABS(df_mep[[#This Row],[bid_BA]]-df_mep[[#This Row],[ask_BA]])/AVERAGE(df_mep[[#This Row],[bid_BA]:[ask_BA]])</f>
        <v>6.7310021804086254E-2</v>
      </c>
      <c r="T171" s="36" t="e">
        <f>ABS(df_mep[[#This Row],[bid_D_BA]]-df_mep[[#This Row],[ask_D_BA]])/AVERAGE(df_mep[[#This Row],[bid_D_BA]:[ask_D_BA]])</f>
        <v>#DIV/0!</v>
      </c>
    </row>
    <row r="172" spans="1:20" hidden="1" x14ac:dyDescent="0.35">
      <c r="A172" s="55" t="s">
        <v>336</v>
      </c>
      <c r="B172" s="55" t="s">
        <v>81</v>
      </c>
      <c r="C172" s="4">
        <v>19148.5</v>
      </c>
      <c r="D172" s="4">
        <v>19246.5</v>
      </c>
      <c r="E172" s="4">
        <v>19072</v>
      </c>
      <c r="I172" s="5">
        <v>41</v>
      </c>
      <c r="J172" s="5">
        <f>df_mep[[#This Row],[volume_BA]]*df_mep[[#This Row],[open_BA]]</f>
        <v>785088.5</v>
      </c>
      <c r="L172" s="5">
        <f>df_mep[[#This Row],[volume_D_BA]]*df_mep[[#This Row],[open_D_BA]]</f>
        <v>0</v>
      </c>
      <c r="P172" s="37">
        <f>MIN(1-df_mep[[#This Row],[MEP_compra_ARS]]/MEDIAN(N:N),100%)</f>
        <v>1</v>
      </c>
      <c r="Q172" s="38">
        <f>df_mep[[#This Row],[MEP_compra_USD]]/MEDIAN(O:O)-1</f>
        <v>-1</v>
      </c>
      <c r="R17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2" s="38">
        <f>ABS(df_mep[[#This Row],[bid_BA]]-df_mep[[#This Row],[ask_BA]])/AVERAGE(df_mep[[#This Row],[bid_BA]:[ask_BA]])</f>
        <v>9.1078721766248687E-3</v>
      </c>
      <c r="T172" s="36" t="e">
        <f>ABS(df_mep[[#This Row],[bid_D_BA]]-df_mep[[#This Row],[ask_D_BA]])/AVERAGE(df_mep[[#This Row],[bid_D_BA]:[ask_D_BA]])</f>
        <v>#DIV/0!</v>
      </c>
    </row>
    <row r="173" spans="1:20" hidden="1" x14ac:dyDescent="0.35">
      <c r="A173" s="55" t="s">
        <v>337</v>
      </c>
      <c r="B173" s="55" t="s">
        <v>81</v>
      </c>
      <c r="C173" s="4">
        <v>8450</v>
      </c>
      <c r="D173" s="4">
        <v>8530</v>
      </c>
      <c r="E173" s="4">
        <v>8499</v>
      </c>
      <c r="I173" s="5">
        <v>1231</v>
      </c>
      <c r="J173" s="5">
        <f>df_mep[[#This Row],[volume_BA]]*df_mep[[#This Row],[open_BA]]</f>
        <v>10401950</v>
      </c>
      <c r="L173" s="5">
        <f>df_mep[[#This Row],[volume_D_BA]]*df_mep[[#This Row],[open_D_BA]]</f>
        <v>0</v>
      </c>
      <c r="P173" s="37">
        <f>MIN(1-df_mep[[#This Row],[MEP_compra_ARS]]/MEDIAN(N:N),100%)</f>
        <v>1</v>
      </c>
      <c r="Q173" s="38">
        <f>df_mep[[#This Row],[MEP_compra_USD]]/MEDIAN(O:O)-1</f>
        <v>-1</v>
      </c>
      <c r="R17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3" s="38">
        <f>ABS(df_mep[[#This Row],[bid_BA]]-df_mep[[#This Row],[ask_BA]])/AVERAGE(df_mep[[#This Row],[bid_BA]:[ask_BA]])</f>
        <v>3.6408479652357741E-3</v>
      </c>
      <c r="T173" s="36" t="e">
        <f>ABS(df_mep[[#This Row],[bid_D_BA]]-df_mep[[#This Row],[ask_D_BA]])/AVERAGE(df_mep[[#This Row],[bid_D_BA]:[ask_D_BA]])</f>
        <v>#DIV/0!</v>
      </c>
    </row>
    <row r="174" spans="1:20" hidden="1" x14ac:dyDescent="0.35">
      <c r="A174" s="55" t="s">
        <v>338</v>
      </c>
      <c r="B174" s="55" t="s">
        <v>81</v>
      </c>
      <c r="C174" s="4">
        <v>43537</v>
      </c>
      <c r="D174" s="4">
        <v>43383.5</v>
      </c>
      <c r="E174" s="4">
        <v>42673.5</v>
      </c>
      <c r="I174" s="5">
        <v>109</v>
      </c>
      <c r="J174" s="5">
        <f>df_mep[[#This Row],[volume_BA]]*df_mep[[#This Row],[open_BA]]</f>
        <v>4745533</v>
      </c>
      <c r="L174" s="5">
        <f>df_mep[[#This Row],[volume_D_BA]]*df_mep[[#This Row],[open_D_BA]]</f>
        <v>0</v>
      </c>
      <c r="P174" s="37">
        <f>MIN(1-df_mep[[#This Row],[MEP_compra_ARS]]/MEDIAN(N:N),100%)</f>
        <v>1</v>
      </c>
      <c r="Q174" s="38">
        <f>df_mep[[#This Row],[MEP_compra_USD]]/MEDIAN(O:O)-1</f>
        <v>-1</v>
      </c>
      <c r="R17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4" s="38">
        <f>ABS(df_mep[[#This Row],[bid_BA]]-df_mep[[#This Row],[ask_BA]])/AVERAGE(df_mep[[#This Row],[bid_BA]:[ask_BA]])</f>
        <v>1.6500691402210162E-2</v>
      </c>
      <c r="T174" s="36" t="e">
        <f>ABS(df_mep[[#This Row],[bid_D_BA]]-df_mep[[#This Row],[ask_D_BA]])/AVERAGE(df_mep[[#This Row],[bid_D_BA]:[ask_D_BA]])</f>
        <v>#DIV/0!</v>
      </c>
    </row>
    <row r="175" spans="1:20" hidden="1" x14ac:dyDescent="0.35">
      <c r="A175" s="55" t="s">
        <v>339</v>
      </c>
      <c r="B175" s="55" t="s">
        <v>81</v>
      </c>
      <c r="C175" s="4">
        <v>5169.5</v>
      </c>
      <c r="D175" s="4">
        <v>5090.5</v>
      </c>
      <c r="E175" s="4">
        <v>4979.5</v>
      </c>
      <c r="I175" s="5">
        <v>11</v>
      </c>
      <c r="J175" s="5">
        <f>df_mep[[#This Row],[volume_BA]]*df_mep[[#This Row],[open_BA]]</f>
        <v>56864.5</v>
      </c>
      <c r="L175" s="5">
        <f>df_mep[[#This Row],[volume_D_BA]]*df_mep[[#This Row],[open_D_BA]]</f>
        <v>0</v>
      </c>
      <c r="P175" s="37">
        <f>MIN(1-df_mep[[#This Row],[MEP_compra_ARS]]/MEDIAN(N:N),100%)</f>
        <v>1</v>
      </c>
      <c r="Q175" s="38">
        <f>df_mep[[#This Row],[MEP_compra_USD]]/MEDIAN(O:O)-1</f>
        <v>-1</v>
      </c>
      <c r="R17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5" s="38">
        <f>ABS(df_mep[[#This Row],[bid_BA]]-df_mep[[#This Row],[ask_BA]])/AVERAGE(df_mep[[#This Row],[bid_BA]:[ask_BA]])</f>
        <v>2.2045680238331679E-2</v>
      </c>
      <c r="T175" s="36" t="e">
        <f>ABS(df_mep[[#This Row],[bid_D_BA]]-df_mep[[#This Row],[ask_D_BA]])/AVERAGE(df_mep[[#This Row],[bid_D_BA]:[ask_D_BA]])</f>
        <v>#DIV/0!</v>
      </c>
    </row>
    <row r="176" spans="1:20" hidden="1" x14ac:dyDescent="0.35">
      <c r="A176" s="55" t="s">
        <v>340</v>
      </c>
      <c r="B176" s="55" t="s">
        <v>81</v>
      </c>
      <c r="C176" s="4">
        <v>15878.5</v>
      </c>
      <c r="D176" s="4">
        <v>15744.5</v>
      </c>
      <c r="E176" s="4">
        <v>15654</v>
      </c>
      <c r="I176" s="5">
        <v>96</v>
      </c>
      <c r="J176" s="5">
        <f>df_mep[[#This Row],[volume_BA]]*df_mep[[#This Row],[open_BA]]</f>
        <v>1524336</v>
      </c>
      <c r="L176" s="5">
        <f>df_mep[[#This Row],[volume_D_BA]]*df_mep[[#This Row],[open_D_BA]]</f>
        <v>0</v>
      </c>
      <c r="P176" s="37">
        <f>MIN(1-df_mep[[#This Row],[MEP_compra_ARS]]/MEDIAN(N:N),100%)</f>
        <v>1</v>
      </c>
      <c r="Q176" s="38">
        <f>df_mep[[#This Row],[MEP_compra_USD]]/MEDIAN(O:O)-1</f>
        <v>-1</v>
      </c>
      <c r="R17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6" s="38">
        <f>ABS(df_mep[[#This Row],[bid_BA]]-df_mep[[#This Row],[ask_BA]])/AVERAGE(df_mep[[#This Row],[bid_BA]:[ask_BA]])</f>
        <v>5.7646065894867591E-3</v>
      </c>
      <c r="T176" s="36" t="e">
        <f>ABS(df_mep[[#This Row],[bid_D_BA]]-df_mep[[#This Row],[ask_D_BA]])/AVERAGE(df_mep[[#This Row],[bid_D_BA]:[ask_D_BA]])</f>
        <v>#DIV/0!</v>
      </c>
    </row>
    <row r="177" spans="1:20" hidden="1" x14ac:dyDescent="0.35">
      <c r="A177" s="55" t="s">
        <v>341</v>
      </c>
      <c r="B177" s="55" t="s">
        <v>81</v>
      </c>
      <c r="C177" s="4">
        <v>4150</v>
      </c>
      <c r="D177" s="4">
        <v>4262.5</v>
      </c>
      <c r="E177" s="4">
        <v>4151</v>
      </c>
      <c r="I177" s="5">
        <v>111</v>
      </c>
      <c r="J177" s="5">
        <f>df_mep[[#This Row],[volume_BA]]*df_mep[[#This Row],[open_BA]]</f>
        <v>460650</v>
      </c>
      <c r="L177" s="5">
        <f>df_mep[[#This Row],[volume_D_BA]]*df_mep[[#This Row],[open_D_BA]]</f>
        <v>0</v>
      </c>
      <c r="P177" s="37">
        <f>MIN(1-df_mep[[#This Row],[MEP_compra_ARS]]/MEDIAN(N:N),100%)</f>
        <v>1</v>
      </c>
      <c r="Q177" s="38">
        <f>df_mep[[#This Row],[MEP_compra_USD]]/MEDIAN(O:O)-1</f>
        <v>-1</v>
      </c>
      <c r="R17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7" s="38">
        <f>ABS(df_mep[[#This Row],[bid_BA]]-df_mep[[#This Row],[ask_BA]])/AVERAGE(df_mep[[#This Row],[bid_BA]:[ask_BA]])</f>
        <v>2.6505021691329411E-2</v>
      </c>
      <c r="T177" s="36" t="e">
        <f>ABS(df_mep[[#This Row],[bid_D_BA]]-df_mep[[#This Row],[ask_D_BA]])/AVERAGE(df_mep[[#This Row],[bid_D_BA]:[ask_D_BA]])</f>
        <v>#DIV/0!</v>
      </c>
    </row>
    <row r="178" spans="1:20" hidden="1" x14ac:dyDescent="0.35">
      <c r="A178" s="55" t="s">
        <v>342</v>
      </c>
      <c r="B178" s="55" t="s">
        <v>81</v>
      </c>
      <c r="C178" s="4">
        <v>8145</v>
      </c>
      <c r="D178" s="4">
        <v>8375.5</v>
      </c>
      <c r="E178" s="4">
        <v>8300</v>
      </c>
      <c r="I178" s="5">
        <v>32</v>
      </c>
      <c r="J178" s="5">
        <f>df_mep[[#This Row],[volume_BA]]*df_mep[[#This Row],[open_BA]]</f>
        <v>260640</v>
      </c>
      <c r="L178" s="5">
        <f>df_mep[[#This Row],[volume_D_BA]]*df_mep[[#This Row],[open_D_BA]]</f>
        <v>0</v>
      </c>
      <c r="P178" s="37">
        <f>MIN(1-df_mep[[#This Row],[MEP_compra_ARS]]/MEDIAN(N:N),100%)</f>
        <v>1</v>
      </c>
      <c r="Q178" s="38">
        <f>df_mep[[#This Row],[MEP_compra_USD]]/MEDIAN(O:O)-1</f>
        <v>-1</v>
      </c>
      <c r="R17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8" s="38">
        <f>ABS(df_mep[[#This Row],[bid_BA]]-df_mep[[#This Row],[ask_BA]])/AVERAGE(df_mep[[#This Row],[bid_BA]:[ask_BA]])</f>
        <v>9.055200743605888E-3</v>
      </c>
      <c r="T178" s="36" t="e">
        <f>ABS(df_mep[[#This Row],[bid_D_BA]]-df_mep[[#This Row],[ask_D_BA]])/AVERAGE(df_mep[[#This Row],[bid_D_BA]:[ask_D_BA]])</f>
        <v>#DIV/0!</v>
      </c>
    </row>
    <row r="179" spans="1:20" hidden="1" x14ac:dyDescent="0.35">
      <c r="A179" s="55" t="s">
        <v>343</v>
      </c>
      <c r="B179" s="55" t="s">
        <v>81</v>
      </c>
      <c r="C179" s="4">
        <v>14290</v>
      </c>
      <c r="D179" s="4">
        <v>13289</v>
      </c>
      <c r="E179" s="4">
        <v>13260</v>
      </c>
      <c r="I179" s="5">
        <v>10655</v>
      </c>
      <c r="J179" s="5">
        <f>df_mep[[#This Row],[volume_BA]]*df_mep[[#This Row],[open_BA]]</f>
        <v>152259950</v>
      </c>
      <c r="L179" s="5">
        <f>df_mep[[#This Row],[volume_D_BA]]*df_mep[[#This Row],[open_D_BA]]</f>
        <v>0</v>
      </c>
      <c r="P179" s="37">
        <f>MIN(1-df_mep[[#This Row],[MEP_compra_ARS]]/MEDIAN(N:N),100%)</f>
        <v>1</v>
      </c>
      <c r="Q179" s="38">
        <f>df_mep[[#This Row],[MEP_compra_USD]]/MEDIAN(O:O)-1</f>
        <v>-1</v>
      </c>
      <c r="R17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79" s="38">
        <f>ABS(df_mep[[#This Row],[bid_BA]]-df_mep[[#This Row],[ask_BA]])/AVERAGE(df_mep[[#This Row],[bid_BA]:[ask_BA]])</f>
        <v>2.1846397227767524E-3</v>
      </c>
      <c r="T179" s="36" t="e">
        <f>ABS(df_mep[[#This Row],[bid_D_BA]]-df_mep[[#This Row],[ask_D_BA]])/AVERAGE(df_mep[[#This Row],[bid_D_BA]:[ask_D_BA]])</f>
        <v>#DIV/0!</v>
      </c>
    </row>
    <row r="180" spans="1:20" hidden="1" x14ac:dyDescent="0.35">
      <c r="A180" s="55" t="s">
        <v>344</v>
      </c>
      <c r="B180" s="55" t="s">
        <v>81</v>
      </c>
      <c r="C180" s="4">
        <v>18570</v>
      </c>
      <c r="D180" s="4">
        <v>19167</v>
      </c>
      <c r="E180" s="4">
        <v>18998</v>
      </c>
      <c r="I180" s="5">
        <v>46</v>
      </c>
      <c r="J180" s="5">
        <f>df_mep[[#This Row],[volume_BA]]*df_mep[[#This Row],[open_BA]]</f>
        <v>854220</v>
      </c>
      <c r="L180" s="5">
        <f>df_mep[[#This Row],[volume_D_BA]]*df_mep[[#This Row],[open_D_BA]]</f>
        <v>0</v>
      </c>
      <c r="P180" s="37">
        <f>MIN(1-df_mep[[#This Row],[MEP_compra_ARS]]/MEDIAN(N:N),100%)</f>
        <v>1</v>
      </c>
      <c r="Q180" s="38">
        <f>df_mep[[#This Row],[MEP_compra_USD]]/MEDIAN(O:O)-1</f>
        <v>-1</v>
      </c>
      <c r="R18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0" s="38">
        <f>ABS(df_mep[[#This Row],[bid_BA]]-df_mep[[#This Row],[ask_BA]])/AVERAGE(df_mep[[#This Row],[bid_BA]:[ask_BA]])</f>
        <v>8.8562819337088955E-3</v>
      </c>
      <c r="T180" s="36" t="e">
        <f>ABS(df_mep[[#This Row],[bid_D_BA]]-df_mep[[#This Row],[ask_D_BA]])/AVERAGE(df_mep[[#This Row],[bid_D_BA]:[ask_D_BA]])</f>
        <v>#DIV/0!</v>
      </c>
    </row>
    <row r="181" spans="1:20" hidden="1" x14ac:dyDescent="0.35">
      <c r="A181" s="55" t="s">
        <v>345</v>
      </c>
      <c r="B181" s="55" t="s">
        <v>81</v>
      </c>
      <c r="C181" s="4">
        <v>35420</v>
      </c>
      <c r="D181" s="4">
        <v>35980.5</v>
      </c>
      <c r="E181" s="4">
        <v>35435</v>
      </c>
      <c r="I181" s="5">
        <v>21</v>
      </c>
      <c r="J181" s="5">
        <f>df_mep[[#This Row],[volume_BA]]*df_mep[[#This Row],[open_BA]]</f>
        <v>743820</v>
      </c>
      <c r="L181" s="5">
        <f>df_mep[[#This Row],[volume_D_BA]]*df_mep[[#This Row],[open_D_BA]]</f>
        <v>0</v>
      </c>
      <c r="P181" s="37">
        <f>MIN(1-df_mep[[#This Row],[MEP_compra_ARS]]/MEDIAN(N:N),100%)</f>
        <v>1</v>
      </c>
      <c r="Q181" s="38">
        <f>df_mep[[#This Row],[MEP_compra_USD]]/MEDIAN(O:O)-1</f>
        <v>-1</v>
      </c>
      <c r="R18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1" s="38">
        <f>ABS(df_mep[[#This Row],[bid_BA]]-df_mep[[#This Row],[ask_BA]])/AVERAGE(df_mep[[#This Row],[bid_BA]:[ask_BA]])</f>
        <v>1.5276795653604609E-2</v>
      </c>
      <c r="T181" s="36" t="e">
        <f>ABS(df_mep[[#This Row],[bid_D_BA]]-df_mep[[#This Row],[ask_D_BA]])/AVERAGE(df_mep[[#This Row],[bid_D_BA]:[ask_D_BA]])</f>
        <v>#DIV/0!</v>
      </c>
    </row>
    <row r="182" spans="1:20" hidden="1" x14ac:dyDescent="0.35">
      <c r="A182" s="55" t="s">
        <v>346</v>
      </c>
      <c r="B182" s="55" t="s">
        <v>81</v>
      </c>
      <c r="C182" s="4">
        <v>72569</v>
      </c>
      <c r="D182" s="4">
        <v>71850</v>
      </c>
      <c r="E182" s="4">
        <v>70850</v>
      </c>
      <c r="I182" s="5">
        <v>344</v>
      </c>
      <c r="J182" s="5">
        <f>df_mep[[#This Row],[volume_BA]]*df_mep[[#This Row],[open_BA]]</f>
        <v>24963736</v>
      </c>
      <c r="L182" s="5">
        <f>df_mep[[#This Row],[volume_D_BA]]*df_mep[[#This Row],[open_D_BA]]</f>
        <v>0</v>
      </c>
      <c r="P182" s="37">
        <f>MIN(1-df_mep[[#This Row],[MEP_compra_ARS]]/MEDIAN(N:N),100%)</f>
        <v>1</v>
      </c>
      <c r="Q182" s="38">
        <f>df_mep[[#This Row],[MEP_compra_USD]]/MEDIAN(O:O)-1</f>
        <v>-1</v>
      </c>
      <c r="R18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2" s="38">
        <f>ABS(df_mep[[#This Row],[bid_BA]]-df_mep[[#This Row],[ask_BA]])/AVERAGE(df_mep[[#This Row],[bid_BA]:[ask_BA]])</f>
        <v>1.401541695865452E-2</v>
      </c>
      <c r="T182" s="36" t="e">
        <f>ABS(df_mep[[#This Row],[bid_D_BA]]-df_mep[[#This Row],[ask_D_BA]])/AVERAGE(df_mep[[#This Row],[bid_D_BA]:[ask_D_BA]])</f>
        <v>#DIV/0!</v>
      </c>
    </row>
    <row r="183" spans="1:20" hidden="1" x14ac:dyDescent="0.35">
      <c r="A183" s="55" t="s">
        <v>347</v>
      </c>
      <c r="B183" s="55" t="s">
        <v>81</v>
      </c>
      <c r="C183" s="4">
        <v>22400</v>
      </c>
      <c r="D183" s="4">
        <v>21846</v>
      </c>
      <c r="E183" s="4">
        <v>21408.5</v>
      </c>
      <c r="I183" s="5">
        <v>12</v>
      </c>
      <c r="J183" s="5">
        <f>df_mep[[#This Row],[volume_BA]]*df_mep[[#This Row],[open_BA]]</f>
        <v>268800</v>
      </c>
      <c r="L183" s="5">
        <f>df_mep[[#This Row],[volume_D_BA]]*df_mep[[#This Row],[open_D_BA]]</f>
        <v>0</v>
      </c>
      <c r="P183" s="37">
        <f>MIN(1-df_mep[[#This Row],[MEP_compra_ARS]]/MEDIAN(N:N),100%)</f>
        <v>1</v>
      </c>
      <c r="Q183" s="38">
        <f>df_mep[[#This Row],[MEP_compra_USD]]/MEDIAN(O:O)-1</f>
        <v>-1</v>
      </c>
      <c r="R18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3" s="38">
        <f>ABS(df_mep[[#This Row],[bid_BA]]-df_mep[[#This Row],[ask_BA]])/AVERAGE(df_mep[[#This Row],[bid_BA]:[ask_BA]])</f>
        <v>2.0229109110034792E-2</v>
      </c>
      <c r="T183" s="36" t="e">
        <f>ABS(df_mep[[#This Row],[bid_D_BA]]-df_mep[[#This Row],[ask_D_BA]])/AVERAGE(df_mep[[#This Row],[bid_D_BA]:[ask_D_BA]])</f>
        <v>#DIV/0!</v>
      </c>
    </row>
    <row r="184" spans="1:20" hidden="1" x14ac:dyDescent="0.35">
      <c r="A184" s="55" t="s">
        <v>348</v>
      </c>
      <c r="B184" s="55" t="s">
        <v>81</v>
      </c>
      <c r="C184" s="4">
        <v>1019</v>
      </c>
      <c r="D184" s="4">
        <v>998</v>
      </c>
      <c r="E184" s="4">
        <v>990</v>
      </c>
      <c r="I184" s="5">
        <v>540</v>
      </c>
      <c r="J184" s="5">
        <f>df_mep[[#This Row],[volume_BA]]*df_mep[[#This Row],[open_BA]]</f>
        <v>550260</v>
      </c>
      <c r="L184" s="5">
        <f>df_mep[[#This Row],[volume_D_BA]]*df_mep[[#This Row],[open_D_BA]]</f>
        <v>0</v>
      </c>
      <c r="P184" s="37">
        <f>MIN(1-df_mep[[#This Row],[MEP_compra_ARS]]/MEDIAN(N:N),100%)</f>
        <v>1</v>
      </c>
      <c r="Q184" s="38">
        <f>df_mep[[#This Row],[MEP_compra_USD]]/MEDIAN(O:O)-1</f>
        <v>-1</v>
      </c>
      <c r="R18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4" s="38">
        <f>ABS(df_mep[[#This Row],[bid_BA]]-df_mep[[#This Row],[ask_BA]])/AVERAGE(df_mep[[#This Row],[bid_BA]:[ask_BA]])</f>
        <v>8.0482897384305842E-3</v>
      </c>
      <c r="T184" s="36" t="e">
        <f>ABS(df_mep[[#This Row],[bid_D_BA]]-df_mep[[#This Row],[ask_D_BA]])/AVERAGE(df_mep[[#This Row],[bid_D_BA]:[ask_D_BA]])</f>
        <v>#DIV/0!</v>
      </c>
    </row>
    <row r="185" spans="1:20" hidden="1" x14ac:dyDescent="0.35">
      <c r="A185" s="55" t="s">
        <v>349</v>
      </c>
      <c r="B185" s="55" t="s">
        <v>81</v>
      </c>
      <c r="C185" s="4">
        <v>17006.5</v>
      </c>
      <c r="D185" s="4">
        <v>17000</v>
      </c>
      <c r="E185" s="4">
        <v>16910</v>
      </c>
      <c r="I185" s="5">
        <v>559</v>
      </c>
      <c r="J185" s="5">
        <f>df_mep[[#This Row],[volume_BA]]*df_mep[[#This Row],[open_BA]]</f>
        <v>9506633.5</v>
      </c>
      <c r="L185" s="5">
        <f>df_mep[[#This Row],[volume_D_BA]]*df_mep[[#This Row],[open_D_BA]]</f>
        <v>0</v>
      </c>
      <c r="P185" s="37">
        <f>MIN(1-df_mep[[#This Row],[MEP_compra_ARS]]/MEDIAN(N:N),100%)</f>
        <v>1</v>
      </c>
      <c r="Q185" s="38">
        <f>df_mep[[#This Row],[MEP_compra_USD]]/MEDIAN(O:O)-1</f>
        <v>-1</v>
      </c>
      <c r="R18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5" s="38">
        <f>ABS(df_mep[[#This Row],[bid_BA]]-df_mep[[#This Row],[ask_BA]])/AVERAGE(df_mep[[#This Row],[bid_BA]:[ask_BA]])</f>
        <v>5.308168681804777E-3</v>
      </c>
      <c r="T185" s="36" t="e">
        <f>ABS(df_mep[[#This Row],[bid_D_BA]]-df_mep[[#This Row],[ask_D_BA]])/AVERAGE(df_mep[[#This Row],[bid_D_BA]:[ask_D_BA]])</f>
        <v>#DIV/0!</v>
      </c>
    </row>
    <row r="186" spans="1:20" hidden="1" x14ac:dyDescent="0.35">
      <c r="A186" s="55" t="s">
        <v>350</v>
      </c>
      <c r="B186" s="55" t="s">
        <v>81</v>
      </c>
      <c r="C186" s="4">
        <v>10987</v>
      </c>
      <c r="D186" s="4">
        <v>11424</v>
      </c>
      <c r="E186" s="4">
        <v>11192.5</v>
      </c>
      <c r="I186" s="5">
        <v>0</v>
      </c>
      <c r="J186" s="5">
        <f>df_mep[[#This Row],[volume_BA]]*df_mep[[#This Row],[open_BA]]</f>
        <v>0</v>
      </c>
      <c r="L186" s="5">
        <f>df_mep[[#This Row],[volume_D_BA]]*df_mep[[#This Row],[open_D_BA]]</f>
        <v>0</v>
      </c>
      <c r="P186" s="37">
        <f>MIN(1-df_mep[[#This Row],[MEP_compra_ARS]]/MEDIAN(N:N),100%)</f>
        <v>1</v>
      </c>
      <c r="Q186" s="38">
        <f>df_mep[[#This Row],[MEP_compra_USD]]/MEDIAN(O:O)-1</f>
        <v>-1</v>
      </c>
      <c r="R18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6" s="38">
        <f>ABS(df_mep[[#This Row],[bid_BA]]-df_mep[[#This Row],[ask_BA]])/AVERAGE(df_mep[[#This Row],[bid_BA]:[ask_BA]])</f>
        <v>2.0471779453054187E-2</v>
      </c>
      <c r="T186" s="36" t="e">
        <f>ABS(df_mep[[#This Row],[bid_D_BA]]-df_mep[[#This Row],[ask_D_BA]])/AVERAGE(df_mep[[#This Row],[bid_D_BA]:[ask_D_BA]])</f>
        <v>#DIV/0!</v>
      </c>
    </row>
    <row r="187" spans="1:20" hidden="1" x14ac:dyDescent="0.35">
      <c r="A187" s="55" t="s">
        <v>351</v>
      </c>
      <c r="B187" s="55" t="s">
        <v>81</v>
      </c>
      <c r="C187" s="4">
        <v>13397</v>
      </c>
      <c r="D187" s="4">
        <v>13467</v>
      </c>
      <c r="E187" s="4">
        <v>13442</v>
      </c>
      <c r="I187" s="5">
        <v>143</v>
      </c>
      <c r="J187" s="5">
        <f>df_mep[[#This Row],[volume_BA]]*df_mep[[#This Row],[open_BA]]</f>
        <v>1915771</v>
      </c>
      <c r="L187" s="5">
        <f>df_mep[[#This Row],[volume_D_BA]]*df_mep[[#This Row],[open_D_BA]]</f>
        <v>0</v>
      </c>
      <c r="P187" s="37">
        <f>MIN(1-df_mep[[#This Row],[MEP_compra_ARS]]/MEDIAN(N:N),100%)</f>
        <v>1</v>
      </c>
      <c r="Q187" s="38">
        <f>df_mep[[#This Row],[MEP_compra_USD]]/MEDIAN(O:O)-1</f>
        <v>-1</v>
      </c>
      <c r="R18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7" s="38">
        <f>ABS(df_mep[[#This Row],[bid_BA]]-df_mep[[#This Row],[ask_BA]])/AVERAGE(df_mep[[#This Row],[bid_BA]:[ask_BA]])</f>
        <v>1.8581143855215727E-3</v>
      </c>
      <c r="T187" s="36" t="e">
        <f>ABS(df_mep[[#This Row],[bid_D_BA]]-df_mep[[#This Row],[ask_D_BA]])/AVERAGE(df_mep[[#This Row],[bid_D_BA]:[ask_D_BA]])</f>
        <v>#DIV/0!</v>
      </c>
    </row>
    <row r="188" spans="1:20" hidden="1" x14ac:dyDescent="0.35">
      <c r="A188" s="55" t="s">
        <v>352</v>
      </c>
      <c r="B188" s="55" t="s">
        <v>81</v>
      </c>
      <c r="C188" s="4">
        <v>15545</v>
      </c>
      <c r="D188" s="4">
        <v>15610.5</v>
      </c>
      <c r="E188" s="4">
        <v>15571</v>
      </c>
      <c r="I188" s="5">
        <v>318</v>
      </c>
      <c r="J188" s="5">
        <f>df_mep[[#This Row],[volume_BA]]*df_mep[[#This Row],[open_BA]]</f>
        <v>4943310</v>
      </c>
      <c r="L188" s="5">
        <f>df_mep[[#This Row],[volume_D_BA]]*df_mep[[#This Row],[open_D_BA]]</f>
        <v>0</v>
      </c>
      <c r="P188" s="37">
        <f>MIN(1-df_mep[[#This Row],[MEP_compra_ARS]]/MEDIAN(N:N),100%)</f>
        <v>1</v>
      </c>
      <c r="Q188" s="38">
        <f>df_mep[[#This Row],[MEP_compra_USD]]/MEDIAN(O:O)-1</f>
        <v>-1</v>
      </c>
      <c r="R18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8" s="38">
        <f>ABS(df_mep[[#This Row],[bid_BA]]-df_mep[[#This Row],[ask_BA]])/AVERAGE(df_mep[[#This Row],[bid_BA]:[ask_BA]])</f>
        <v>2.5335535493802414E-3</v>
      </c>
      <c r="T188" s="36" t="e">
        <f>ABS(df_mep[[#This Row],[bid_D_BA]]-df_mep[[#This Row],[ask_D_BA]])/AVERAGE(df_mep[[#This Row],[bid_D_BA]:[ask_D_BA]])</f>
        <v>#DIV/0!</v>
      </c>
    </row>
    <row r="189" spans="1:20" hidden="1" x14ac:dyDescent="0.35">
      <c r="A189" s="55" t="s">
        <v>353</v>
      </c>
      <c r="B189" s="55" t="s">
        <v>81</v>
      </c>
      <c r="C189" s="4">
        <v>13021</v>
      </c>
      <c r="D189" s="4">
        <v>13342.5</v>
      </c>
      <c r="E189" s="4">
        <v>13074.5</v>
      </c>
      <c r="I189" s="5">
        <v>179</v>
      </c>
      <c r="J189" s="5">
        <f>df_mep[[#This Row],[volume_BA]]*df_mep[[#This Row],[open_BA]]</f>
        <v>2330759</v>
      </c>
      <c r="L189" s="5">
        <f>df_mep[[#This Row],[volume_D_BA]]*df_mep[[#This Row],[open_D_BA]]</f>
        <v>0</v>
      </c>
      <c r="P189" s="37">
        <f>MIN(1-df_mep[[#This Row],[MEP_compra_ARS]]/MEDIAN(N:N),100%)</f>
        <v>1</v>
      </c>
      <c r="Q189" s="38">
        <f>df_mep[[#This Row],[MEP_compra_USD]]/MEDIAN(O:O)-1</f>
        <v>-1</v>
      </c>
      <c r="R18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89" s="38">
        <f>ABS(df_mep[[#This Row],[bid_BA]]-df_mep[[#This Row],[ask_BA]])/AVERAGE(df_mep[[#This Row],[bid_BA]:[ask_BA]])</f>
        <v>2.0289964795396905E-2</v>
      </c>
      <c r="T189" s="36" t="e">
        <f>ABS(df_mep[[#This Row],[bid_D_BA]]-df_mep[[#This Row],[ask_D_BA]])/AVERAGE(df_mep[[#This Row],[bid_D_BA]:[ask_D_BA]])</f>
        <v>#DIV/0!</v>
      </c>
    </row>
    <row r="190" spans="1:20" hidden="1" x14ac:dyDescent="0.35">
      <c r="A190" s="55" t="s">
        <v>354</v>
      </c>
      <c r="B190" s="55" t="s">
        <v>81</v>
      </c>
      <c r="C190" s="4">
        <v>12052.5</v>
      </c>
      <c r="D190" s="4">
        <v>12335.5</v>
      </c>
      <c r="E190" s="4">
        <v>12200</v>
      </c>
      <c r="I190" s="5">
        <v>181</v>
      </c>
      <c r="J190" s="5">
        <f>df_mep[[#This Row],[volume_BA]]*df_mep[[#This Row],[open_BA]]</f>
        <v>2181502.5</v>
      </c>
      <c r="L190" s="5">
        <f>df_mep[[#This Row],[volume_D_BA]]*df_mep[[#This Row],[open_D_BA]]</f>
        <v>0</v>
      </c>
      <c r="P190" s="37">
        <f>MIN(1-df_mep[[#This Row],[MEP_compra_ARS]]/MEDIAN(N:N),100%)</f>
        <v>1</v>
      </c>
      <c r="Q190" s="38">
        <f>df_mep[[#This Row],[MEP_compra_USD]]/MEDIAN(O:O)-1</f>
        <v>-1</v>
      </c>
      <c r="R19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0" s="38">
        <f>ABS(df_mep[[#This Row],[bid_BA]]-df_mep[[#This Row],[ask_BA]])/AVERAGE(df_mep[[#This Row],[bid_BA]:[ask_BA]])</f>
        <v>1.1045220191151596E-2</v>
      </c>
      <c r="T190" s="36" t="e">
        <f>ABS(df_mep[[#This Row],[bid_D_BA]]-df_mep[[#This Row],[ask_D_BA]])/AVERAGE(df_mep[[#This Row],[bid_D_BA]:[ask_D_BA]])</f>
        <v>#DIV/0!</v>
      </c>
    </row>
    <row r="191" spans="1:20" hidden="1" x14ac:dyDescent="0.35">
      <c r="A191" s="55" t="s">
        <v>355</v>
      </c>
      <c r="B191" s="55" t="s">
        <v>81</v>
      </c>
      <c r="C191" s="4">
        <v>28786.5</v>
      </c>
      <c r="D191" s="4">
        <v>28380</v>
      </c>
      <c r="E191" s="4">
        <v>28000</v>
      </c>
      <c r="I191" s="5">
        <v>4</v>
      </c>
      <c r="J191" s="5">
        <f>df_mep[[#This Row],[volume_BA]]*df_mep[[#This Row],[open_BA]]</f>
        <v>115146</v>
      </c>
      <c r="L191" s="5">
        <f>df_mep[[#This Row],[volume_D_BA]]*df_mep[[#This Row],[open_D_BA]]</f>
        <v>0</v>
      </c>
      <c r="P191" s="37">
        <f>MIN(1-df_mep[[#This Row],[MEP_compra_ARS]]/MEDIAN(N:N),100%)</f>
        <v>1</v>
      </c>
      <c r="Q191" s="38">
        <f>df_mep[[#This Row],[MEP_compra_USD]]/MEDIAN(O:O)-1</f>
        <v>-1</v>
      </c>
      <c r="R19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1" s="38">
        <f>ABS(df_mep[[#This Row],[bid_BA]]-df_mep[[#This Row],[ask_BA]])/AVERAGE(df_mep[[#This Row],[bid_BA]:[ask_BA]])</f>
        <v>1.3479957431713374E-2</v>
      </c>
      <c r="T191" s="36" t="e">
        <f>ABS(df_mep[[#This Row],[bid_D_BA]]-df_mep[[#This Row],[ask_D_BA]])/AVERAGE(df_mep[[#This Row],[bid_D_BA]:[ask_D_BA]])</f>
        <v>#DIV/0!</v>
      </c>
    </row>
    <row r="192" spans="1:20" hidden="1" x14ac:dyDescent="0.35">
      <c r="A192" s="55" t="s">
        <v>356</v>
      </c>
      <c r="B192" s="55" t="s">
        <v>81</v>
      </c>
      <c r="C192" s="4">
        <v>3304</v>
      </c>
      <c r="D192" s="4">
        <v>3407.5</v>
      </c>
      <c r="E192" s="4">
        <v>3324</v>
      </c>
      <c r="I192" s="5">
        <v>243</v>
      </c>
      <c r="J192" s="5">
        <f>df_mep[[#This Row],[volume_BA]]*df_mep[[#This Row],[open_BA]]</f>
        <v>802872</v>
      </c>
      <c r="L192" s="5">
        <f>df_mep[[#This Row],[volume_D_BA]]*df_mep[[#This Row],[open_D_BA]]</f>
        <v>0</v>
      </c>
      <c r="P192" s="37">
        <f>MIN(1-df_mep[[#This Row],[MEP_compra_ARS]]/MEDIAN(N:N),100%)</f>
        <v>1</v>
      </c>
      <c r="Q192" s="38">
        <f>df_mep[[#This Row],[MEP_compra_USD]]/MEDIAN(O:O)-1</f>
        <v>-1</v>
      </c>
      <c r="R19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2" s="38">
        <f>ABS(df_mep[[#This Row],[bid_BA]]-df_mep[[#This Row],[ask_BA]])/AVERAGE(df_mep[[#This Row],[bid_BA]:[ask_BA]])</f>
        <v>2.4808735051622968E-2</v>
      </c>
      <c r="T192" s="36" t="e">
        <f>ABS(df_mep[[#This Row],[bid_D_BA]]-df_mep[[#This Row],[ask_D_BA]])/AVERAGE(df_mep[[#This Row],[bid_D_BA]:[ask_D_BA]])</f>
        <v>#DIV/0!</v>
      </c>
    </row>
    <row r="193" spans="1:20" hidden="1" x14ac:dyDescent="0.35">
      <c r="A193" s="55" t="s">
        <v>357</v>
      </c>
      <c r="B193" s="55" t="s">
        <v>81</v>
      </c>
      <c r="C193" s="4">
        <v>5445</v>
      </c>
      <c r="D193" s="4">
        <v>5437</v>
      </c>
      <c r="E193" s="4">
        <v>5389</v>
      </c>
      <c r="I193" s="5">
        <v>231</v>
      </c>
      <c r="J193" s="5">
        <f>df_mep[[#This Row],[volume_BA]]*df_mep[[#This Row],[open_BA]]</f>
        <v>1257795</v>
      </c>
      <c r="L193" s="5">
        <f>df_mep[[#This Row],[volume_D_BA]]*df_mep[[#This Row],[open_D_BA]]</f>
        <v>0</v>
      </c>
      <c r="P193" s="37">
        <f>MIN(1-df_mep[[#This Row],[MEP_compra_ARS]]/MEDIAN(N:N),100%)</f>
        <v>1</v>
      </c>
      <c r="Q193" s="38">
        <f>df_mep[[#This Row],[MEP_compra_USD]]/MEDIAN(O:O)-1</f>
        <v>-1</v>
      </c>
      <c r="R19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3" s="38">
        <f>ABS(df_mep[[#This Row],[bid_BA]]-df_mep[[#This Row],[ask_BA]])/AVERAGE(df_mep[[#This Row],[bid_BA]:[ask_BA]])</f>
        <v>8.8675411047478298E-3</v>
      </c>
      <c r="T193" s="36" t="e">
        <f>ABS(df_mep[[#This Row],[bid_D_BA]]-df_mep[[#This Row],[ask_D_BA]])/AVERAGE(df_mep[[#This Row],[bid_D_BA]:[ask_D_BA]])</f>
        <v>#DIV/0!</v>
      </c>
    </row>
    <row r="194" spans="1:20" hidden="1" x14ac:dyDescent="0.35">
      <c r="A194" s="55" t="s">
        <v>358</v>
      </c>
      <c r="B194" s="55" t="s">
        <v>81</v>
      </c>
      <c r="C194" s="4">
        <v>7000</v>
      </c>
      <c r="D194" s="4">
        <v>7278.5</v>
      </c>
      <c r="E194" s="4">
        <v>7112</v>
      </c>
      <c r="I194" s="5">
        <v>93</v>
      </c>
      <c r="J194" s="5">
        <f>df_mep[[#This Row],[volume_BA]]*df_mep[[#This Row],[open_BA]]</f>
        <v>651000</v>
      </c>
      <c r="L194" s="5">
        <f>df_mep[[#This Row],[volume_D_BA]]*df_mep[[#This Row],[open_D_BA]]</f>
        <v>0</v>
      </c>
      <c r="P194" s="37">
        <f>MIN(1-df_mep[[#This Row],[MEP_compra_ARS]]/MEDIAN(N:N),100%)</f>
        <v>1</v>
      </c>
      <c r="Q194" s="38">
        <f>df_mep[[#This Row],[MEP_compra_USD]]/MEDIAN(O:O)-1</f>
        <v>-1</v>
      </c>
      <c r="R19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4" s="38">
        <f>ABS(df_mep[[#This Row],[bid_BA]]-df_mep[[#This Row],[ask_BA]])/AVERAGE(df_mep[[#This Row],[bid_BA]:[ask_BA]])</f>
        <v>2.3140266147805844E-2</v>
      </c>
      <c r="T194" s="36" t="e">
        <f>ABS(df_mep[[#This Row],[bid_D_BA]]-df_mep[[#This Row],[ask_D_BA]])/AVERAGE(df_mep[[#This Row],[bid_D_BA]:[ask_D_BA]])</f>
        <v>#DIV/0!</v>
      </c>
    </row>
    <row r="195" spans="1:20" hidden="1" x14ac:dyDescent="0.35">
      <c r="A195" s="55" t="s">
        <v>359</v>
      </c>
      <c r="B195" s="55" t="s">
        <v>81</v>
      </c>
      <c r="C195" s="4">
        <v>8867</v>
      </c>
      <c r="D195" s="4">
        <v>8793</v>
      </c>
      <c r="E195" s="4">
        <v>8700</v>
      </c>
      <c r="I195" s="5">
        <v>197</v>
      </c>
      <c r="J195" s="5">
        <f>df_mep[[#This Row],[volume_BA]]*df_mep[[#This Row],[open_BA]]</f>
        <v>1746799</v>
      </c>
      <c r="L195" s="5">
        <f>df_mep[[#This Row],[volume_D_BA]]*df_mep[[#This Row],[open_D_BA]]</f>
        <v>0</v>
      </c>
      <c r="P195" s="37">
        <f>MIN(1-df_mep[[#This Row],[MEP_compra_ARS]]/MEDIAN(N:N),100%)</f>
        <v>1</v>
      </c>
      <c r="Q195" s="38">
        <f>df_mep[[#This Row],[MEP_compra_USD]]/MEDIAN(O:O)-1</f>
        <v>-1</v>
      </c>
      <c r="R19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5" s="38">
        <f>ABS(df_mep[[#This Row],[bid_BA]]-df_mep[[#This Row],[ask_BA]])/AVERAGE(df_mep[[#This Row],[bid_BA]:[ask_BA]])</f>
        <v>1.0632824558394786E-2</v>
      </c>
      <c r="T195" s="36" t="e">
        <f>ABS(df_mep[[#This Row],[bid_D_BA]]-df_mep[[#This Row],[ask_D_BA]])/AVERAGE(df_mep[[#This Row],[bid_D_BA]:[ask_D_BA]])</f>
        <v>#DIV/0!</v>
      </c>
    </row>
    <row r="196" spans="1:20" hidden="1" x14ac:dyDescent="0.35">
      <c r="A196" s="55" t="s">
        <v>360</v>
      </c>
      <c r="B196" s="55" t="s">
        <v>81</v>
      </c>
      <c r="C196" s="4">
        <v>10705</v>
      </c>
      <c r="D196" s="4">
        <v>11046</v>
      </c>
      <c r="E196" s="4">
        <v>10900</v>
      </c>
      <c r="I196" s="5">
        <v>13</v>
      </c>
      <c r="J196" s="5">
        <f>df_mep[[#This Row],[volume_BA]]*df_mep[[#This Row],[open_BA]]</f>
        <v>139165</v>
      </c>
      <c r="L196" s="5">
        <f>df_mep[[#This Row],[volume_D_BA]]*df_mep[[#This Row],[open_D_BA]]</f>
        <v>0</v>
      </c>
      <c r="P196" s="37">
        <f>MIN(1-df_mep[[#This Row],[MEP_compra_ARS]]/MEDIAN(N:N),100%)</f>
        <v>1</v>
      </c>
      <c r="Q196" s="38">
        <f>df_mep[[#This Row],[MEP_compra_USD]]/MEDIAN(O:O)-1</f>
        <v>-1</v>
      </c>
      <c r="R19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6" s="38">
        <f>ABS(df_mep[[#This Row],[bid_BA]]-df_mep[[#This Row],[ask_BA]])/AVERAGE(df_mep[[#This Row],[bid_BA]:[ask_BA]])</f>
        <v>1.3305385947325252E-2</v>
      </c>
      <c r="T196" s="36" t="e">
        <f>ABS(df_mep[[#This Row],[bid_D_BA]]-df_mep[[#This Row],[ask_D_BA]])/AVERAGE(df_mep[[#This Row],[bid_D_BA]:[ask_D_BA]])</f>
        <v>#DIV/0!</v>
      </c>
    </row>
    <row r="197" spans="1:20" hidden="1" x14ac:dyDescent="0.35">
      <c r="A197" s="55" t="s">
        <v>361</v>
      </c>
      <c r="B197" s="55" t="s">
        <v>81</v>
      </c>
      <c r="C197" s="4">
        <v>33845</v>
      </c>
      <c r="D197" s="4">
        <v>34847</v>
      </c>
      <c r="E197" s="4">
        <v>34169.5</v>
      </c>
      <c r="I197" s="5">
        <v>269</v>
      </c>
      <c r="J197" s="5">
        <f>df_mep[[#This Row],[volume_BA]]*df_mep[[#This Row],[open_BA]]</f>
        <v>9104305</v>
      </c>
      <c r="L197" s="5">
        <f>df_mep[[#This Row],[volume_D_BA]]*df_mep[[#This Row],[open_D_BA]]</f>
        <v>0</v>
      </c>
      <c r="P197" s="37">
        <f>MIN(1-df_mep[[#This Row],[MEP_compra_ARS]]/MEDIAN(N:N),100%)</f>
        <v>1</v>
      </c>
      <c r="Q197" s="38">
        <f>df_mep[[#This Row],[MEP_compra_USD]]/MEDIAN(O:O)-1</f>
        <v>-1</v>
      </c>
      <c r="R19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7" s="38">
        <f>ABS(df_mep[[#This Row],[bid_BA]]-df_mep[[#This Row],[ask_BA]])/AVERAGE(df_mep[[#This Row],[bid_BA]:[ask_BA]])</f>
        <v>1.9632986314866735E-2</v>
      </c>
      <c r="T197" s="36" t="e">
        <f>ABS(df_mep[[#This Row],[bid_D_BA]]-df_mep[[#This Row],[ask_D_BA]])/AVERAGE(df_mep[[#This Row],[bid_D_BA]:[ask_D_BA]])</f>
        <v>#DIV/0!</v>
      </c>
    </row>
    <row r="198" spans="1:20" hidden="1" x14ac:dyDescent="0.35">
      <c r="A198" s="55" t="s">
        <v>362</v>
      </c>
      <c r="B198" s="55" t="s">
        <v>81</v>
      </c>
      <c r="C198" s="4">
        <v>4850</v>
      </c>
      <c r="D198" s="4">
        <v>4985.5</v>
      </c>
      <c r="E198" s="4">
        <v>4973.5</v>
      </c>
      <c r="I198" s="5">
        <v>936</v>
      </c>
      <c r="J198" s="5">
        <f>df_mep[[#This Row],[volume_BA]]*df_mep[[#This Row],[open_BA]]</f>
        <v>4539600</v>
      </c>
      <c r="L198" s="5">
        <f>df_mep[[#This Row],[volume_D_BA]]*df_mep[[#This Row],[open_D_BA]]</f>
        <v>0</v>
      </c>
      <c r="P198" s="37">
        <f>MIN(1-df_mep[[#This Row],[MEP_compra_ARS]]/MEDIAN(N:N),100%)</f>
        <v>1</v>
      </c>
      <c r="Q198" s="38">
        <f>df_mep[[#This Row],[MEP_compra_USD]]/MEDIAN(O:O)-1</f>
        <v>-1</v>
      </c>
      <c r="R19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8" s="38">
        <f>ABS(df_mep[[#This Row],[bid_BA]]-df_mep[[#This Row],[ask_BA]])/AVERAGE(df_mep[[#This Row],[bid_BA]:[ask_BA]])</f>
        <v>2.4098805100913746E-3</v>
      </c>
      <c r="T198" s="36" t="e">
        <f>ABS(df_mep[[#This Row],[bid_D_BA]]-df_mep[[#This Row],[ask_D_BA]])/AVERAGE(df_mep[[#This Row],[bid_D_BA]:[ask_D_BA]])</f>
        <v>#DIV/0!</v>
      </c>
    </row>
    <row r="199" spans="1:20" hidden="1" x14ac:dyDescent="0.35">
      <c r="A199" s="55" t="s">
        <v>363</v>
      </c>
      <c r="B199" s="55" t="s">
        <v>81</v>
      </c>
      <c r="C199" s="4">
        <v>3465</v>
      </c>
      <c r="D199" s="4">
        <v>3493</v>
      </c>
      <c r="E199" s="4">
        <v>3450</v>
      </c>
      <c r="I199" s="5">
        <v>294</v>
      </c>
      <c r="J199" s="5">
        <f>df_mep[[#This Row],[volume_BA]]*df_mep[[#This Row],[open_BA]]</f>
        <v>1018710</v>
      </c>
      <c r="L199" s="5">
        <f>df_mep[[#This Row],[volume_D_BA]]*df_mep[[#This Row],[open_D_BA]]</f>
        <v>0</v>
      </c>
      <c r="P199" s="37">
        <f>MIN(1-df_mep[[#This Row],[MEP_compra_ARS]]/MEDIAN(N:N),100%)</f>
        <v>1</v>
      </c>
      <c r="Q199" s="38">
        <f>df_mep[[#This Row],[MEP_compra_USD]]/MEDIAN(O:O)-1</f>
        <v>-1</v>
      </c>
      <c r="R19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199" s="38">
        <f>ABS(df_mep[[#This Row],[bid_BA]]-df_mep[[#This Row],[ask_BA]])/AVERAGE(df_mep[[#This Row],[bid_BA]:[ask_BA]])</f>
        <v>1.2386576407892841E-2</v>
      </c>
      <c r="T199" s="36" t="e">
        <f>ABS(df_mep[[#This Row],[bid_D_BA]]-df_mep[[#This Row],[ask_D_BA]])/AVERAGE(df_mep[[#This Row],[bid_D_BA]:[ask_D_BA]])</f>
        <v>#DIV/0!</v>
      </c>
    </row>
    <row r="200" spans="1:20" hidden="1" x14ac:dyDescent="0.35">
      <c r="A200" s="55" t="s">
        <v>364</v>
      </c>
      <c r="B200" s="55" t="s">
        <v>81</v>
      </c>
      <c r="C200" s="4">
        <v>3558</v>
      </c>
      <c r="D200" s="4">
        <v>3636</v>
      </c>
      <c r="E200" s="4">
        <v>3600</v>
      </c>
      <c r="I200" s="5">
        <v>1377</v>
      </c>
      <c r="J200" s="5">
        <f>df_mep[[#This Row],[volume_BA]]*df_mep[[#This Row],[open_BA]]</f>
        <v>4899366</v>
      </c>
      <c r="L200" s="5">
        <f>df_mep[[#This Row],[volume_D_BA]]*df_mep[[#This Row],[open_D_BA]]</f>
        <v>0</v>
      </c>
      <c r="P200" s="37">
        <f>MIN(1-df_mep[[#This Row],[MEP_compra_ARS]]/MEDIAN(N:N),100%)</f>
        <v>1</v>
      </c>
      <c r="Q200" s="38">
        <f>df_mep[[#This Row],[MEP_compra_USD]]/MEDIAN(O:O)-1</f>
        <v>-1</v>
      </c>
      <c r="R20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0" s="38">
        <f>ABS(df_mep[[#This Row],[bid_BA]]-df_mep[[#This Row],[ask_BA]])/AVERAGE(df_mep[[#This Row],[bid_BA]:[ask_BA]])</f>
        <v>9.9502487562189053E-3</v>
      </c>
      <c r="T200" s="36" t="e">
        <f>ABS(df_mep[[#This Row],[bid_D_BA]]-df_mep[[#This Row],[ask_D_BA]])/AVERAGE(df_mep[[#This Row],[bid_D_BA]:[ask_D_BA]])</f>
        <v>#DIV/0!</v>
      </c>
    </row>
    <row r="201" spans="1:20" hidden="1" x14ac:dyDescent="0.35">
      <c r="A201" s="55" t="s">
        <v>365</v>
      </c>
      <c r="B201" s="55" t="s">
        <v>81</v>
      </c>
      <c r="C201" s="4">
        <v>29590.5</v>
      </c>
      <c r="D201" s="4">
        <v>30149</v>
      </c>
      <c r="E201" s="4">
        <v>29712</v>
      </c>
      <c r="I201" s="5">
        <v>224</v>
      </c>
      <c r="J201" s="5">
        <f>df_mep[[#This Row],[volume_BA]]*df_mep[[#This Row],[open_BA]]</f>
        <v>6628272</v>
      </c>
      <c r="L201" s="5">
        <f>df_mep[[#This Row],[volume_D_BA]]*df_mep[[#This Row],[open_D_BA]]</f>
        <v>0</v>
      </c>
      <c r="P201" s="37">
        <f>MIN(1-df_mep[[#This Row],[MEP_compra_ARS]]/MEDIAN(N:N),100%)</f>
        <v>1</v>
      </c>
      <c r="Q201" s="38">
        <f>df_mep[[#This Row],[MEP_compra_USD]]/MEDIAN(O:O)-1</f>
        <v>-1</v>
      </c>
      <c r="R20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1" s="38">
        <f>ABS(df_mep[[#This Row],[bid_BA]]-df_mep[[#This Row],[ask_BA]])/AVERAGE(df_mep[[#This Row],[bid_BA]:[ask_BA]])</f>
        <v>1.4600491137802577E-2</v>
      </c>
      <c r="T201" s="36" t="e">
        <f>ABS(df_mep[[#This Row],[bid_D_BA]]-df_mep[[#This Row],[ask_D_BA]])/AVERAGE(df_mep[[#This Row],[bid_D_BA]:[ask_D_BA]])</f>
        <v>#DIV/0!</v>
      </c>
    </row>
    <row r="202" spans="1:20" hidden="1" x14ac:dyDescent="0.35">
      <c r="A202" s="55" t="s">
        <v>366</v>
      </c>
      <c r="B202" s="55" t="s">
        <v>81</v>
      </c>
      <c r="C202" s="4">
        <v>14773</v>
      </c>
      <c r="D202" s="4">
        <v>15100</v>
      </c>
      <c r="E202" s="4">
        <v>14823.5</v>
      </c>
      <c r="I202" s="5">
        <v>404</v>
      </c>
      <c r="J202" s="5">
        <f>df_mep[[#This Row],[volume_BA]]*df_mep[[#This Row],[open_BA]]</f>
        <v>5968292</v>
      </c>
      <c r="L202" s="5">
        <f>df_mep[[#This Row],[volume_D_BA]]*df_mep[[#This Row],[open_D_BA]]</f>
        <v>0</v>
      </c>
      <c r="P202" s="37">
        <f>MIN(1-df_mep[[#This Row],[MEP_compra_ARS]]/MEDIAN(N:N),100%)</f>
        <v>1</v>
      </c>
      <c r="Q202" s="38">
        <f>df_mep[[#This Row],[MEP_compra_USD]]/MEDIAN(O:O)-1</f>
        <v>-1</v>
      </c>
      <c r="R20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2" s="38">
        <f>ABS(df_mep[[#This Row],[bid_BA]]-df_mep[[#This Row],[ask_BA]])/AVERAGE(df_mep[[#This Row],[bid_BA]:[ask_BA]])</f>
        <v>1.8480458502514747E-2</v>
      </c>
      <c r="T202" s="36" t="e">
        <f>ABS(df_mep[[#This Row],[bid_D_BA]]-df_mep[[#This Row],[ask_D_BA]])/AVERAGE(df_mep[[#This Row],[bid_D_BA]:[ask_D_BA]])</f>
        <v>#DIV/0!</v>
      </c>
    </row>
    <row r="203" spans="1:20" hidden="1" x14ac:dyDescent="0.35">
      <c r="A203" s="55" t="s">
        <v>367</v>
      </c>
      <c r="B203" s="55" t="s">
        <v>81</v>
      </c>
      <c r="C203" s="4">
        <v>13856</v>
      </c>
      <c r="D203" s="4">
        <v>13927.5</v>
      </c>
      <c r="E203" s="4">
        <v>13881</v>
      </c>
      <c r="I203" s="5">
        <v>2799</v>
      </c>
      <c r="J203" s="5">
        <f>df_mep[[#This Row],[volume_BA]]*df_mep[[#This Row],[open_BA]]</f>
        <v>38782944</v>
      </c>
      <c r="L203" s="5">
        <f>df_mep[[#This Row],[volume_D_BA]]*df_mep[[#This Row],[open_D_BA]]</f>
        <v>0</v>
      </c>
      <c r="P203" s="37">
        <f>MIN(1-df_mep[[#This Row],[MEP_compra_ARS]]/MEDIAN(N:N),100%)</f>
        <v>1</v>
      </c>
      <c r="Q203" s="38">
        <f>df_mep[[#This Row],[MEP_compra_USD]]/MEDIAN(O:O)-1</f>
        <v>-1</v>
      </c>
      <c r="R20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3" s="38">
        <f>ABS(df_mep[[#This Row],[bid_BA]]-df_mep[[#This Row],[ask_BA]])/AVERAGE(df_mep[[#This Row],[bid_BA]:[ask_BA]])</f>
        <v>3.3443012028696261E-3</v>
      </c>
      <c r="T203" s="36" t="e">
        <f>ABS(df_mep[[#This Row],[bid_D_BA]]-df_mep[[#This Row],[ask_D_BA]])/AVERAGE(df_mep[[#This Row],[bid_D_BA]:[ask_D_BA]])</f>
        <v>#DIV/0!</v>
      </c>
    </row>
    <row r="204" spans="1:20" hidden="1" x14ac:dyDescent="0.35">
      <c r="A204" s="55" t="s">
        <v>368</v>
      </c>
      <c r="B204" s="55" t="s">
        <v>81</v>
      </c>
      <c r="C204" s="4">
        <v>14005</v>
      </c>
      <c r="D204" s="4">
        <v>14262.5</v>
      </c>
      <c r="E204" s="4">
        <v>14000</v>
      </c>
      <c r="I204" s="5">
        <v>28</v>
      </c>
      <c r="J204" s="5">
        <f>df_mep[[#This Row],[volume_BA]]*df_mep[[#This Row],[open_BA]]</f>
        <v>392140</v>
      </c>
      <c r="L204" s="5">
        <f>df_mep[[#This Row],[volume_D_BA]]*df_mep[[#This Row],[open_D_BA]]</f>
        <v>0</v>
      </c>
      <c r="P204" s="37">
        <f>MIN(1-df_mep[[#This Row],[MEP_compra_ARS]]/MEDIAN(N:N),100%)</f>
        <v>1</v>
      </c>
      <c r="Q204" s="38">
        <f>df_mep[[#This Row],[MEP_compra_USD]]/MEDIAN(O:O)-1</f>
        <v>-1</v>
      </c>
      <c r="R20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4" s="38">
        <f>ABS(df_mep[[#This Row],[bid_BA]]-df_mep[[#This Row],[ask_BA]])/AVERAGE(df_mep[[#This Row],[bid_BA]:[ask_BA]])</f>
        <v>1.8575851393188854E-2</v>
      </c>
      <c r="T204" s="36" t="e">
        <f>ABS(df_mep[[#This Row],[bid_D_BA]]-df_mep[[#This Row],[ask_D_BA]])/AVERAGE(df_mep[[#This Row],[bid_D_BA]:[ask_D_BA]])</f>
        <v>#DIV/0!</v>
      </c>
    </row>
    <row r="205" spans="1:20" hidden="1" x14ac:dyDescent="0.35">
      <c r="A205" s="55" t="s">
        <v>369</v>
      </c>
      <c r="B205" s="55" t="s">
        <v>81</v>
      </c>
      <c r="C205" s="4">
        <v>20596</v>
      </c>
      <c r="D205" s="4">
        <v>20982.5</v>
      </c>
      <c r="E205" s="4">
        <v>20563</v>
      </c>
      <c r="I205" s="5">
        <v>35</v>
      </c>
      <c r="J205" s="5">
        <f>df_mep[[#This Row],[volume_BA]]*df_mep[[#This Row],[open_BA]]</f>
        <v>720860</v>
      </c>
      <c r="L205" s="5">
        <f>df_mep[[#This Row],[volume_D_BA]]*df_mep[[#This Row],[open_D_BA]]</f>
        <v>0</v>
      </c>
      <c r="P205" s="37">
        <f>MIN(1-df_mep[[#This Row],[MEP_compra_ARS]]/MEDIAN(N:N),100%)</f>
        <v>1</v>
      </c>
      <c r="Q205" s="38">
        <f>df_mep[[#This Row],[MEP_compra_USD]]/MEDIAN(O:O)-1</f>
        <v>-1</v>
      </c>
      <c r="R20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5" s="38">
        <f>ABS(df_mep[[#This Row],[bid_BA]]-df_mep[[#This Row],[ask_BA]])/AVERAGE(df_mep[[#This Row],[bid_BA]:[ask_BA]])</f>
        <v>2.019472626397564E-2</v>
      </c>
      <c r="T205" s="36" t="e">
        <f>ABS(df_mep[[#This Row],[bid_D_BA]]-df_mep[[#This Row],[ask_D_BA]])/AVERAGE(df_mep[[#This Row],[bid_D_BA]:[ask_D_BA]])</f>
        <v>#DIV/0!</v>
      </c>
    </row>
    <row r="206" spans="1:20" hidden="1" x14ac:dyDescent="0.35">
      <c r="A206" s="55" t="s">
        <v>370</v>
      </c>
      <c r="B206" s="55" t="s">
        <v>81</v>
      </c>
      <c r="C206" s="4">
        <v>22650</v>
      </c>
      <c r="D206" s="4">
        <v>22702</v>
      </c>
      <c r="E206" s="4">
        <v>22460</v>
      </c>
      <c r="I206" s="5">
        <v>16</v>
      </c>
      <c r="J206" s="5">
        <f>df_mep[[#This Row],[volume_BA]]*df_mep[[#This Row],[open_BA]]</f>
        <v>362400</v>
      </c>
      <c r="L206" s="5">
        <f>df_mep[[#This Row],[volume_D_BA]]*df_mep[[#This Row],[open_D_BA]]</f>
        <v>0</v>
      </c>
      <c r="P206" s="37">
        <f>MIN(1-df_mep[[#This Row],[MEP_compra_ARS]]/MEDIAN(N:N),100%)</f>
        <v>1</v>
      </c>
      <c r="Q206" s="38">
        <f>df_mep[[#This Row],[MEP_compra_USD]]/MEDIAN(O:O)-1</f>
        <v>-1</v>
      </c>
      <c r="R20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6" s="38">
        <f>ABS(df_mep[[#This Row],[bid_BA]]-df_mep[[#This Row],[ask_BA]])/AVERAGE(df_mep[[#This Row],[bid_BA]:[ask_BA]])</f>
        <v>1.0716974447544396E-2</v>
      </c>
      <c r="T206" s="36" t="e">
        <f>ABS(df_mep[[#This Row],[bid_D_BA]]-df_mep[[#This Row],[ask_D_BA]])/AVERAGE(df_mep[[#This Row],[bid_D_BA]:[ask_D_BA]])</f>
        <v>#DIV/0!</v>
      </c>
    </row>
    <row r="207" spans="1:20" hidden="1" x14ac:dyDescent="0.35">
      <c r="A207" s="55" t="s">
        <v>371</v>
      </c>
      <c r="B207" s="55" t="s">
        <v>81</v>
      </c>
      <c r="C207" s="4">
        <v>22479</v>
      </c>
      <c r="D207" s="4">
        <v>21813.5</v>
      </c>
      <c r="E207" s="4">
        <v>21543</v>
      </c>
      <c r="I207" s="5">
        <v>2859</v>
      </c>
      <c r="J207" s="5">
        <f>df_mep[[#This Row],[volume_BA]]*df_mep[[#This Row],[open_BA]]</f>
        <v>64267461</v>
      </c>
      <c r="L207" s="5">
        <f>df_mep[[#This Row],[volume_D_BA]]*df_mep[[#This Row],[open_D_BA]]</f>
        <v>0</v>
      </c>
      <c r="P207" s="37">
        <f>MIN(1-df_mep[[#This Row],[MEP_compra_ARS]]/MEDIAN(N:N),100%)</f>
        <v>1</v>
      </c>
      <c r="Q207" s="38">
        <f>df_mep[[#This Row],[MEP_compra_USD]]/MEDIAN(O:O)-1</f>
        <v>-1</v>
      </c>
      <c r="R20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7" s="38">
        <f>ABS(df_mep[[#This Row],[bid_BA]]-df_mep[[#This Row],[ask_BA]])/AVERAGE(df_mep[[#This Row],[bid_BA]:[ask_BA]])</f>
        <v>1.2477944483526114E-2</v>
      </c>
      <c r="T207" s="36" t="e">
        <f>ABS(df_mep[[#This Row],[bid_D_BA]]-df_mep[[#This Row],[ask_D_BA]])/AVERAGE(df_mep[[#This Row],[bid_D_BA]:[ask_D_BA]])</f>
        <v>#DIV/0!</v>
      </c>
    </row>
    <row r="208" spans="1:20" hidden="1" x14ac:dyDescent="0.35">
      <c r="A208" s="55" t="s">
        <v>372</v>
      </c>
      <c r="B208" s="55" t="s">
        <v>81</v>
      </c>
      <c r="C208" s="4">
        <v>34953.5</v>
      </c>
      <c r="D208" s="4">
        <v>34432</v>
      </c>
      <c r="E208" s="4">
        <v>33721.5</v>
      </c>
      <c r="I208" s="5">
        <v>41</v>
      </c>
      <c r="J208" s="5">
        <f>df_mep[[#This Row],[volume_BA]]*df_mep[[#This Row],[open_BA]]</f>
        <v>1433093.5</v>
      </c>
      <c r="L208" s="5">
        <f>df_mep[[#This Row],[volume_D_BA]]*df_mep[[#This Row],[open_D_BA]]</f>
        <v>0</v>
      </c>
      <c r="P208" s="37">
        <f>MIN(1-df_mep[[#This Row],[MEP_compra_ARS]]/MEDIAN(N:N),100%)</f>
        <v>1</v>
      </c>
      <c r="Q208" s="38">
        <f>df_mep[[#This Row],[MEP_compra_USD]]/MEDIAN(O:O)-1</f>
        <v>-1</v>
      </c>
      <c r="R20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8" s="38">
        <f>ABS(df_mep[[#This Row],[bid_BA]]-df_mep[[#This Row],[ask_BA]])/AVERAGE(df_mep[[#This Row],[bid_BA]:[ask_BA]])</f>
        <v>2.0849993030438642E-2</v>
      </c>
      <c r="T208" s="36" t="e">
        <f>ABS(df_mep[[#This Row],[bid_D_BA]]-df_mep[[#This Row],[ask_D_BA]])/AVERAGE(df_mep[[#This Row],[bid_D_BA]:[ask_D_BA]])</f>
        <v>#DIV/0!</v>
      </c>
    </row>
    <row r="209" spans="1:20" hidden="1" x14ac:dyDescent="0.35">
      <c r="A209" s="55" t="s">
        <v>373</v>
      </c>
      <c r="B209" s="55" t="s">
        <v>81</v>
      </c>
      <c r="C209" s="4">
        <v>1284.5</v>
      </c>
      <c r="D209" s="4">
        <v>1353</v>
      </c>
      <c r="E209" s="4">
        <v>1350</v>
      </c>
      <c r="I209" s="5">
        <v>3467</v>
      </c>
      <c r="J209" s="5">
        <f>df_mep[[#This Row],[volume_BA]]*df_mep[[#This Row],[open_BA]]</f>
        <v>4453361.5</v>
      </c>
      <c r="L209" s="5">
        <f>df_mep[[#This Row],[volume_D_BA]]*df_mep[[#This Row],[open_D_BA]]</f>
        <v>0</v>
      </c>
      <c r="P209" s="37">
        <f>MIN(1-df_mep[[#This Row],[MEP_compra_ARS]]/MEDIAN(N:N),100%)</f>
        <v>1</v>
      </c>
      <c r="Q209" s="38">
        <f>df_mep[[#This Row],[MEP_compra_USD]]/MEDIAN(O:O)-1</f>
        <v>-1</v>
      </c>
      <c r="R20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09" s="38">
        <f>ABS(df_mep[[#This Row],[bid_BA]]-df_mep[[#This Row],[ask_BA]])/AVERAGE(df_mep[[#This Row],[bid_BA]:[ask_BA]])</f>
        <v>2.2197558268590455E-3</v>
      </c>
      <c r="T209" s="36" t="e">
        <f>ABS(df_mep[[#This Row],[bid_D_BA]]-df_mep[[#This Row],[ask_D_BA]])/AVERAGE(df_mep[[#This Row],[bid_D_BA]:[ask_D_BA]])</f>
        <v>#DIV/0!</v>
      </c>
    </row>
    <row r="210" spans="1:20" hidden="1" x14ac:dyDescent="0.35">
      <c r="A210" s="55" t="s">
        <v>374</v>
      </c>
      <c r="B210" s="55" t="s">
        <v>81</v>
      </c>
      <c r="C210" s="4">
        <v>31713.5</v>
      </c>
      <c r="D210" s="4">
        <v>31646.5</v>
      </c>
      <c r="E210" s="4">
        <v>31500</v>
      </c>
      <c r="I210" s="5">
        <v>339</v>
      </c>
      <c r="J210" s="5">
        <f>df_mep[[#This Row],[volume_BA]]*df_mep[[#This Row],[open_BA]]</f>
        <v>10750876.5</v>
      </c>
      <c r="L210" s="5">
        <f>df_mep[[#This Row],[volume_D_BA]]*df_mep[[#This Row],[open_D_BA]]</f>
        <v>0</v>
      </c>
      <c r="P210" s="37">
        <f>MIN(1-df_mep[[#This Row],[MEP_compra_ARS]]/MEDIAN(N:N),100%)</f>
        <v>1</v>
      </c>
      <c r="Q210" s="38">
        <f>df_mep[[#This Row],[MEP_compra_USD]]/MEDIAN(O:O)-1</f>
        <v>-1</v>
      </c>
      <c r="R21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0" s="38">
        <f>ABS(df_mep[[#This Row],[bid_BA]]-df_mep[[#This Row],[ask_BA]])/AVERAGE(df_mep[[#This Row],[bid_BA]:[ask_BA]])</f>
        <v>4.6400038006857072E-3</v>
      </c>
      <c r="T210" s="36" t="e">
        <f>ABS(df_mep[[#This Row],[bid_D_BA]]-df_mep[[#This Row],[ask_D_BA]])/AVERAGE(df_mep[[#This Row],[bid_D_BA]:[ask_D_BA]])</f>
        <v>#DIV/0!</v>
      </c>
    </row>
    <row r="211" spans="1:20" hidden="1" x14ac:dyDescent="0.35">
      <c r="A211" s="55" t="s">
        <v>375</v>
      </c>
      <c r="B211" s="55" t="s">
        <v>81</v>
      </c>
      <c r="C211" s="4">
        <v>18607</v>
      </c>
      <c r="D211" s="4">
        <v>18519</v>
      </c>
      <c r="E211" s="4">
        <v>18400</v>
      </c>
      <c r="I211" s="5">
        <v>73</v>
      </c>
      <c r="J211" s="5">
        <f>df_mep[[#This Row],[volume_BA]]*df_mep[[#This Row],[open_BA]]</f>
        <v>1358311</v>
      </c>
      <c r="L211" s="5">
        <f>df_mep[[#This Row],[volume_D_BA]]*df_mep[[#This Row],[open_D_BA]]</f>
        <v>0</v>
      </c>
      <c r="P211" s="37">
        <f>MIN(1-df_mep[[#This Row],[MEP_compra_ARS]]/MEDIAN(N:N),100%)</f>
        <v>1</v>
      </c>
      <c r="Q211" s="38">
        <f>df_mep[[#This Row],[MEP_compra_USD]]/MEDIAN(O:O)-1</f>
        <v>-1</v>
      </c>
      <c r="R21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1" s="38">
        <f>ABS(df_mep[[#This Row],[bid_BA]]-df_mep[[#This Row],[ask_BA]])/AVERAGE(df_mep[[#This Row],[bid_BA]:[ask_BA]])</f>
        <v>6.4465451393591377E-3</v>
      </c>
      <c r="T211" s="36" t="e">
        <f>ABS(df_mep[[#This Row],[bid_D_BA]]-df_mep[[#This Row],[ask_D_BA]])/AVERAGE(df_mep[[#This Row],[bid_D_BA]:[ask_D_BA]])</f>
        <v>#DIV/0!</v>
      </c>
    </row>
    <row r="212" spans="1:20" hidden="1" x14ac:dyDescent="0.35">
      <c r="A212" s="55" t="s">
        <v>376</v>
      </c>
      <c r="B212" s="55" t="s">
        <v>81</v>
      </c>
      <c r="C212" s="4">
        <v>0</v>
      </c>
      <c r="D212" s="4">
        <v>0</v>
      </c>
      <c r="E212" s="4">
        <v>100</v>
      </c>
      <c r="I212" s="5">
        <v>0</v>
      </c>
      <c r="J212" s="5">
        <f>df_mep[[#This Row],[volume_BA]]*df_mep[[#This Row],[open_BA]]</f>
        <v>0</v>
      </c>
      <c r="L212" s="5">
        <f>df_mep[[#This Row],[volume_D_BA]]*df_mep[[#This Row],[open_D_BA]]</f>
        <v>0</v>
      </c>
      <c r="P212" s="37">
        <f>MIN(1-df_mep[[#This Row],[MEP_compra_ARS]]/MEDIAN(N:N),100%)</f>
        <v>1</v>
      </c>
      <c r="Q212" s="38">
        <f>df_mep[[#This Row],[MEP_compra_USD]]/MEDIAN(O:O)-1</f>
        <v>-1</v>
      </c>
      <c r="R21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2" s="38">
        <f>ABS(df_mep[[#This Row],[bid_BA]]-df_mep[[#This Row],[ask_BA]])/AVERAGE(df_mep[[#This Row],[bid_BA]:[ask_BA]])</f>
        <v>2</v>
      </c>
      <c r="T212" s="36" t="e">
        <f>ABS(df_mep[[#This Row],[bid_D_BA]]-df_mep[[#This Row],[ask_D_BA]])/AVERAGE(df_mep[[#This Row],[bid_D_BA]:[ask_D_BA]])</f>
        <v>#DIV/0!</v>
      </c>
    </row>
    <row r="213" spans="1:20" hidden="1" x14ac:dyDescent="0.35">
      <c r="A213" s="55" t="s">
        <v>377</v>
      </c>
      <c r="B213" s="55" t="s">
        <v>81</v>
      </c>
      <c r="C213" s="4">
        <v>40500</v>
      </c>
      <c r="D213" s="4">
        <v>40648</v>
      </c>
      <c r="E213" s="4">
        <v>39643.5</v>
      </c>
      <c r="I213" s="5">
        <v>47</v>
      </c>
      <c r="J213" s="5">
        <f>df_mep[[#This Row],[volume_BA]]*df_mep[[#This Row],[open_BA]]</f>
        <v>1903500</v>
      </c>
      <c r="L213" s="5">
        <f>df_mep[[#This Row],[volume_D_BA]]*df_mep[[#This Row],[open_D_BA]]</f>
        <v>0</v>
      </c>
      <c r="P213" s="37">
        <f>MIN(1-df_mep[[#This Row],[MEP_compra_ARS]]/MEDIAN(N:N),100%)</f>
        <v>1</v>
      </c>
      <c r="Q213" s="38">
        <f>df_mep[[#This Row],[MEP_compra_USD]]/MEDIAN(O:O)-1</f>
        <v>-1</v>
      </c>
      <c r="R21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3" s="38">
        <f>ABS(df_mep[[#This Row],[bid_BA]]-df_mep[[#This Row],[ask_BA]])/AVERAGE(df_mep[[#This Row],[bid_BA]:[ask_BA]])</f>
        <v>2.5021328534153679E-2</v>
      </c>
      <c r="T213" s="36" t="e">
        <f>ABS(df_mep[[#This Row],[bid_D_BA]]-df_mep[[#This Row],[ask_D_BA]])/AVERAGE(df_mep[[#This Row],[bid_D_BA]:[ask_D_BA]])</f>
        <v>#DIV/0!</v>
      </c>
    </row>
    <row r="214" spans="1:20" hidden="1" x14ac:dyDescent="0.35">
      <c r="A214" s="55" t="s">
        <v>378</v>
      </c>
      <c r="B214" s="55" t="s">
        <v>81</v>
      </c>
      <c r="C214" s="4">
        <v>8376</v>
      </c>
      <c r="D214" s="4">
        <v>8776</v>
      </c>
      <c r="E214" s="4">
        <v>8690</v>
      </c>
      <c r="I214" s="5">
        <v>737</v>
      </c>
      <c r="J214" s="5">
        <f>df_mep[[#This Row],[volume_BA]]*df_mep[[#This Row],[open_BA]]</f>
        <v>6173112</v>
      </c>
      <c r="L214" s="5">
        <f>df_mep[[#This Row],[volume_D_BA]]*df_mep[[#This Row],[open_D_BA]]</f>
        <v>0</v>
      </c>
      <c r="P214" s="37">
        <f>MIN(1-df_mep[[#This Row],[MEP_compra_ARS]]/MEDIAN(N:N),100%)</f>
        <v>1</v>
      </c>
      <c r="Q214" s="38">
        <f>df_mep[[#This Row],[MEP_compra_USD]]/MEDIAN(O:O)-1</f>
        <v>-1</v>
      </c>
      <c r="R21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4" s="38">
        <f>ABS(df_mep[[#This Row],[bid_BA]]-df_mep[[#This Row],[ask_BA]])/AVERAGE(df_mep[[#This Row],[bid_BA]:[ask_BA]])</f>
        <v>9.8477041108439248E-3</v>
      </c>
      <c r="T214" s="36" t="e">
        <f>ABS(df_mep[[#This Row],[bid_D_BA]]-df_mep[[#This Row],[ask_D_BA]])/AVERAGE(df_mep[[#This Row],[bid_D_BA]:[ask_D_BA]])</f>
        <v>#DIV/0!</v>
      </c>
    </row>
    <row r="215" spans="1:20" hidden="1" x14ac:dyDescent="0.35">
      <c r="A215" s="55" t="s">
        <v>379</v>
      </c>
      <c r="B215" s="55" t="s">
        <v>81</v>
      </c>
      <c r="C215" s="4">
        <v>20611.5</v>
      </c>
      <c r="D215" s="4">
        <v>20644</v>
      </c>
      <c r="E215" s="4">
        <v>20400</v>
      </c>
      <c r="I215" s="5">
        <v>225</v>
      </c>
      <c r="J215" s="5">
        <f>df_mep[[#This Row],[volume_BA]]*df_mep[[#This Row],[open_BA]]</f>
        <v>4637587.5</v>
      </c>
      <c r="L215" s="5">
        <f>df_mep[[#This Row],[volume_D_BA]]*df_mep[[#This Row],[open_D_BA]]</f>
        <v>0</v>
      </c>
      <c r="P215" s="37">
        <f>MIN(1-df_mep[[#This Row],[MEP_compra_ARS]]/MEDIAN(N:N),100%)</f>
        <v>1</v>
      </c>
      <c r="Q215" s="38">
        <f>df_mep[[#This Row],[MEP_compra_USD]]/MEDIAN(O:O)-1</f>
        <v>-1</v>
      </c>
      <c r="R21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5" s="38">
        <f>ABS(df_mep[[#This Row],[bid_BA]]-df_mep[[#This Row],[ask_BA]])/AVERAGE(df_mep[[#This Row],[bid_BA]:[ask_BA]])</f>
        <v>1.1889679368482604E-2</v>
      </c>
      <c r="T215" s="36" t="e">
        <f>ABS(df_mep[[#This Row],[bid_D_BA]]-df_mep[[#This Row],[ask_D_BA]])/AVERAGE(df_mep[[#This Row],[bid_D_BA]:[ask_D_BA]])</f>
        <v>#DIV/0!</v>
      </c>
    </row>
    <row r="216" spans="1:20" hidden="1" x14ac:dyDescent="0.35">
      <c r="A216" s="55" t="s">
        <v>380</v>
      </c>
      <c r="B216" s="55" t="s">
        <v>81</v>
      </c>
      <c r="C216" s="4">
        <v>10371.5</v>
      </c>
      <c r="D216" s="4">
        <v>10603</v>
      </c>
      <c r="E216" s="4">
        <v>10369</v>
      </c>
      <c r="I216" s="5">
        <v>20</v>
      </c>
      <c r="J216" s="5">
        <f>df_mep[[#This Row],[volume_BA]]*df_mep[[#This Row],[open_BA]]</f>
        <v>207430</v>
      </c>
      <c r="L216" s="5">
        <f>df_mep[[#This Row],[volume_D_BA]]*df_mep[[#This Row],[open_D_BA]]</f>
        <v>0</v>
      </c>
      <c r="P216" s="37">
        <f>MIN(1-df_mep[[#This Row],[MEP_compra_ARS]]/MEDIAN(N:N),100%)</f>
        <v>1</v>
      </c>
      <c r="Q216" s="38">
        <f>df_mep[[#This Row],[MEP_compra_USD]]/MEDIAN(O:O)-1</f>
        <v>-1</v>
      </c>
      <c r="R21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6" s="38">
        <f>ABS(df_mep[[#This Row],[bid_BA]]-df_mep[[#This Row],[ask_BA]])/AVERAGE(df_mep[[#This Row],[bid_BA]:[ask_BA]])</f>
        <v>2.2315468243372116E-2</v>
      </c>
      <c r="T216" s="36" t="e">
        <f>ABS(df_mep[[#This Row],[bid_D_BA]]-df_mep[[#This Row],[ask_D_BA]])/AVERAGE(df_mep[[#This Row],[bid_D_BA]:[ask_D_BA]])</f>
        <v>#DIV/0!</v>
      </c>
    </row>
    <row r="217" spans="1:20" hidden="1" x14ac:dyDescent="0.35">
      <c r="A217" s="55" t="s">
        <v>381</v>
      </c>
      <c r="B217" s="55" t="s">
        <v>81</v>
      </c>
      <c r="C217" s="4">
        <v>7391</v>
      </c>
      <c r="D217" s="4">
        <v>7490</v>
      </c>
      <c r="E217" s="4">
        <v>7333</v>
      </c>
      <c r="I217" s="5">
        <v>92</v>
      </c>
      <c r="J217" s="5">
        <f>df_mep[[#This Row],[volume_BA]]*df_mep[[#This Row],[open_BA]]</f>
        <v>679972</v>
      </c>
      <c r="L217" s="5">
        <f>df_mep[[#This Row],[volume_D_BA]]*df_mep[[#This Row],[open_D_BA]]</f>
        <v>0</v>
      </c>
      <c r="P217" s="37">
        <f>MIN(1-df_mep[[#This Row],[MEP_compra_ARS]]/MEDIAN(N:N),100%)</f>
        <v>1</v>
      </c>
      <c r="Q217" s="38">
        <f>df_mep[[#This Row],[MEP_compra_USD]]/MEDIAN(O:O)-1</f>
        <v>-1</v>
      </c>
      <c r="R21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7" s="38">
        <f>ABS(df_mep[[#This Row],[bid_BA]]-df_mep[[#This Row],[ask_BA]])/AVERAGE(df_mep[[#This Row],[bid_BA]:[ask_BA]])</f>
        <v>2.1183296228833571E-2</v>
      </c>
      <c r="T217" s="36" t="e">
        <f>ABS(df_mep[[#This Row],[bid_D_BA]]-df_mep[[#This Row],[ask_D_BA]])/AVERAGE(df_mep[[#This Row],[bid_D_BA]:[ask_D_BA]])</f>
        <v>#DIV/0!</v>
      </c>
    </row>
    <row r="218" spans="1:20" hidden="1" x14ac:dyDescent="0.35">
      <c r="A218" s="55" t="s">
        <v>382</v>
      </c>
      <c r="B218" s="55" t="s">
        <v>81</v>
      </c>
      <c r="C218" s="4">
        <v>14701.5</v>
      </c>
      <c r="D218" s="4">
        <v>16211</v>
      </c>
      <c r="E218" s="4">
        <v>15884.5</v>
      </c>
      <c r="I218" s="5">
        <v>0</v>
      </c>
      <c r="J218" s="5">
        <f>df_mep[[#This Row],[volume_BA]]*df_mep[[#This Row],[open_BA]]</f>
        <v>0</v>
      </c>
      <c r="L218" s="5">
        <f>df_mep[[#This Row],[volume_D_BA]]*df_mep[[#This Row],[open_D_BA]]</f>
        <v>0</v>
      </c>
      <c r="P218" s="37">
        <f>MIN(1-df_mep[[#This Row],[MEP_compra_ARS]]/MEDIAN(N:N),100%)</f>
        <v>1</v>
      </c>
      <c r="Q218" s="38">
        <f>df_mep[[#This Row],[MEP_compra_USD]]/MEDIAN(O:O)-1</f>
        <v>-1</v>
      </c>
      <c r="R21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8" s="38">
        <f>ABS(df_mep[[#This Row],[bid_BA]]-df_mep[[#This Row],[ask_BA]])/AVERAGE(df_mep[[#This Row],[bid_BA]:[ask_BA]])</f>
        <v>2.0345531305011606E-2</v>
      </c>
      <c r="T218" s="36" t="e">
        <f>ABS(df_mep[[#This Row],[bid_D_BA]]-df_mep[[#This Row],[ask_D_BA]])/AVERAGE(df_mep[[#This Row],[bid_D_BA]:[ask_D_BA]])</f>
        <v>#DIV/0!</v>
      </c>
    </row>
    <row r="219" spans="1:20" hidden="1" x14ac:dyDescent="0.35">
      <c r="A219" s="55" t="s">
        <v>383</v>
      </c>
      <c r="B219" s="55" t="s">
        <v>81</v>
      </c>
      <c r="C219" s="4">
        <v>476</v>
      </c>
      <c r="D219" s="4">
        <v>487</v>
      </c>
      <c r="E219" s="4">
        <v>468</v>
      </c>
      <c r="I219" s="5">
        <v>2050</v>
      </c>
      <c r="J219" s="5">
        <f>df_mep[[#This Row],[volume_BA]]*df_mep[[#This Row],[open_BA]]</f>
        <v>975800</v>
      </c>
      <c r="L219" s="5">
        <f>df_mep[[#This Row],[volume_D_BA]]*df_mep[[#This Row],[open_D_BA]]</f>
        <v>0</v>
      </c>
      <c r="P219" s="37">
        <f>MIN(1-df_mep[[#This Row],[MEP_compra_ARS]]/MEDIAN(N:N),100%)</f>
        <v>1</v>
      </c>
      <c r="Q219" s="38">
        <f>df_mep[[#This Row],[MEP_compra_USD]]/MEDIAN(O:O)-1</f>
        <v>-1</v>
      </c>
      <c r="R21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19" s="38">
        <f>ABS(df_mep[[#This Row],[bid_BA]]-df_mep[[#This Row],[ask_BA]])/AVERAGE(df_mep[[#This Row],[bid_BA]:[ask_BA]])</f>
        <v>3.9790575916230364E-2</v>
      </c>
      <c r="T219" s="36" t="e">
        <f>ABS(df_mep[[#This Row],[bid_D_BA]]-df_mep[[#This Row],[ask_D_BA]])/AVERAGE(df_mep[[#This Row],[bid_D_BA]:[ask_D_BA]])</f>
        <v>#DIV/0!</v>
      </c>
    </row>
    <row r="220" spans="1:20" hidden="1" x14ac:dyDescent="0.35">
      <c r="A220" s="55" t="s">
        <v>384</v>
      </c>
      <c r="B220" s="55" t="s">
        <v>81</v>
      </c>
      <c r="C220" s="4">
        <v>4200.5</v>
      </c>
      <c r="D220" s="4">
        <v>4383</v>
      </c>
      <c r="E220" s="4">
        <v>4330</v>
      </c>
      <c r="I220" s="5">
        <v>13083</v>
      </c>
      <c r="J220" s="5">
        <f>df_mep[[#This Row],[volume_BA]]*df_mep[[#This Row],[open_BA]]</f>
        <v>54955141.5</v>
      </c>
      <c r="L220" s="5">
        <f>df_mep[[#This Row],[volume_D_BA]]*df_mep[[#This Row],[open_D_BA]]</f>
        <v>0</v>
      </c>
      <c r="P220" s="37">
        <f>MIN(1-df_mep[[#This Row],[MEP_compra_ARS]]/MEDIAN(N:N),100%)</f>
        <v>1</v>
      </c>
      <c r="Q220" s="38">
        <f>df_mep[[#This Row],[MEP_compra_USD]]/MEDIAN(O:O)-1</f>
        <v>-1</v>
      </c>
      <c r="R22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0" s="38">
        <f>ABS(df_mep[[#This Row],[bid_BA]]-df_mep[[#This Row],[ask_BA]])/AVERAGE(df_mep[[#This Row],[bid_BA]:[ask_BA]])</f>
        <v>1.2165729369907036E-2</v>
      </c>
      <c r="T220" s="36" t="e">
        <f>ABS(df_mep[[#This Row],[bid_D_BA]]-df_mep[[#This Row],[ask_D_BA]])/AVERAGE(df_mep[[#This Row],[bid_D_BA]:[ask_D_BA]])</f>
        <v>#DIV/0!</v>
      </c>
    </row>
    <row r="221" spans="1:20" hidden="1" x14ac:dyDescent="0.35">
      <c r="A221" s="55" t="s">
        <v>385</v>
      </c>
      <c r="B221" s="55" t="s">
        <v>81</v>
      </c>
      <c r="C221" s="4">
        <v>14114</v>
      </c>
      <c r="D221" s="4">
        <v>14296.5</v>
      </c>
      <c r="E221" s="4">
        <v>13972.5</v>
      </c>
      <c r="I221" s="5">
        <v>32</v>
      </c>
      <c r="J221" s="5">
        <f>df_mep[[#This Row],[volume_BA]]*df_mep[[#This Row],[open_BA]]</f>
        <v>451648</v>
      </c>
      <c r="L221" s="5">
        <f>df_mep[[#This Row],[volume_D_BA]]*df_mep[[#This Row],[open_D_BA]]</f>
        <v>0</v>
      </c>
      <c r="P221" s="37">
        <f>MIN(1-df_mep[[#This Row],[MEP_compra_ARS]]/MEDIAN(N:N),100%)</f>
        <v>1</v>
      </c>
      <c r="Q221" s="38">
        <f>df_mep[[#This Row],[MEP_compra_USD]]/MEDIAN(O:O)-1</f>
        <v>-1</v>
      </c>
      <c r="R22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1" s="38">
        <f>ABS(df_mep[[#This Row],[bid_BA]]-df_mep[[#This Row],[ask_BA]])/AVERAGE(df_mep[[#This Row],[bid_BA]:[ask_BA]])</f>
        <v>2.2922636103151862E-2</v>
      </c>
      <c r="T221" s="36" t="e">
        <f>ABS(df_mep[[#This Row],[bid_D_BA]]-df_mep[[#This Row],[ask_D_BA]])/AVERAGE(df_mep[[#This Row],[bid_D_BA]:[ask_D_BA]])</f>
        <v>#DIV/0!</v>
      </c>
    </row>
    <row r="222" spans="1:20" hidden="1" x14ac:dyDescent="0.35">
      <c r="A222" s="55" t="s">
        <v>386</v>
      </c>
      <c r="B222" s="55" t="s">
        <v>81</v>
      </c>
      <c r="C222" s="4">
        <v>20850</v>
      </c>
      <c r="D222" s="4">
        <v>21257</v>
      </c>
      <c r="E222" s="4">
        <v>21069</v>
      </c>
      <c r="I222" s="5">
        <v>6</v>
      </c>
      <c r="J222" s="5">
        <f>df_mep[[#This Row],[volume_BA]]*df_mep[[#This Row],[open_BA]]</f>
        <v>125100</v>
      </c>
      <c r="L222" s="5">
        <f>df_mep[[#This Row],[volume_D_BA]]*df_mep[[#This Row],[open_D_BA]]</f>
        <v>0</v>
      </c>
      <c r="P222" s="37">
        <f>MIN(1-df_mep[[#This Row],[MEP_compra_ARS]]/MEDIAN(N:N),100%)</f>
        <v>1</v>
      </c>
      <c r="Q222" s="38">
        <f>df_mep[[#This Row],[MEP_compra_USD]]/MEDIAN(O:O)-1</f>
        <v>-1</v>
      </c>
      <c r="R22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2" s="38">
        <f>ABS(df_mep[[#This Row],[bid_BA]]-df_mep[[#This Row],[ask_BA]])/AVERAGE(df_mep[[#This Row],[bid_BA]:[ask_BA]])</f>
        <v>8.8834286254311778E-3</v>
      </c>
      <c r="T222" s="36" t="e">
        <f>ABS(df_mep[[#This Row],[bid_D_BA]]-df_mep[[#This Row],[ask_D_BA]])/AVERAGE(df_mep[[#This Row],[bid_D_BA]:[ask_D_BA]])</f>
        <v>#DIV/0!</v>
      </c>
    </row>
    <row r="223" spans="1:20" hidden="1" x14ac:dyDescent="0.35">
      <c r="A223" s="55" t="s">
        <v>387</v>
      </c>
      <c r="B223" s="55" t="s">
        <v>81</v>
      </c>
      <c r="C223" s="4">
        <v>7527</v>
      </c>
      <c r="D223" s="4">
        <v>7540</v>
      </c>
      <c r="E223" s="4">
        <v>7379</v>
      </c>
      <c r="I223" s="5">
        <v>508</v>
      </c>
      <c r="J223" s="5">
        <f>df_mep[[#This Row],[volume_BA]]*df_mep[[#This Row],[open_BA]]</f>
        <v>3823716</v>
      </c>
      <c r="L223" s="5">
        <f>df_mep[[#This Row],[volume_D_BA]]*df_mep[[#This Row],[open_D_BA]]</f>
        <v>0</v>
      </c>
      <c r="P223" s="37">
        <f>MIN(1-df_mep[[#This Row],[MEP_compra_ARS]]/MEDIAN(N:N),100%)</f>
        <v>1</v>
      </c>
      <c r="Q223" s="38">
        <f>df_mep[[#This Row],[MEP_compra_USD]]/MEDIAN(O:O)-1</f>
        <v>-1</v>
      </c>
      <c r="R22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3" s="38">
        <f>ABS(df_mep[[#This Row],[bid_BA]]-df_mep[[#This Row],[ask_BA]])/AVERAGE(df_mep[[#This Row],[bid_BA]:[ask_BA]])</f>
        <v>2.1583216033246196E-2</v>
      </c>
      <c r="T223" s="36" t="e">
        <f>ABS(df_mep[[#This Row],[bid_D_BA]]-df_mep[[#This Row],[ask_D_BA]])/AVERAGE(df_mep[[#This Row],[bid_D_BA]:[ask_D_BA]])</f>
        <v>#DIV/0!</v>
      </c>
    </row>
    <row r="224" spans="1:20" hidden="1" x14ac:dyDescent="0.35">
      <c r="A224" s="55" t="s">
        <v>388</v>
      </c>
      <c r="B224" s="55" t="s">
        <v>81</v>
      </c>
      <c r="C224" s="4">
        <v>9850</v>
      </c>
      <c r="D224" s="4">
        <v>9805</v>
      </c>
      <c r="E224" s="4">
        <v>9606</v>
      </c>
      <c r="I224" s="5">
        <v>1011</v>
      </c>
      <c r="J224" s="5">
        <f>df_mep[[#This Row],[volume_BA]]*df_mep[[#This Row],[open_BA]]</f>
        <v>9958350</v>
      </c>
      <c r="L224" s="5">
        <f>df_mep[[#This Row],[volume_D_BA]]*df_mep[[#This Row],[open_D_BA]]</f>
        <v>0</v>
      </c>
      <c r="P224" s="37">
        <f>MIN(1-df_mep[[#This Row],[MEP_compra_ARS]]/MEDIAN(N:N),100%)</f>
        <v>1</v>
      </c>
      <c r="Q224" s="38">
        <f>df_mep[[#This Row],[MEP_compra_USD]]/MEDIAN(O:O)-1</f>
        <v>-1</v>
      </c>
      <c r="R22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4" s="38">
        <f>ABS(df_mep[[#This Row],[bid_BA]]-df_mep[[#This Row],[ask_BA]])/AVERAGE(df_mep[[#This Row],[bid_BA]:[ask_BA]])</f>
        <v>2.0503838029982999E-2</v>
      </c>
      <c r="T224" s="36" t="e">
        <f>ABS(df_mep[[#This Row],[bid_D_BA]]-df_mep[[#This Row],[ask_D_BA]])/AVERAGE(df_mep[[#This Row],[bid_D_BA]:[ask_D_BA]])</f>
        <v>#DIV/0!</v>
      </c>
    </row>
    <row r="225" spans="1:20" hidden="1" x14ac:dyDescent="0.35">
      <c r="A225" s="55" t="s">
        <v>389</v>
      </c>
      <c r="B225" s="55" t="s">
        <v>81</v>
      </c>
      <c r="C225" s="4">
        <v>20978.5</v>
      </c>
      <c r="D225" s="4">
        <v>20791.5</v>
      </c>
      <c r="E225" s="4">
        <v>20360.5</v>
      </c>
      <c r="I225" s="5">
        <v>31</v>
      </c>
      <c r="J225" s="5">
        <f>df_mep[[#This Row],[volume_BA]]*df_mep[[#This Row],[open_BA]]</f>
        <v>650333.5</v>
      </c>
      <c r="L225" s="5">
        <f>df_mep[[#This Row],[volume_D_BA]]*df_mep[[#This Row],[open_D_BA]]</f>
        <v>0</v>
      </c>
      <c r="P225" s="37">
        <f>MIN(1-df_mep[[#This Row],[MEP_compra_ARS]]/MEDIAN(N:N),100%)</f>
        <v>1</v>
      </c>
      <c r="Q225" s="38">
        <f>df_mep[[#This Row],[MEP_compra_USD]]/MEDIAN(O:O)-1</f>
        <v>-1</v>
      </c>
      <c r="R22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5" s="38">
        <f>ABS(df_mep[[#This Row],[bid_BA]]-df_mep[[#This Row],[ask_BA]])/AVERAGE(df_mep[[#This Row],[bid_BA]:[ask_BA]])</f>
        <v>2.0946734059097978E-2</v>
      </c>
      <c r="T225" s="36" t="e">
        <f>ABS(df_mep[[#This Row],[bid_D_BA]]-df_mep[[#This Row],[ask_D_BA]])/AVERAGE(df_mep[[#This Row],[bid_D_BA]:[ask_D_BA]])</f>
        <v>#DIV/0!</v>
      </c>
    </row>
    <row r="226" spans="1:20" hidden="1" x14ac:dyDescent="0.35">
      <c r="A226" s="55" t="s">
        <v>390</v>
      </c>
      <c r="B226" s="55" t="s">
        <v>81</v>
      </c>
      <c r="C226" s="4">
        <v>937</v>
      </c>
      <c r="D226" s="4">
        <v>941.5</v>
      </c>
      <c r="E226" s="4">
        <v>927</v>
      </c>
      <c r="I226" s="5">
        <v>382</v>
      </c>
      <c r="J226" s="5">
        <f>df_mep[[#This Row],[volume_BA]]*df_mep[[#This Row],[open_BA]]</f>
        <v>357934</v>
      </c>
      <c r="L226" s="5">
        <f>df_mep[[#This Row],[volume_D_BA]]*df_mep[[#This Row],[open_D_BA]]</f>
        <v>0</v>
      </c>
      <c r="P226" s="37">
        <f>MIN(1-df_mep[[#This Row],[MEP_compra_ARS]]/MEDIAN(N:N),100%)</f>
        <v>1</v>
      </c>
      <c r="Q226" s="38">
        <f>df_mep[[#This Row],[MEP_compra_USD]]/MEDIAN(O:O)-1</f>
        <v>-1</v>
      </c>
      <c r="R22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6" s="38">
        <f>ABS(df_mep[[#This Row],[bid_BA]]-df_mep[[#This Row],[ask_BA]])/AVERAGE(df_mep[[#This Row],[bid_BA]:[ask_BA]])</f>
        <v>1.5520470966015521E-2</v>
      </c>
      <c r="T226" s="36" t="e">
        <f>ABS(df_mep[[#This Row],[bid_D_BA]]-df_mep[[#This Row],[ask_D_BA]])/AVERAGE(df_mep[[#This Row],[bid_D_BA]:[ask_D_BA]])</f>
        <v>#DIV/0!</v>
      </c>
    </row>
    <row r="227" spans="1:20" hidden="1" x14ac:dyDescent="0.35">
      <c r="A227" s="55" t="s">
        <v>391</v>
      </c>
      <c r="B227" s="55" t="s">
        <v>81</v>
      </c>
      <c r="C227" s="4">
        <v>7514.5</v>
      </c>
      <c r="D227" s="4">
        <v>7616</v>
      </c>
      <c r="E227" s="4">
        <v>7501.5</v>
      </c>
      <c r="I227" s="5">
        <v>316</v>
      </c>
      <c r="J227" s="5">
        <f>df_mep[[#This Row],[volume_BA]]*df_mep[[#This Row],[open_BA]]</f>
        <v>2374582</v>
      </c>
      <c r="L227" s="5">
        <f>df_mep[[#This Row],[volume_D_BA]]*df_mep[[#This Row],[open_D_BA]]</f>
        <v>0</v>
      </c>
      <c r="P227" s="37">
        <f>MIN(1-df_mep[[#This Row],[MEP_compra_ARS]]/MEDIAN(N:N),100%)</f>
        <v>1</v>
      </c>
      <c r="Q227" s="38">
        <f>df_mep[[#This Row],[MEP_compra_USD]]/MEDIAN(O:O)-1</f>
        <v>-1</v>
      </c>
      <c r="R22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7" s="38">
        <f>ABS(df_mep[[#This Row],[bid_BA]]-df_mep[[#This Row],[ask_BA]])/AVERAGE(df_mep[[#This Row],[bid_BA]:[ask_BA]])</f>
        <v>1.5148007276335373E-2</v>
      </c>
      <c r="T227" s="36" t="e">
        <f>ABS(df_mep[[#This Row],[bid_D_BA]]-df_mep[[#This Row],[ask_D_BA]])/AVERAGE(df_mep[[#This Row],[bid_D_BA]:[ask_D_BA]])</f>
        <v>#DIV/0!</v>
      </c>
    </row>
    <row r="228" spans="1:20" hidden="1" x14ac:dyDescent="0.35">
      <c r="A228" s="55" t="s">
        <v>393</v>
      </c>
      <c r="B228" s="55" t="s">
        <v>81</v>
      </c>
      <c r="C228" s="4">
        <v>3630</v>
      </c>
      <c r="D228" s="4">
        <v>3609</v>
      </c>
      <c r="E228" s="4">
        <v>3587.5</v>
      </c>
      <c r="I228" s="5">
        <v>52</v>
      </c>
      <c r="J228" s="5">
        <f>df_mep[[#This Row],[volume_BA]]*df_mep[[#This Row],[open_BA]]</f>
        <v>188760</v>
      </c>
      <c r="L228" s="5">
        <f>df_mep[[#This Row],[volume_D_BA]]*df_mep[[#This Row],[open_D_BA]]</f>
        <v>0</v>
      </c>
      <c r="P228" s="37">
        <f>MIN(1-df_mep[[#This Row],[MEP_compra_ARS]]/MEDIAN(N:N),100%)</f>
        <v>1</v>
      </c>
      <c r="Q228" s="38">
        <f>df_mep[[#This Row],[MEP_compra_USD]]/MEDIAN(O:O)-1</f>
        <v>-1</v>
      </c>
      <c r="R22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8" s="38">
        <f>ABS(df_mep[[#This Row],[bid_BA]]-df_mep[[#This Row],[ask_BA]])/AVERAGE(df_mep[[#This Row],[bid_BA]:[ask_BA]])</f>
        <v>5.9751267977489059E-3</v>
      </c>
      <c r="T228" s="36" t="e">
        <f>ABS(df_mep[[#This Row],[bid_D_BA]]-df_mep[[#This Row],[ask_D_BA]])/AVERAGE(df_mep[[#This Row],[bid_D_BA]:[ask_D_BA]])</f>
        <v>#DIV/0!</v>
      </c>
    </row>
    <row r="229" spans="1:20" hidden="1" x14ac:dyDescent="0.35">
      <c r="A229" s="55" t="s">
        <v>394</v>
      </c>
      <c r="B229" s="55" t="s">
        <v>81</v>
      </c>
      <c r="C229" s="4">
        <v>15117</v>
      </c>
      <c r="D229" s="4">
        <v>15222.5</v>
      </c>
      <c r="E229" s="4">
        <v>15120</v>
      </c>
      <c r="I229" s="5">
        <v>490</v>
      </c>
      <c r="J229" s="5">
        <f>df_mep[[#This Row],[volume_BA]]*df_mep[[#This Row],[open_BA]]</f>
        <v>7407330</v>
      </c>
      <c r="L229" s="5">
        <f>df_mep[[#This Row],[volume_D_BA]]*df_mep[[#This Row],[open_D_BA]]</f>
        <v>0</v>
      </c>
      <c r="P229" s="37">
        <f>MIN(1-df_mep[[#This Row],[MEP_compra_ARS]]/MEDIAN(N:N),100%)</f>
        <v>1</v>
      </c>
      <c r="Q229" s="38">
        <f>df_mep[[#This Row],[MEP_compra_USD]]/MEDIAN(O:O)-1</f>
        <v>-1</v>
      </c>
      <c r="R22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29" s="38">
        <f>ABS(df_mep[[#This Row],[bid_BA]]-df_mep[[#This Row],[ask_BA]])/AVERAGE(df_mep[[#This Row],[bid_BA]:[ask_BA]])</f>
        <v>6.7562000494356105E-3</v>
      </c>
      <c r="T229" s="36" t="e">
        <f>ABS(df_mep[[#This Row],[bid_D_BA]]-df_mep[[#This Row],[ask_D_BA]])/AVERAGE(df_mep[[#This Row],[bid_D_BA]:[ask_D_BA]])</f>
        <v>#DIV/0!</v>
      </c>
    </row>
    <row r="230" spans="1:20" hidden="1" x14ac:dyDescent="0.35">
      <c r="A230" s="55" t="s">
        <v>395</v>
      </c>
      <c r="B230" s="55" t="s">
        <v>81</v>
      </c>
      <c r="C230" s="4">
        <v>14948.5</v>
      </c>
      <c r="D230" s="4">
        <v>15248.5</v>
      </c>
      <c r="E230" s="4">
        <v>15170</v>
      </c>
      <c r="I230" s="5">
        <v>945</v>
      </c>
      <c r="J230" s="5">
        <f>df_mep[[#This Row],[volume_BA]]*df_mep[[#This Row],[open_BA]]</f>
        <v>14126332.5</v>
      </c>
      <c r="L230" s="5">
        <f>df_mep[[#This Row],[volume_D_BA]]*df_mep[[#This Row],[open_D_BA]]</f>
        <v>0</v>
      </c>
      <c r="P230" s="37">
        <f>MIN(1-df_mep[[#This Row],[MEP_compra_ARS]]/MEDIAN(N:N),100%)</f>
        <v>1</v>
      </c>
      <c r="Q230" s="38">
        <f>df_mep[[#This Row],[MEP_compra_USD]]/MEDIAN(O:O)-1</f>
        <v>-1</v>
      </c>
      <c r="R23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0" s="38">
        <f>ABS(df_mep[[#This Row],[bid_BA]]-df_mep[[#This Row],[ask_BA]])/AVERAGE(df_mep[[#This Row],[bid_BA]:[ask_BA]])</f>
        <v>5.1613327415881783E-3</v>
      </c>
      <c r="T230" s="36" t="e">
        <f>ABS(df_mep[[#This Row],[bid_D_BA]]-df_mep[[#This Row],[ask_D_BA]])/AVERAGE(df_mep[[#This Row],[bid_D_BA]:[ask_D_BA]])</f>
        <v>#DIV/0!</v>
      </c>
    </row>
    <row r="231" spans="1:20" hidden="1" x14ac:dyDescent="0.35">
      <c r="A231" s="55" t="s">
        <v>396</v>
      </c>
      <c r="B231" s="55" t="s">
        <v>81</v>
      </c>
      <c r="C231" s="4">
        <v>9800</v>
      </c>
      <c r="D231" s="4">
        <v>9876.5</v>
      </c>
      <c r="E231" s="4">
        <v>9799</v>
      </c>
      <c r="I231" s="5">
        <v>191</v>
      </c>
      <c r="J231" s="5">
        <f>df_mep[[#This Row],[volume_BA]]*df_mep[[#This Row],[open_BA]]</f>
        <v>1871800</v>
      </c>
      <c r="L231" s="5">
        <f>df_mep[[#This Row],[volume_D_BA]]*df_mep[[#This Row],[open_D_BA]]</f>
        <v>0</v>
      </c>
      <c r="P231" s="37">
        <f>MIN(1-df_mep[[#This Row],[MEP_compra_ARS]]/MEDIAN(N:N),100%)</f>
        <v>1</v>
      </c>
      <c r="Q231" s="38">
        <f>df_mep[[#This Row],[MEP_compra_USD]]/MEDIAN(O:O)-1</f>
        <v>-1</v>
      </c>
      <c r="R231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1" s="38">
        <f>ABS(df_mep[[#This Row],[bid_BA]]-df_mep[[#This Row],[ask_BA]])/AVERAGE(df_mep[[#This Row],[bid_BA]:[ask_BA]])</f>
        <v>7.8778175904043093E-3</v>
      </c>
      <c r="T231" s="36" t="e">
        <f>ABS(df_mep[[#This Row],[bid_D_BA]]-df_mep[[#This Row],[ask_D_BA]])/AVERAGE(df_mep[[#This Row],[bid_D_BA]:[ask_D_BA]])</f>
        <v>#DIV/0!</v>
      </c>
    </row>
    <row r="232" spans="1:20" hidden="1" x14ac:dyDescent="0.35">
      <c r="A232" s="55" t="s">
        <v>398</v>
      </c>
      <c r="B232" s="55" t="s">
        <v>81</v>
      </c>
      <c r="C232" s="4">
        <v>6017</v>
      </c>
      <c r="D232" s="4">
        <v>6136</v>
      </c>
      <c r="E232" s="4">
        <v>6017</v>
      </c>
      <c r="I232" s="5">
        <v>40</v>
      </c>
      <c r="J232" s="5">
        <f>df_mep[[#This Row],[volume_BA]]*df_mep[[#This Row],[open_BA]]</f>
        <v>240680</v>
      </c>
      <c r="L232" s="5">
        <f>df_mep[[#This Row],[volume_D_BA]]*df_mep[[#This Row],[open_D_BA]]</f>
        <v>0</v>
      </c>
      <c r="P232" s="37">
        <f>MIN(1-df_mep[[#This Row],[MEP_compra_ARS]]/MEDIAN(N:N),100%)</f>
        <v>1</v>
      </c>
      <c r="Q232" s="38">
        <f>df_mep[[#This Row],[MEP_compra_USD]]/MEDIAN(O:O)-1</f>
        <v>-1</v>
      </c>
      <c r="R232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2" s="38">
        <f>ABS(df_mep[[#This Row],[bid_BA]]-df_mep[[#This Row],[ask_BA]])/AVERAGE(df_mep[[#This Row],[bid_BA]:[ask_BA]])</f>
        <v>1.9583641899119559E-2</v>
      </c>
      <c r="T232" s="36" t="e">
        <f>ABS(df_mep[[#This Row],[bid_D_BA]]-df_mep[[#This Row],[ask_D_BA]])/AVERAGE(df_mep[[#This Row],[bid_D_BA]:[ask_D_BA]])</f>
        <v>#DIV/0!</v>
      </c>
    </row>
    <row r="233" spans="1:20" hidden="1" x14ac:dyDescent="0.35">
      <c r="A233" s="55" t="s">
        <v>399</v>
      </c>
      <c r="B233" s="55" t="s">
        <v>81</v>
      </c>
      <c r="C233" s="4">
        <v>8579</v>
      </c>
      <c r="D233" s="4">
        <v>8556</v>
      </c>
      <c r="E233" s="4">
        <v>8531</v>
      </c>
      <c r="I233" s="5">
        <v>15</v>
      </c>
      <c r="J233" s="5">
        <f>df_mep[[#This Row],[volume_BA]]*df_mep[[#This Row],[open_BA]]</f>
        <v>128685</v>
      </c>
      <c r="L233" s="5">
        <f>df_mep[[#This Row],[volume_D_BA]]*df_mep[[#This Row],[open_D_BA]]</f>
        <v>0</v>
      </c>
      <c r="P233" s="37">
        <f>MIN(1-df_mep[[#This Row],[MEP_compra_ARS]]/MEDIAN(N:N),100%)</f>
        <v>1</v>
      </c>
      <c r="Q233" s="38">
        <f>df_mep[[#This Row],[MEP_compra_USD]]/MEDIAN(O:O)-1</f>
        <v>-1</v>
      </c>
      <c r="R233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3" s="38">
        <f>ABS(df_mep[[#This Row],[bid_BA]]-df_mep[[#This Row],[ask_BA]])/AVERAGE(df_mep[[#This Row],[bid_BA]:[ask_BA]])</f>
        <v>2.9262012055948968E-3</v>
      </c>
      <c r="T233" s="36" t="e">
        <f>ABS(df_mep[[#This Row],[bid_D_BA]]-df_mep[[#This Row],[ask_D_BA]])/AVERAGE(df_mep[[#This Row],[bid_D_BA]:[ask_D_BA]])</f>
        <v>#DIV/0!</v>
      </c>
    </row>
    <row r="234" spans="1:20" hidden="1" x14ac:dyDescent="0.35">
      <c r="A234" s="55" t="s">
        <v>400</v>
      </c>
      <c r="B234" s="55" t="s">
        <v>81</v>
      </c>
      <c r="C234" s="4">
        <v>9095</v>
      </c>
      <c r="D234" s="4">
        <v>9150.5</v>
      </c>
      <c r="E234" s="4">
        <v>9136</v>
      </c>
      <c r="I234" s="5">
        <v>386</v>
      </c>
      <c r="J234" s="5">
        <f>df_mep[[#This Row],[volume_BA]]*df_mep[[#This Row],[open_BA]]</f>
        <v>3510670</v>
      </c>
      <c r="L234" s="5">
        <f>df_mep[[#This Row],[volume_D_BA]]*df_mep[[#This Row],[open_D_BA]]</f>
        <v>0</v>
      </c>
      <c r="P234" s="37">
        <f>MIN(1-df_mep[[#This Row],[MEP_compra_ARS]]/MEDIAN(N:N),100%)</f>
        <v>1</v>
      </c>
      <c r="Q234" s="38">
        <f>df_mep[[#This Row],[MEP_compra_USD]]/MEDIAN(O:O)-1</f>
        <v>-1</v>
      </c>
      <c r="R234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4" s="38">
        <f>ABS(df_mep[[#This Row],[bid_BA]]-df_mep[[#This Row],[ask_BA]])/AVERAGE(df_mep[[#This Row],[bid_BA]:[ask_BA]])</f>
        <v>1.5858693571760589E-3</v>
      </c>
      <c r="T234" s="36" t="e">
        <f>ABS(df_mep[[#This Row],[bid_D_BA]]-df_mep[[#This Row],[ask_D_BA]])/AVERAGE(df_mep[[#This Row],[bid_D_BA]:[ask_D_BA]])</f>
        <v>#DIV/0!</v>
      </c>
    </row>
    <row r="235" spans="1:20" hidden="1" x14ac:dyDescent="0.35">
      <c r="A235" s="55" t="s">
        <v>401</v>
      </c>
      <c r="B235" s="55" t="s">
        <v>81</v>
      </c>
      <c r="C235" s="4">
        <v>32499</v>
      </c>
      <c r="D235" s="4">
        <v>33196</v>
      </c>
      <c r="E235" s="4">
        <v>32482</v>
      </c>
      <c r="I235" s="5">
        <v>31</v>
      </c>
      <c r="J235" s="5">
        <f>df_mep[[#This Row],[volume_BA]]*df_mep[[#This Row],[open_BA]]</f>
        <v>1007469</v>
      </c>
      <c r="L235" s="5">
        <f>df_mep[[#This Row],[volume_D_BA]]*df_mep[[#This Row],[open_D_BA]]</f>
        <v>0</v>
      </c>
      <c r="P235" s="37">
        <f>MIN(1-df_mep[[#This Row],[MEP_compra_ARS]]/MEDIAN(N:N),100%)</f>
        <v>1</v>
      </c>
      <c r="Q235" s="38">
        <f>df_mep[[#This Row],[MEP_compra_USD]]/MEDIAN(O:O)-1</f>
        <v>-1</v>
      </c>
      <c r="R235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5" s="38">
        <f>ABS(df_mep[[#This Row],[bid_BA]]-df_mep[[#This Row],[ask_BA]])/AVERAGE(df_mep[[#This Row],[bid_BA]:[ask_BA]])</f>
        <v>2.1742440390998506E-2</v>
      </c>
      <c r="T235" s="36" t="e">
        <f>ABS(df_mep[[#This Row],[bid_D_BA]]-df_mep[[#This Row],[ask_D_BA]])/AVERAGE(df_mep[[#This Row],[bid_D_BA]:[ask_D_BA]])</f>
        <v>#DIV/0!</v>
      </c>
    </row>
    <row r="236" spans="1:20" hidden="1" x14ac:dyDescent="0.35">
      <c r="A236" s="55" t="s">
        <v>402</v>
      </c>
      <c r="B236" s="55" t="s">
        <v>81</v>
      </c>
      <c r="C236" s="4">
        <v>1996</v>
      </c>
      <c r="D236" s="4">
        <v>2004.5</v>
      </c>
      <c r="E236" s="4">
        <v>2000.5</v>
      </c>
      <c r="I236" s="5">
        <v>292</v>
      </c>
      <c r="J236" s="5">
        <f>df_mep[[#This Row],[volume_BA]]*df_mep[[#This Row],[open_BA]]</f>
        <v>582832</v>
      </c>
      <c r="L236" s="5">
        <f>df_mep[[#This Row],[volume_D_BA]]*df_mep[[#This Row],[open_D_BA]]</f>
        <v>0</v>
      </c>
      <c r="P236" s="37">
        <f>MIN(1-df_mep[[#This Row],[MEP_compra_ARS]]/MEDIAN(N:N),100%)</f>
        <v>1</v>
      </c>
      <c r="Q236" s="38">
        <f>df_mep[[#This Row],[MEP_compra_USD]]/MEDIAN(O:O)-1</f>
        <v>-1</v>
      </c>
      <c r="R236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6" s="38">
        <f>ABS(df_mep[[#This Row],[bid_BA]]-df_mep[[#This Row],[ask_BA]])/AVERAGE(df_mep[[#This Row],[bid_BA]:[ask_BA]])</f>
        <v>1.9975031210986267E-3</v>
      </c>
      <c r="T236" s="36" t="e">
        <f>ABS(df_mep[[#This Row],[bid_D_BA]]-df_mep[[#This Row],[ask_D_BA]])/AVERAGE(df_mep[[#This Row],[bid_D_BA]:[ask_D_BA]])</f>
        <v>#DIV/0!</v>
      </c>
    </row>
    <row r="237" spans="1:20" hidden="1" x14ac:dyDescent="0.35">
      <c r="A237" s="55" t="s">
        <v>403</v>
      </c>
      <c r="B237" s="55" t="s">
        <v>81</v>
      </c>
      <c r="C237" s="4">
        <v>4908.5</v>
      </c>
      <c r="D237" s="4">
        <v>5100</v>
      </c>
      <c r="E237" s="4">
        <v>5050</v>
      </c>
      <c r="I237" s="5">
        <v>8436</v>
      </c>
      <c r="J237" s="5">
        <f>df_mep[[#This Row],[volume_BA]]*df_mep[[#This Row],[open_BA]]</f>
        <v>41408106</v>
      </c>
      <c r="L237" s="5">
        <f>df_mep[[#This Row],[volume_D_BA]]*df_mep[[#This Row],[open_D_BA]]</f>
        <v>0</v>
      </c>
      <c r="P237" s="37">
        <f>MIN(1-df_mep[[#This Row],[MEP_compra_ARS]]/MEDIAN(N:N),100%)</f>
        <v>1</v>
      </c>
      <c r="Q237" s="38">
        <f>df_mep[[#This Row],[MEP_compra_USD]]/MEDIAN(O:O)-1</f>
        <v>-1</v>
      </c>
      <c r="R237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7" s="38">
        <f>ABS(df_mep[[#This Row],[bid_BA]]-df_mep[[#This Row],[ask_BA]])/AVERAGE(df_mep[[#This Row],[bid_BA]:[ask_BA]])</f>
        <v>9.852216748768473E-3</v>
      </c>
      <c r="T237" s="36" t="e">
        <f>ABS(df_mep[[#This Row],[bid_D_BA]]-df_mep[[#This Row],[ask_D_BA]])/AVERAGE(df_mep[[#This Row],[bid_D_BA]:[ask_D_BA]])</f>
        <v>#DIV/0!</v>
      </c>
    </row>
    <row r="238" spans="1:20" hidden="1" x14ac:dyDescent="0.35">
      <c r="A238" s="55" t="s">
        <v>404</v>
      </c>
      <c r="B238" s="55" t="s">
        <v>81</v>
      </c>
      <c r="C238" s="4">
        <v>14040</v>
      </c>
      <c r="D238" s="4">
        <v>13854.5</v>
      </c>
      <c r="E238" s="4">
        <v>13826</v>
      </c>
      <c r="I238" s="5">
        <v>18</v>
      </c>
      <c r="J238" s="5">
        <f>df_mep[[#This Row],[volume_BA]]*df_mep[[#This Row],[open_BA]]</f>
        <v>252720</v>
      </c>
      <c r="L238" s="5">
        <f>df_mep[[#This Row],[volume_D_BA]]*df_mep[[#This Row],[open_D_BA]]</f>
        <v>0</v>
      </c>
      <c r="P238" s="37">
        <f>MIN(1-df_mep[[#This Row],[MEP_compra_ARS]]/MEDIAN(N:N),100%)</f>
        <v>1</v>
      </c>
      <c r="Q238" s="38">
        <f>df_mep[[#This Row],[MEP_compra_USD]]/MEDIAN(O:O)-1</f>
        <v>-1</v>
      </c>
      <c r="R238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8" s="38">
        <f>ABS(df_mep[[#This Row],[bid_BA]]-df_mep[[#This Row],[ask_BA]])/AVERAGE(df_mep[[#This Row],[bid_BA]:[ask_BA]])</f>
        <v>2.0592113581763337E-3</v>
      </c>
      <c r="T238" s="36" t="e">
        <f>ABS(df_mep[[#This Row],[bid_D_BA]]-df_mep[[#This Row],[ask_D_BA]])/AVERAGE(df_mep[[#This Row],[bid_D_BA]:[ask_D_BA]])</f>
        <v>#DIV/0!</v>
      </c>
    </row>
    <row r="239" spans="1:20" hidden="1" x14ac:dyDescent="0.35">
      <c r="A239" s="55" t="s">
        <v>405</v>
      </c>
      <c r="B239" s="55" t="s">
        <v>81</v>
      </c>
      <c r="C239" s="4">
        <v>19850</v>
      </c>
      <c r="D239" s="4">
        <v>20292</v>
      </c>
      <c r="E239" s="4">
        <v>19900</v>
      </c>
      <c r="I239" s="5">
        <v>88</v>
      </c>
      <c r="J239" s="5">
        <f>df_mep[[#This Row],[volume_BA]]*df_mep[[#This Row],[open_BA]]</f>
        <v>1746800</v>
      </c>
      <c r="L239" s="5">
        <f>df_mep[[#This Row],[volume_D_BA]]*df_mep[[#This Row],[open_D_BA]]</f>
        <v>0</v>
      </c>
      <c r="P239" s="37">
        <f>MIN(1-df_mep[[#This Row],[MEP_compra_ARS]]/MEDIAN(N:N),100%)</f>
        <v>1</v>
      </c>
      <c r="Q239" s="38">
        <f>df_mep[[#This Row],[MEP_compra_USD]]/MEDIAN(O:O)-1</f>
        <v>-1</v>
      </c>
      <c r="R239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39" s="38">
        <f>ABS(df_mep[[#This Row],[bid_BA]]-df_mep[[#This Row],[ask_BA]])/AVERAGE(df_mep[[#This Row],[bid_BA]:[ask_BA]])</f>
        <v>1.9506369426751591E-2</v>
      </c>
      <c r="T239" s="36" t="e">
        <f>ABS(df_mep[[#This Row],[bid_D_BA]]-df_mep[[#This Row],[ask_D_BA]])/AVERAGE(df_mep[[#This Row],[bid_D_BA]:[ask_D_BA]])</f>
        <v>#DIV/0!</v>
      </c>
    </row>
    <row r="240" spans="1:20" hidden="1" x14ac:dyDescent="0.35">
      <c r="A240" s="55" t="s">
        <v>406</v>
      </c>
      <c r="B240" s="55" t="s">
        <v>81</v>
      </c>
      <c r="C240" s="4">
        <v>7838</v>
      </c>
      <c r="D240" s="4">
        <v>7860</v>
      </c>
      <c r="E240" s="4">
        <v>7688.5</v>
      </c>
      <c r="I240" s="5">
        <v>50</v>
      </c>
      <c r="J240" s="5">
        <f>df_mep[[#This Row],[volume_BA]]*df_mep[[#This Row],[open_BA]]</f>
        <v>391900</v>
      </c>
      <c r="L240" s="5">
        <f>df_mep[[#This Row],[volume_D_BA]]*df_mep[[#This Row],[open_D_BA]]</f>
        <v>0</v>
      </c>
      <c r="P240" s="37">
        <f>MIN(1-df_mep[[#This Row],[MEP_compra_ARS]]/MEDIAN(N:N),100%)</f>
        <v>1</v>
      </c>
      <c r="Q240" s="38">
        <f>df_mep[[#This Row],[MEP_compra_USD]]/MEDIAN(O:O)-1</f>
        <v>-1</v>
      </c>
      <c r="R240" s="39">
        <f>IF(AND(
df_mep[[#This Row],[volume_money_BA]]&gt;80000,
df_mep[[#This Row],[volume_money_D_BA]]&gt;2000,
ABS(df_mep[[#This Row],[conviene entrar ARS]])&lt;0.5,
ABS(df_mep[[#This Row],[conviene entrar USD]])&lt;0.5
),1,0)</f>
        <v>0</v>
      </c>
      <c r="S240" s="38">
        <f>ABS(df_mep[[#This Row],[bid_BA]]-df_mep[[#This Row],[ask_BA]])/AVERAGE(df_mep[[#This Row],[bid_BA]:[ask_BA]])</f>
        <v>2.206000578833971E-2</v>
      </c>
      <c r="T240" s="36" t="e">
        <f>ABS(df_mep[[#This Row],[bid_D_BA]]-df_mep[[#This Row],[ask_D_BA]])/AVERAGE(df_mep[[#This Row],[bid_D_BA]:[ask_D_BA]])</f>
        <v>#DIV/0!</v>
      </c>
    </row>
  </sheetData>
  <phoneticPr fontId="3" type="noConversion"/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4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4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6EB3-88EE-48BA-A650-9A2638C5F817}">
  <dimension ref="A1:AU58"/>
  <sheetViews>
    <sheetView tabSelected="1" topLeftCell="C12" zoomScale="85" zoomScaleNormal="85" workbookViewId="0">
      <selection activeCell="L17" sqref="L17:N22"/>
    </sheetView>
  </sheetViews>
  <sheetFormatPr defaultRowHeight="14.5" x14ac:dyDescent="0.35"/>
  <cols>
    <col min="2" max="2" width="12.81640625" bestFit="1" customWidth="1"/>
    <col min="3" max="3" width="14.7265625" bestFit="1" customWidth="1"/>
    <col min="4" max="4" width="12.81640625" bestFit="1" customWidth="1"/>
    <col min="5" max="5" width="13.7265625" customWidth="1"/>
    <col min="6" max="6" width="13.453125" bestFit="1" customWidth="1"/>
    <col min="7" max="7" width="14" bestFit="1" customWidth="1"/>
    <col min="8" max="8" width="12.453125" style="13" bestFit="1" customWidth="1"/>
    <col min="9" max="9" width="10.81640625" bestFit="1" customWidth="1"/>
    <col min="10" max="10" width="10.81640625" customWidth="1"/>
    <col min="11" max="11" width="14.7265625" bestFit="1" customWidth="1"/>
    <col min="12" max="12" width="13" bestFit="1" customWidth="1"/>
    <col min="14" max="14" width="12.1796875" bestFit="1" customWidth="1"/>
    <col min="15" max="15" width="11.1796875" bestFit="1" customWidth="1"/>
    <col min="16" max="16" width="23.26953125" bestFit="1" customWidth="1"/>
    <col min="17" max="17" width="15.54296875" customWidth="1"/>
    <col min="18" max="18" width="9.81640625" bestFit="1" customWidth="1"/>
    <col min="19" max="19" width="15.81640625" customWidth="1"/>
    <col min="21" max="21" width="14.26953125" customWidth="1"/>
    <col min="26" max="26" width="23.26953125" bestFit="1" customWidth="1"/>
    <col min="27" max="27" width="11.54296875" bestFit="1" customWidth="1"/>
    <col min="28" max="28" width="9.81640625" bestFit="1" customWidth="1"/>
    <col min="29" max="29" width="10.7265625" bestFit="1" customWidth="1"/>
    <col min="30" max="30" width="9.81640625" bestFit="1" customWidth="1"/>
    <col min="31" max="31" width="12.453125" bestFit="1" customWidth="1"/>
    <col min="32" max="32" width="9.81640625" bestFit="1" customWidth="1"/>
    <col min="33" max="33" width="12.453125" bestFit="1" customWidth="1"/>
    <col min="34" max="35" width="12.453125" customWidth="1"/>
    <col min="40" max="40" width="23.26953125" bestFit="1" customWidth="1"/>
    <col min="41" max="41" width="23.81640625" bestFit="1" customWidth="1"/>
    <col min="42" max="42" width="9.81640625" bestFit="1" customWidth="1"/>
    <col min="43" max="43" width="10.7265625" bestFit="1" customWidth="1"/>
    <col min="44" max="44" width="9.81640625" bestFit="1" customWidth="1"/>
    <col min="45" max="45" width="12.453125" bestFit="1" customWidth="1"/>
    <col min="47" max="47" width="12.453125" bestFit="1" customWidth="1"/>
  </cols>
  <sheetData>
    <row r="1" spans="1:47" x14ac:dyDescent="0.35">
      <c r="A1" t="s">
        <v>54</v>
      </c>
    </row>
    <row r="3" spans="1:47" x14ac:dyDescent="0.35">
      <c r="C3" s="17" t="s">
        <v>46</v>
      </c>
      <c r="D3" s="2">
        <f>D4*E25</f>
        <v>433983.96758280479</v>
      </c>
      <c r="F3" s="8"/>
      <c r="G3" s="8"/>
      <c r="L3" s="1" t="s">
        <v>34</v>
      </c>
      <c r="M3" s="1" t="s">
        <v>35</v>
      </c>
      <c r="Z3" s="17" t="s">
        <v>47</v>
      </c>
      <c r="AA3" s="7">
        <v>1000</v>
      </c>
      <c r="AN3" s="17" t="s">
        <v>47</v>
      </c>
      <c r="AO3" s="7">
        <v>1000</v>
      </c>
    </row>
    <row r="4" spans="1:47" x14ac:dyDescent="0.35">
      <c r="C4" s="17" t="s">
        <v>47</v>
      </c>
      <c r="D4" s="7">
        <v>500</v>
      </c>
      <c r="F4" s="8"/>
      <c r="G4" s="8"/>
      <c r="K4" s="1" t="s">
        <v>33</v>
      </c>
      <c r="L4" s="30">
        <v>1.4</v>
      </c>
      <c r="M4" s="15">
        <f>($L$4+1)^(1/365)-1</f>
        <v>2.4014232949169934E-3</v>
      </c>
    </row>
    <row r="5" spans="1:47" x14ac:dyDescent="0.35">
      <c r="C5" s="17" t="s">
        <v>43</v>
      </c>
      <c r="D5" s="31">
        <v>2.5000000000000001E-3</v>
      </c>
      <c r="H5"/>
      <c r="AN5" s="10" t="s">
        <v>9</v>
      </c>
      <c r="AO5" s="2">
        <f>AO26/AO25</f>
        <v>973.51162790697674</v>
      </c>
    </row>
    <row r="6" spans="1:47" x14ac:dyDescent="0.35">
      <c r="C6" s="17" t="str">
        <f>INDEX(df_mep!A:A,MATCH(D6,df_mep!O:O,0),1)</f>
        <v>XLE</v>
      </c>
      <c r="D6" s="9">
        <f>_xlfn.MAXIFS(df_mep[MEP_compra_USD],df_mep[can_use],"&gt;0")</f>
        <v>973.51162790697674</v>
      </c>
      <c r="E6" t="str">
        <f>VLOOKUP(C6,df_mep!A:B,2,0)</f>
        <v>Etf Spdr Energy Sector</v>
      </c>
      <c r="H6"/>
      <c r="AN6" s="10" t="s">
        <v>51</v>
      </c>
      <c r="AO6" s="2">
        <f>AO27/AO28</f>
        <v>697.05979517674268</v>
      </c>
    </row>
    <row r="7" spans="1:47" x14ac:dyDescent="0.35">
      <c r="C7" s="17" t="str">
        <f>INDEX(df_mep!A:A,MATCH(D7,df_mep!N:N,0),1)</f>
        <v>PEP</v>
      </c>
      <c r="D7" s="9">
        <f>_xlfn.MINIFS(df_mep[MEP_compra_ARS],df_mep[can_use],"&gt;0")</f>
        <v>762.42424242424238</v>
      </c>
      <c r="E7" t="str">
        <f>VLOOKUP(C7,df_mep!A:B,2,0)</f>
        <v>Pepsico</v>
      </c>
      <c r="H7"/>
      <c r="AN7" t="s">
        <v>53</v>
      </c>
      <c r="AO7" s="14">
        <f>AO5/AO6*(1-$D$5)-1</f>
        <v>0.39310552058304848</v>
      </c>
    </row>
    <row r="8" spans="1:47" x14ac:dyDescent="0.35">
      <c r="D8" s="14"/>
    </row>
    <row r="12" spans="1:47" x14ac:dyDescent="0.35">
      <c r="H12"/>
      <c r="Z12" s="27" t="s">
        <v>45</v>
      </c>
      <c r="AA12" s="27"/>
      <c r="AB12" s="27"/>
      <c r="AC12" s="27"/>
      <c r="AD12" s="27"/>
      <c r="AE12" s="27"/>
      <c r="AF12" s="27"/>
      <c r="AG12" s="27"/>
      <c r="AH12" s="27"/>
      <c r="AI12" s="27"/>
      <c r="AN12" s="27" t="s">
        <v>45</v>
      </c>
      <c r="AO12" s="27"/>
      <c r="AP12" s="27"/>
      <c r="AQ12" s="27"/>
      <c r="AR12" s="27"/>
      <c r="AS12" s="27"/>
      <c r="AT12" s="27"/>
      <c r="AU12" s="27"/>
    </row>
    <row r="13" spans="1:47" x14ac:dyDescent="0.35">
      <c r="D13" s="27" t="s">
        <v>45</v>
      </c>
      <c r="E13" s="27"/>
      <c r="F13" s="27"/>
      <c r="G13" s="27"/>
      <c r="H13" s="27"/>
      <c r="I13" s="27"/>
    </row>
    <row r="14" spans="1:47" x14ac:dyDescent="0.35">
      <c r="H14"/>
      <c r="Z14" s="18" t="s">
        <v>31</v>
      </c>
      <c r="AA14" s="18">
        <v>0</v>
      </c>
      <c r="AB14" s="18">
        <f t="shared" ref="AB14:AG14" si="0">AA14+1</f>
        <v>1</v>
      </c>
      <c r="AC14" s="18">
        <f t="shared" si="0"/>
        <v>2</v>
      </c>
      <c r="AD14" s="18">
        <f t="shared" si="0"/>
        <v>3</v>
      </c>
      <c r="AE14" s="18">
        <f t="shared" si="0"/>
        <v>4</v>
      </c>
      <c r="AF14" s="18">
        <f t="shared" si="0"/>
        <v>5</v>
      </c>
      <c r="AG14" s="18">
        <f t="shared" si="0"/>
        <v>6</v>
      </c>
      <c r="AH14" s="18"/>
      <c r="AI14" s="18"/>
      <c r="AN14" s="18" t="s">
        <v>31</v>
      </c>
      <c r="AO14" s="18">
        <v>0</v>
      </c>
      <c r="AP14" s="18">
        <f t="shared" ref="AP14:AU14" si="1">AO14+1</f>
        <v>1</v>
      </c>
      <c r="AQ14" s="18">
        <f t="shared" si="1"/>
        <v>2</v>
      </c>
      <c r="AR14" s="18">
        <f t="shared" si="1"/>
        <v>3</v>
      </c>
      <c r="AS14" s="18">
        <f t="shared" si="1"/>
        <v>4</v>
      </c>
      <c r="AT14" s="18">
        <f t="shared" si="1"/>
        <v>5</v>
      </c>
      <c r="AU14" s="18">
        <f t="shared" si="1"/>
        <v>6</v>
      </c>
    </row>
    <row r="15" spans="1:47" x14ac:dyDescent="0.35">
      <c r="D15" s="18" t="s">
        <v>31</v>
      </c>
      <c r="E15" s="18">
        <v>0</v>
      </c>
      <c r="F15" s="18">
        <f>E15+1</f>
        <v>1</v>
      </c>
      <c r="G15" s="18">
        <f>F15+1</f>
        <v>2</v>
      </c>
      <c r="H15" s="18">
        <f>G15+1</f>
        <v>3</v>
      </c>
      <c r="I15" s="18">
        <f>H15+1</f>
        <v>4</v>
      </c>
      <c r="Z15" s="10" t="str">
        <f>_xlfn.CONCAT($C$6,"D")</f>
        <v>XLED</v>
      </c>
      <c r="AA15" s="19" t="s">
        <v>32</v>
      </c>
      <c r="AB15" s="8"/>
      <c r="AC15" s="19" t="s">
        <v>40</v>
      </c>
      <c r="AD15" s="8"/>
      <c r="AE15" s="8"/>
      <c r="AN15" s="10" t="str">
        <f>_xlfn.CONCAT($C$6,"D")</f>
        <v>XLED</v>
      </c>
      <c r="AO15" s="19" t="s">
        <v>32</v>
      </c>
      <c r="AP15" s="8"/>
      <c r="AQ15" s="19" t="s">
        <v>40</v>
      </c>
      <c r="AR15" s="8"/>
      <c r="AS15" s="8"/>
    </row>
    <row r="16" spans="1:47" x14ac:dyDescent="0.35">
      <c r="D16" s="10" t="str">
        <f>_xlfn.CONCAT($C$6,"D")</f>
        <v>XLED</v>
      </c>
      <c r="E16" s="19" t="s">
        <v>32</v>
      </c>
      <c r="F16" s="8"/>
      <c r="G16" s="19" t="s">
        <v>40</v>
      </c>
      <c r="H16" s="8"/>
      <c r="I16" s="8"/>
      <c r="Z16" s="10" t="str">
        <f>$C$6</f>
        <v>XLE</v>
      </c>
      <c r="AC16" s="19" t="s">
        <v>39</v>
      </c>
      <c r="AD16" s="8"/>
      <c r="AE16" s="19" t="s">
        <v>41</v>
      </c>
      <c r="AN16" s="10" t="str">
        <f>$C$6</f>
        <v>XLE</v>
      </c>
      <c r="AQ16" s="19" t="s">
        <v>39</v>
      </c>
      <c r="AR16" s="8"/>
      <c r="AS16" s="19" t="s">
        <v>41</v>
      </c>
    </row>
    <row r="17" spans="3:47" ht="15.75" customHeight="1" x14ac:dyDescent="0.35">
      <c r="D17" s="10" t="str">
        <f>$C$6</f>
        <v>XLE</v>
      </c>
      <c r="G17" s="19" t="s">
        <v>39</v>
      </c>
      <c r="H17" s="8"/>
      <c r="I17" s="19" t="s">
        <v>41</v>
      </c>
      <c r="V17" s="8"/>
      <c r="W17" s="8"/>
      <c r="Z17" s="10" t="str">
        <f>$C$7</f>
        <v>PEP</v>
      </c>
      <c r="AA17" s="19" t="s">
        <v>32</v>
      </c>
      <c r="AB17" s="8"/>
      <c r="AC17" s="8"/>
      <c r="AN17" s="10" t="s">
        <v>51</v>
      </c>
      <c r="AO17" s="19" t="s">
        <v>32</v>
      </c>
      <c r="AP17" s="8"/>
      <c r="AQ17" s="8"/>
    </row>
    <row r="18" spans="3:47" ht="15.75" customHeight="1" x14ac:dyDescent="0.35">
      <c r="D18" s="10" t="str">
        <f>$C$7</f>
        <v>PEP</v>
      </c>
      <c r="E18" s="19" t="s">
        <v>32</v>
      </c>
      <c r="F18" s="8"/>
      <c r="G18" s="19" t="s">
        <v>40</v>
      </c>
      <c r="H18"/>
      <c r="W18" s="19"/>
      <c r="X18" s="8"/>
      <c r="Z18" s="10" t="str">
        <f>_xlfn.CONCAT($C$7,"D")</f>
        <v>PEPD</v>
      </c>
      <c r="AC18" s="19" t="s">
        <v>39</v>
      </c>
      <c r="AD18" s="8"/>
      <c r="AE18" s="19" t="s">
        <v>38</v>
      </c>
      <c r="AN18" s="10" t="s">
        <v>52</v>
      </c>
      <c r="AQ18" s="19" t="s">
        <v>39</v>
      </c>
      <c r="AR18" s="8"/>
      <c r="AS18" s="19" t="s">
        <v>38</v>
      </c>
    </row>
    <row r="19" spans="3:47" x14ac:dyDescent="0.35">
      <c r="D19" s="10" t="str">
        <f>_xlfn.CONCAT($C$7,"D")</f>
        <v>PEPD</v>
      </c>
      <c r="G19" s="19" t="s">
        <v>39</v>
      </c>
      <c r="H19" s="8"/>
      <c r="I19" s="19" t="s">
        <v>41</v>
      </c>
    </row>
    <row r="20" spans="3:47" ht="15.75" customHeight="1" x14ac:dyDescent="0.35">
      <c r="H20"/>
      <c r="AE20" s="13"/>
      <c r="AF20" s="13"/>
      <c r="AG20" s="13"/>
      <c r="AH20" s="13"/>
      <c r="AI20" s="13"/>
      <c r="AS20" s="13"/>
      <c r="AT20" s="13"/>
      <c r="AU20" s="13"/>
    </row>
    <row r="21" spans="3:47" x14ac:dyDescent="0.35">
      <c r="H21"/>
      <c r="Z21" s="27" t="s">
        <v>42</v>
      </c>
      <c r="AA21" s="27"/>
      <c r="AB21" s="27"/>
      <c r="AC21" s="27"/>
      <c r="AD21" s="27"/>
      <c r="AE21" s="27"/>
      <c r="AF21" s="27"/>
      <c r="AG21" s="27"/>
      <c r="AH21" s="27"/>
      <c r="AI21" s="27"/>
      <c r="AN21" s="27" t="s">
        <v>42</v>
      </c>
      <c r="AO21" s="27"/>
      <c r="AP21" s="27"/>
      <c r="AQ21" s="27"/>
      <c r="AR21" s="27"/>
      <c r="AS21" s="27"/>
      <c r="AT21" s="27"/>
      <c r="AU21" s="27"/>
    </row>
    <row r="22" spans="3:47" x14ac:dyDescent="0.35">
      <c r="D22" s="27" t="s">
        <v>42</v>
      </c>
      <c r="E22" s="27"/>
      <c r="F22" s="27"/>
      <c r="G22" s="27"/>
      <c r="H22" s="27"/>
      <c r="I22" s="27"/>
    </row>
    <row r="23" spans="3:47" x14ac:dyDescent="0.35">
      <c r="H23"/>
      <c r="Z23" s="18" t="s">
        <v>31</v>
      </c>
      <c r="AA23" s="18">
        <v>0</v>
      </c>
      <c r="AB23" s="18">
        <f t="shared" ref="AB23:AI23" si="2">AA23+1</f>
        <v>1</v>
      </c>
      <c r="AC23" s="18">
        <f t="shared" si="2"/>
        <v>2</v>
      </c>
      <c r="AD23" s="18">
        <f t="shared" si="2"/>
        <v>3</v>
      </c>
      <c r="AE23" s="18">
        <f t="shared" si="2"/>
        <v>4</v>
      </c>
      <c r="AF23" s="18">
        <f t="shared" si="2"/>
        <v>5</v>
      </c>
      <c r="AG23" s="18">
        <f t="shared" si="2"/>
        <v>6</v>
      </c>
      <c r="AH23" s="18">
        <f t="shared" si="2"/>
        <v>7</v>
      </c>
      <c r="AI23" s="18">
        <f t="shared" si="2"/>
        <v>8</v>
      </c>
      <c r="AN23" s="18" t="s">
        <v>31</v>
      </c>
      <c r="AO23" s="18">
        <v>0</v>
      </c>
      <c r="AP23" s="18">
        <f t="shared" ref="AP23:AU23" si="3">AO23+1</f>
        <v>1</v>
      </c>
      <c r="AQ23" s="18">
        <f t="shared" si="3"/>
        <v>2</v>
      </c>
      <c r="AR23" s="18">
        <f t="shared" si="3"/>
        <v>3</v>
      </c>
      <c r="AS23" s="18">
        <f t="shared" si="3"/>
        <v>4</v>
      </c>
      <c r="AT23" s="18">
        <f t="shared" si="3"/>
        <v>5</v>
      </c>
      <c r="AU23" s="18">
        <f t="shared" si="3"/>
        <v>6</v>
      </c>
    </row>
    <row r="24" spans="3:47" x14ac:dyDescent="0.35">
      <c r="D24" s="18" t="s">
        <v>31</v>
      </c>
      <c r="E24" s="18">
        <v>0</v>
      </c>
      <c r="F24" s="18">
        <f>E24+1</f>
        <v>1</v>
      </c>
      <c r="G24" s="18">
        <f>F24+1</f>
        <v>2</v>
      </c>
      <c r="H24" s="18">
        <f>G24+1</f>
        <v>3</v>
      </c>
      <c r="I24" s="18">
        <f>H24+1</f>
        <v>4</v>
      </c>
      <c r="Z24" s="10" t="s">
        <v>36</v>
      </c>
      <c r="AA24" s="12">
        <f t="shared" ref="AA24:AI24" si="4">AVERAGE(AA26/AA25,AA27/AA28)</f>
        <v>867.96793516560956</v>
      </c>
      <c r="AB24" s="12">
        <f t="shared" si="4"/>
        <v>870.05229358435736</v>
      </c>
      <c r="AC24" s="12">
        <f t="shared" si="4"/>
        <v>872.1416574299667</v>
      </c>
      <c r="AD24" s="12">
        <f t="shared" si="4"/>
        <v>874.2360387225865</v>
      </c>
      <c r="AE24" s="12">
        <f t="shared" si="4"/>
        <v>876.33544951123099</v>
      </c>
      <c r="AF24" s="12">
        <f t="shared" si="4"/>
        <v>878.43990187384873</v>
      </c>
      <c r="AG24" s="12">
        <f t="shared" si="4"/>
        <v>880.54940791739318</v>
      </c>
      <c r="AH24" s="12">
        <f t="shared" si="4"/>
        <v>882.66397977789143</v>
      </c>
      <c r="AI24" s="12">
        <f t="shared" si="4"/>
        <v>884.78362962051415</v>
      </c>
      <c r="AN24" s="10" t="s">
        <v>36</v>
      </c>
      <c r="AO24" s="12">
        <f t="shared" ref="AO24:AU24" si="5">AVERAGE(AO26/AO25,AO27/AO28)</f>
        <v>835.28571154185965</v>
      </c>
      <c r="AP24" s="12">
        <f t="shared" si="5"/>
        <v>837.29158610746765</v>
      </c>
      <c r="AQ24" s="12">
        <f t="shared" si="5"/>
        <v>839.30227762698405</v>
      </c>
      <c r="AR24" s="12">
        <f t="shared" si="5"/>
        <v>841.31779766795444</v>
      </c>
      <c r="AS24" s="12">
        <f t="shared" si="5"/>
        <v>843.33815782570252</v>
      </c>
      <c r="AT24" s="12">
        <f t="shared" si="5"/>
        <v>845.36336972339745</v>
      </c>
      <c r="AU24" s="12">
        <f t="shared" si="5"/>
        <v>847.39344501212076</v>
      </c>
    </row>
    <row r="25" spans="3:47" x14ac:dyDescent="0.35">
      <c r="D25" s="10" t="s">
        <v>36</v>
      </c>
      <c r="E25" s="12">
        <f>AVERAGE(E27/E26,E28/E29)</f>
        <v>867.96793516560956</v>
      </c>
      <c r="F25" s="12">
        <f>AVERAGE(F27/F26,F28/F29)</f>
        <v>870.05229358435736</v>
      </c>
      <c r="G25" s="12">
        <f>AVERAGE(G27/G26,G28/G29)</f>
        <v>872.1416574299667</v>
      </c>
      <c r="H25" s="12">
        <f>AVERAGE(H27/H26,H28/H29)</f>
        <v>874.2360387225865</v>
      </c>
      <c r="I25" s="12">
        <f>AVERAGE(I27/I26,I28/I29)</f>
        <v>876.33544951123099</v>
      </c>
      <c r="Y25" s="54" t="str">
        <f>$C$6</f>
        <v>XLE</v>
      </c>
      <c r="Z25" s="10" t="s">
        <v>5</v>
      </c>
      <c r="AA25" s="28">
        <f>E26</f>
        <v>43</v>
      </c>
      <c r="AB25" s="11">
        <f t="shared" ref="AB25:AI25" si="6">AA25</f>
        <v>43</v>
      </c>
      <c r="AC25" s="11">
        <f t="shared" si="6"/>
        <v>43</v>
      </c>
      <c r="AD25" s="11">
        <f t="shared" si="6"/>
        <v>43</v>
      </c>
      <c r="AE25" s="11">
        <f t="shared" si="6"/>
        <v>43</v>
      </c>
      <c r="AF25" s="11">
        <f t="shared" si="6"/>
        <v>43</v>
      </c>
      <c r="AG25" s="11">
        <f t="shared" si="6"/>
        <v>43</v>
      </c>
      <c r="AH25" s="11">
        <f t="shared" si="6"/>
        <v>43</v>
      </c>
      <c r="AI25" s="11">
        <f t="shared" si="6"/>
        <v>43</v>
      </c>
      <c r="AM25" s="54" t="str">
        <f>AN16</f>
        <v>XLE</v>
      </c>
      <c r="AN25" s="10" t="s">
        <v>5</v>
      </c>
      <c r="AO25" s="28">
        <f>AA25</f>
        <v>43</v>
      </c>
      <c r="AP25" s="11">
        <f t="shared" ref="AP25:AU25" si="7">AO25</f>
        <v>43</v>
      </c>
      <c r="AQ25" s="11">
        <f t="shared" si="7"/>
        <v>43</v>
      </c>
      <c r="AR25" s="11">
        <f t="shared" si="7"/>
        <v>43</v>
      </c>
      <c r="AS25" s="11">
        <f t="shared" si="7"/>
        <v>43</v>
      </c>
      <c r="AT25" s="11">
        <f t="shared" si="7"/>
        <v>43</v>
      </c>
      <c r="AU25" s="11">
        <f t="shared" si="7"/>
        <v>43</v>
      </c>
    </row>
    <row r="26" spans="3:47" x14ac:dyDescent="0.35">
      <c r="C26" s="33" t="str">
        <f>$C$6</f>
        <v>XLE</v>
      </c>
      <c r="D26" s="10" t="s">
        <v>65</v>
      </c>
      <c r="E26" s="28">
        <f>VLOOKUP(C26,df_mep!A:O,MATCH(D26,df_mep[#Headers],0),0)</f>
        <v>43</v>
      </c>
      <c r="F26" s="11">
        <f>E26</f>
        <v>43</v>
      </c>
      <c r="G26" s="11">
        <f>F26</f>
        <v>43</v>
      </c>
      <c r="H26" s="11">
        <f>G26</f>
        <v>43</v>
      </c>
      <c r="I26" s="11">
        <f>H26</f>
        <v>43</v>
      </c>
      <c r="K26" s="12"/>
      <c r="Y26" s="54"/>
      <c r="Z26" s="20" t="s">
        <v>2</v>
      </c>
      <c r="AA26" s="29">
        <f>E27</f>
        <v>41861</v>
      </c>
      <c r="AB26" s="16">
        <f t="shared" ref="AB26:AI27" si="8">AA26*(1+$M$4)</f>
        <v>41961.525980548518</v>
      </c>
      <c r="AC26" s="16">
        <f t="shared" si="8"/>
        <v>42062.293366528473</v>
      </c>
      <c r="AD26" s="16">
        <f t="shared" si="8"/>
        <v>42163.302737656486</v>
      </c>
      <c r="AE26" s="16">
        <f t="shared" si="8"/>
        <v>42264.554675041334</v>
      </c>
      <c r="AF26" s="16">
        <f t="shared" si="8"/>
        <v>42366.049761187271</v>
      </c>
      <c r="AG26" s="16">
        <f t="shared" si="8"/>
        <v>42467.788579997396</v>
      </c>
      <c r="AH26" s="16">
        <f t="shared" si="8"/>
        <v>42569.77171677701</v>
      </c>
      <c r="AI26" s="16">
        <f t="shared" si="8"/>
        <v>42671.999758236976</v>
      </c>
      <c r="AM26" s="54"/>
      <c r="AN26" s="20" t="s">
        <v>2</v>
      </c>
      <c r="AO26" s="29">
        <f>AA26</f>
        <v>41861</v>
      </c>
      <c r="AP26" s="16">
        <f t="shared" ref="AP26:AU27" si="9">AO26*(1+$M$4)</f>
        <v>41961.525980548518</v>
      </c>
      <c r="AQ26" s="16">
        <f t="shared" si="9"/>
        <v>42062.293366528473</v>
      </c>
      <c r="AR26" s="16">
        <f t="shared" si="9"/>
        <v>42163.302737656486</v>
      </c>
      <c r="AS26" s="16">
        <f t="shared" si="9"/>
        <v>42264.554675041334</v>
      </c>
      <c r="AT26" s="16">
        <f t="shared" si="9"/>
        <v>42366.049761187271</v>
      </c>
      <c r="AU26" s="16">
        <f t="shared" si="9"/>
        <v>42467.788579997396</v>
      </c>
    </row>
    <row r="27" spans="3:47" x14ac:dyDescent="0.35">
      <c r="C27" s="33" t="str">
        <f>$C$6</f>
        <v>XLE</v>
      </c>
      <c r="D27" s="20" t="s">
        <v>61</v>
      </c>
      <c r="E27" s="28">
        <f>VLOOKUP(C27,df_mep!A:O,MATCH(D27,df_mep[#Headers],0),0)</f>
        <v>41861</v>
      </c>
      <c r="F27" s="16">
        <f t="shared" ref="F27:I28" si="10">E27*(1+$M$4)</f>
        <v>41961.525980548518</v>
      </c>
      <c r="G27" s="16">
        <f t="shared" si="10"/>
        <v>42062.293366528473</v>
      </c>
      <c r="H27" s="16">
        <f t="shared" si="10"/>
        <v>42163.302737656486</v>
      </c>
      <c r="I27" s="16">
        <f t="shared" si="10"/>
        <v>42264.554675041334</v>
      </c>
      <c r="K27" s="12"/>
      <c r="Y27" s="54" t="str">
        <f>$C$7</f>
        <v>PEP</v>
      </c>
      <c r="Z27" s="20" t="s">
        <v>3</v>
      </c>
      <c r="AA27" s="29">
        <f>E28</f>
        <v>25160</v>
      </c>
      <c r="AB27" s="16">
        <f t="shared" si="8"/>
        <v>25220.419810100113</v>
      </c>
      <c r="AC27" s="16">
        <f t="shared" si="8"/>
        <v>25280.984713739672</v>
      </c>
      <c r="AD27" s="16">
        <f t="shared" si="8"/>
        <v>25341.695059349688</v>
      </c>
      <c r="AE27" s="16">
        <f t="shared" si="8"/>
        <v>25402.551196197892</v>
      </c>
      <c r="AF27" s="16">
        <f t="shared" si="8"/>
        <v>25463.553474390763</v>
      </c>
      <c r="AG27" s="16">
        <f t="shared" si="8"/>
        <v>25524.702244875531</v>
      </c>
      <c r="AH27" s="16">
        <f t="shared" si="8"/>
        <v>25585.997859442195</v>
      </c>
      <c r="AI27" s="16">
        <f t="shared" si="8"/>
        <v>25647.440670725555</v>
      </c>
      <c r="AM27" s="54" t="str">
        <f>AN17</f>
        <v>AL30</v>
      </c>
      <c r="AN27" s="20" t="s">
        <v>3</v>
      </c>
      <c r="AO27" s="29">
        <v>21100</v>
      </c>
      <c r="AP27" s="16">
        <f t="shared" si="9"/>
        <v>21150.67003152275</v>
      </c>
      <c r="AQ27" s="16">
        <f t="shared" si="9"/>
        <v>21201.46174323955</v>
      </c>
      <c r="AR27" s="16">
        <f t="shared" si="9"/>
        <v>21252.375427356055</v>
      </c>
      <c r="AS27" s="16">
        <f t="shared" si="9"/>
        <v>21303.41137677963</v>
      </c>
      <c r="AT27" s="16">
        <f t="shared" si="9"/>
        <v>21354.569885121029</v>
      </c>
      <c r="AU27" s="16">
        <f t="shared" si="9"/>
        <v>21405.851246696093</v>
      </c>
    </row>
    <row r="28" spans="3:47" x14ac:dyDescent="0.35">
      <c r="C28" s="33" t="str">
        <f>$C$7</f>
        <v>PEP</v>
      </c>
      <c r="D28" s="20" t="s">
        <v>62</v>
      </c>
      <c r="E28" s="28">
        <f>VLOOKUP(C28,df_mep!A:O,MATCH(D28,df_mep[#Headers],0),0)</f>
        <v>25160</v>
      </c>
      <c r="F28" s="16">
        <f t="shared" si="10"/>
        <v>25220.419810100113</v>
      </c>
      <c r="G28" s="16">
        <f t="shared" si="10"/>
        <v>25280.984713739672</v>
      </c>
      <c r="H28" s="16">
        <f t="shared" si="10"/>
        <v>25341.695059349688</v>
      </c>
      <c r="I28" s="16">
        <f t="shared" si="10"/>
        <v>25402.551196197892</v>
      </c>
      <c r="K28" s="12"/>
      <c r="Y28" s="54"/>
      <c r="Z28" s="10" t="s">
        <v>4</v>
      </c>
      <c r="AA28" s="28">
        <f>E29</f>
        <v>33</v>
      </c>
      <c r="AB28" s="11">
        <f t="shared" ref="AB28:AI28" si="11">AA28</f>
        <v>33</v>
      </c>
      <c r="AC28" s="11">
        <f t="shared" si="11"/>
        <v>33</v>
      </c>
      <c r="AD28" s="11">
        <f t="shared" si="11"/>
        <v>33</v>
      </c>
      <c r="AE28" s="11">
        <f t="shared" si="11"/>
        <v>33</v>
      </c>
      <c r="AF28" s="11">
        <f t="shared" si="11"/>
        <v>33</v>
      </c>
      <c r="AG28" s="11">
        <f t="shared" si="11"/>
        <v>33</v>
      </c>
      <c r="AH28" s="11">
        <f t="shared" si="11"/>
        <v>33</v>
      </c>
      <c r="AI28" s="11">
        <f t="shared" si="11"/>
        <v>33</v>
      </c>
      <c r="AM28" s="54"/>
      <c r="AN28" s="10" t="s">
        <v>4</v>
      </c>
      <c r="AO28" s="28">
        <v>30.27</v>
      </c>
      <c r="AP28" s="11">
        <f t="shared" ref="AP28:AU28" si="12">AO28</f>
        <v>30.27</v>
      </c>
      <c r="AQ28" s="11">
        <f t="shared" si="12"/>
        <v>30.27</v>
      </c>
      <c r="AR28" s="11">
        <f t="shared" si="12"/>
        <v>30.27</v>
      </c>
      <c r="AS28" s="11">
        <f t="shared" si="12"/>
        <v>30.27</v>
      </c>
      <c r="AT28" s="11">
        <f t="shared" si="12"/>
        <v>30.27</v>
      </c>
      <c r="AU28" s="11">
        <f t="shared" si="12"/>
        <v>30.27</v>
      </c>
    </row>
    <row r="29" spans="3:47" x14ac:dyDescent="0.35">
      <c r="C29" s="33" t="str">
        <f>$C$7</f>
        <v>PEP</v>
      </c>
      <c r="D29" s="10" t="s">
        <v>64</v>
      </c>
      <c r="E29" s="28">
        <f>VLOOKUP(C29,df_mep!A:O,MATCH(D29,df_mep[#Headers],0),0)</f>
        <v>33</v>
      </c>
      <c r="F29" s="11">
        <f>E29</f>
        <v>33</v>
      </c>
      <c r="G29" s="11">
        <f>F29</f>
        <v>33</v>
      </c>
      <c r="H29" s="11">
        <f>G29</f>
        <v>33</v>
      </c>
      <c r="I29" s="11">
        <f>H29</f>
        <v>33</v>
      </c>
      <c r="K29" s="12"/>
    </row>
    <row r="30" spans="3:47" x14ac:dyDescent="0.35">
      <c r="H30"/>
    </row>
    <row r="31" spans="3:47" x14ac:dyDescent="0.35">
      <c r="H31"/>
      <c r="Z31" s="27" t="s">
        <v>44</v>
      </c>
      <c r="AA31" s="27"/>
      <c r="AB31" s="27"/>
      <c r="AC31" s="27"/>
      <c r="AD31" s="27"/>
      <c r="AE31" s="27"/>
      <c r="AF31" s="27"/>
      <c r="AG31" s="27"/>
      <c r="AH31" s="27"/>
      <c r="AI31" s="27"/>
      <c r="AN31" s="27" t="s">
        <v>44</v>
      </c>
      <c r="AO31" s="27"/>
      <c r="AP31" s="27"/>
      <c r="AQ31" s="27"/>
      <c r="AR31" s="27"/>
      <c r="AS31" s="27"/>
      <c r="AT31" s="27"/>
      <c r="AU31" s="27"/>
    </row>
    <row r="32" spans="3:47" x14ac:dyDescent="0.35">
      <c r="D32" s="27" t="s">
        <v>44</v>
      </c>
      <c r="E32" s="27"/>
      <c r="F32" s="27"/>
      <c r="G32" s="27"/>
      <c r="H32" s="27"/>
      <c r="I32" s="27"/>
      <c r="Z32" s="8"/>
      <c r="AA32" s="8"/>
      <c r="AB32" s="8"/>
      <c r="AC32" s="8"/>
      <c r="AD32" s="8"/>
      <c r="AE32" s="8"/>
      <c r="AF32" s="8"/>
      <c r="AG32" s="8"/>
      <c r="AH32" s="8"/>
      <c r="AI32" s="8"/>
      <c r="AN32" s="8"/>
      <c r="AO32" s="8"/>
      <c r="AP32" s="8"/>
      <c r="AQ32" s="8"/>
      <c r="AR32" s="8"/>
      <c r="AS32" s="8"/>
      <c r="AT32" s="8"/>
      <c r="AU32" s="8"/>
    </row>
    <row r="33" spans="4:47" x14ac:dyDescent="0.35">
      <c r="D33" s="8"/>
      <c r="E33" s="8"/>
      <c r="F33" s="8"/>
      <c r="G33" s="8"/>
      <c r="H33" s="8"/>
      <c r="I33" s="8"/>
      <c r="Z33" s="10" t="str">
        <f>_xlfn.CONCAT($C$6,"D")</f>
        <v>XLED</v>
      </c>
      <c r="AA33" s="21">
        <f>ROUNDDOWN(AA3/AA25,0)</f>
        <v>23</v>
      </c>
      <c r="AB33" s="21"/>
      <c r="AC33" s="8"/>
      <c r="AD33" s="21"/>
      <c r="AE33" s="21"/>
      <c r="AF33" s="21"/>
      <c r="AG33" s="21"/>
      <c r="AH33" s="21"/>
      <c r="AI33" s="21"/>
      <c r="AN33" s="10" t="str">
        <f>AN15</f>
        <v>XLED</v>
      </c>
      <c r="AO33" s="21">
        <f>ROUNDDOWN(AO3/AO25,0)</f>
        <v>23</v>
      </c>
      <c r="AP33" s="21"/>
      <c r="AQ33" s="8"/>
      <c r="AR33" s="21"/>
      <c r="AS33" s="21"/>
      <c r="AT33" s="21"/>
      <c r="AU33" s="21"/>
    </row>
    <row r="34" spans="4:47" x14ac:dyDescent="0.35">
      <c r="D34" s="10" t="str">
        <f>_xlfn.CONCAT($C$6,"D")</f>
        <v>XLED</v>
      </c>
      <c r="E34" s="21">
        <f>ROUNDDOWN(D4/E26,0)</f>
        <v>11</v>
      </c>
      <c r="F34" s="21"/>
      <c r="G34" s="8"/>
      <c r="H34" s="21"/>
      <c r="I34" s="21"/>
      <c r="Z34" s="10" t="str">
        <f>$C$6</f>
        <v>XLE</v>
      </c>
      <c r="AB34" s="21"/>
      <c r="AC34" s="21">
        <f>-AA33</f>
        <v>-23</v>
      </c>
      <c r="AD34" s="21"/>
      <c r="AE34" s="21"/>
      <c r="AF34" s="21"/>
      <c r="AG34" s="21"/>
      <c r="AH34" s="21"/>
      <c r="AI34" s="21"/>
      <c r="AN34" s="10" t="str">
        <f>AN16</f>
        <v>XLE</v>
      </c>
      <c r="AP34" s="21"/>
      <c r="AQ34" s="21">
        <f>-AO33</f>
        <v>-23</v>
      </c>
      <c r="AR34" s="21"/>
      <c r="AS34" s="21"/>
      <c r="AT34" s="21"/>
      <c r="AU34" s="21"/>
    </row>
    <row r="35" spans="4:47" x14ac:dyDescent="0.35">
      <c r="D35" s="10" t="str">
        <f>$C$6</f>
        <v>XLE</v>
      </c>
      <c r="F35" s="21"/>
      <c r="G35" s="21">
        <f>-E34</f>
        <v>-11</v>
      </c>
      <c r="H35" s="21"/>
      <c r="I35" s="21"/>
      <c r="Z35" s="10" t="str">
        <f>$C$7</f>
        <v>PEP</v>
      </c>
      <c r="AA35" s="21"/>
      <c r="AB35" s="21"/>
      <c r="AD35" s="21"/>
      <c r="AE35" s="21">
        <f>ROUNDDOWN(AE42/AE27,0)</f>
        <v>38</v>
      </c>
      <c r="AF35" s="21"/>
      <c r="AG35" s="21"/>
      <c r="AH35" s="21"/>
      <c r="AI35" s="21"/>
      <c r="AN35" s="10" t="str">
        <f>AN17</f>
        <v>AL30</v>
      </c>
      <c r="AO35" s="21"/>
      <c r="AP35" s="21"/>
      <c r="AR35" s="21"/>
      <c r="AS35" s="21">
        <f>ROUNDDOWN(AS42/AS27,0)</f>
        <v>45</v>
      </c>
      <c r="AT35" s="21"/>
      <c r="AU35" s="21"/>
    </row>
    <row r="36" spans="4:47" x14ac:dyDescent="0.35">
      <c r="D36" s="10" t="str">
        <f>$C$7</f>
        <v>PEP</v>
      </c>
      <c r="E36" s="21">
        <f>ROUNDDOWN(D3/G28,0)</f>
        <v>17</v>
      </c>
      <c r="F36" s="21"/>
      <c r="H36" s="21"/>
      <c r="I36" s="21"/>
      <c r="Z36" s="10" t="str">
        <f>_xlfn.CONCAT($C$7,"D")</f>
        <v>PEPD</v>
      </c>
      <c r="AA36" s="21"/>
      <c r="AB36" s="21"/>
      <c r="AD36" s="21"/>
      <c r="AE36" s="8"/>
      <c r="AF36" s="8"/>
      <c r="AG36" s="21">
        <f>-AE35</f>
        <v>-38</v>
      </c>
      <c r="AH36" s="21"/>
      <c r="AI36" s="21"/>
      <c r="AN36" s="10" t="str">
        <f>AN18</f>
        <v>AL30D</v>
      </c>
      <c r="AO36" s="21"/>
      <c r="AP36" s="21"/>
      <c r="AR36" s="21"/>
      <c r="AS36" s="8"/>
      <c r="AT36" s="8"/>
      <c r="AU36" s="21">
        <f>-AS35</f>
        <v>-45</v>
      </c>
    </row>
    <row r="37" spans="4:47" x14ac:dyDescent="0.35">
      <c r="D37" s="10" t="str">
        <f>_xlfn.CONCAT($C$7,"D")</f>
        <v>PEPD</v>
      </c>
      <c r="E37" s="21"/>
      <c r="F37" s="21"/>
      <c r="G37" s="21">
        <f>-E36</f>
        <v>-17</v>
      </c>
      <c r="H37" s="21"/>
      <c r="I37" s="8"/>
    </row>
    <row r="38" spans="4:47" x14ac:dyDescent="0.35">
      <c r="H38"/>
    </row>
    <row r="39" spans="4:47" x14ac:dyDescent="0.35">
      <c r="H39"/>
      <c r="Z39" s="27" t="s">
        <v>22</v>
      </c>
      <c r="AA39" s="27"/>
      <c r="AB39" s="27"/>
      <c r="AC39" s="27"/>
      <c r="AD39" s="27"/>
      <c r="AE39" s="27"/>
      <c r="AF39" s="27"/>
      <c r="AG39" s="27"/>
      <c r="AH39" s="27"/>
      <c r="AI39" s="27"/>
      <c r="AN39" s="27" t="s">
        <v>22</v>
      </c>
      <c r="AO39" s="27"/>
      <c r="AP39" s="27"/>
      <c r="AQ39" s="27"/>
      <c r="AR39" s="27"/>
      <c r="AS39" s="27"/>
      <c r="AT39" s="27"/>
      <c r="AU39" s="27"/>
    </row>
    <row r="40" spans="4:47" x14ac:dyDescent="0.35">
      <c r="D40" s="27" t="s">
        <v>22</v>
      </c>
      <c r="E40" s="27"/>
      <c r="F40" s="27"/>
      <c r="G40" s="27"/>
      <c r="H40" s="27"/>
      <c r="I40" s="27"/>
      <c r="Z40" s="8"/>
      <c r="AA40" s="8"/>
      <c r="AB40" s="8"/>
      <c r="AC40" s="8"/>
      <c r="AD40" s="8"/>
      <c r="AE40" s="8"/>
      <c r="AF40" s="8"/>
      <c r="AG40" s="8"/>
      <c r="AH40" s="8"/>
      <c r="AI40" s="8"/>
      <c r="AN40" s="8"/>
      <c r="AO40" s="8"/>
      <c r="AP40" s="8"/>
      <c r="AQ40" s="8"/>
      <c r="AR40" s="8"/>
      <c r="AS40" s="8"/>
      <c r="AT40" s="8"/>
      <c r="AU40" s="8"/>
    </row>
    <row r="41" spans="4:47" x14ac:dyDescent="0.35">
      <c r="D41" s="8"/>
      <c r="E41" s="8"/>
      <c r="F41" s="8"/>
      <c r="G41" s="8"/>
      <c r="H41" s="8"/>
      <c r="I41" s="8"/>
      <c r="Z41" s="1" t="str">
        <f>_xlfn.CONCAT("Compro: ",$C$6,"D")</f>
        <v>Compro: XLED</v>
      </c>
      <c r="AA41" s="11">
        <f>-AA33*AA25</f>
        <v>-989</v>
      </c>
      <c r="AB41" s="11"/>
      <c r="AC41" s="11"/>
      <c r="AD41" s="11"/>
      <c r="AE41" s="11"/>
      <c r="AF41" s="11"/>
      <c r="AG41" s="11"/>
      <c r="AH41" s="11"/>
      <c r="AI41" s="11"/>
      <c r="AN41" s="1" t="str">
        <f>_xlfn.CONCAT("Compro: ",$C$6,"D")</f>
        <v>Compro: XLED</v>
      </c>
      <c r="AO41" s="11">
        <f>-AO33*AO25</f>
        <v>-989</v>
      </c>
      <c r="AP41" s="11"/>
      <c r="AQ41" s="11"/>
      <c r="AR41" s="11"/>
      <c r="AS41" s="11"/>
      <c r="AT41" s="11"/>
      <c r="AU41" s="11"/>
    </row>
    <row r="42" spans="4:47" x14ac:dyDescent="0.35">
      <c r="D42" s="1" t="str">
        <f>_xlfn.CONCAT("Compro: ",$C$6,"D")</f>
        <v>Compro: XLED</v>
      </c>
      <c r="E42" s="11">
        <f>-E34*E26</f>
        <v>-473</v>
      </c>
      <c r="F42" s="11"/>
      <c r="G42" s="11"/>
      <c r="H42" s="11"/>
      <c r="I42" s="11"/>
      <c r="Z42" s="1" t="str">
        <f>_xlfn.CONCAT("Vendo: ",$C$6)</f>
        <v>Vendo: XLE</v>
      </c>
      <c r="AA42" s="8"/>
      <c r="AB42" s="8"/>
      <c r="AD42" s="8"/>
      <c r="AE42" s="16">
        <f>-AC34*AC26</f>
        <v>967432.74743015482</v>
      </c>
      <c r="AF42" s="16"/>
      <c r="AG42" s="16"/>
      <c r="AH42" s="16"/>
      <c r="AI42" s="16"/>
      <c r="AN42" s="1" t="str">
        <f>_xlfn.CONCAT("Vendo: ",$C$6)</f>
        <v>Vendo: XLE</v>
      </c>
      <c r="AO42" s="8"/>
      <c r="AP42" s="8"/>
      <c r="AR42" s="8"/>
      <c r="AS42" s="16">
        <f>-AQ34*AQ26</f>
        <v>967432.74743015482</v>
      </c>
      <c r="AT42" s="16"/>
      <c r="AU42" s="16"/>
    </row>
    <row r="43" spans="4:47" x14ac:dyDescent="0.35">
      <c r="D43" s="1" t="str">
        <f>_xlfn.CONCAT("Vendo: ",$C$6)</f>
        <v>Vendo: XLE</v>
      </c>
      <c r="E43" s="8"/>
      <c r="F43" s="8"/>
      <c r="G43" s="16"/>
      <c r="H43" s="16"/>
      <c r="I43" s="16">
        <f>-G35*G27</f>
        <v>462685.22703181318</v>
      </c>
      <c r="Z43" s="1" t="str">
        <f>_xlfn.CONCAT("Compro: ",$C$7)</f>
        <v>Compro: PEP</v>
      </c>
      <c r="AA43" s="8"/>
      <c r="AB43" s="8"/>
      <c r="AD43" s="8"/>
      <c r="AE43" s="16">
        <f>-AE35*AE27</f>
        <v>-965296.94545551995</v>
      </c>
      <c r="AF43" s="16"/>
      <c r="AG43" s="16"/>
      <c r="AH43" s="16"/>
      <c r="AI43" s="16"/>
      <c r="AN43" s="1" t="str">
        <f>_xlfn.CONCAT("Compro: ",$C$7)</f>
        <v>Compro: PEP</v>
      </c>
      <c r="AO43" s="8"/>
      <c r="AP43" s="8"/>
      <c r="AR43" s="8"/>
      <c r="AS43" s="16">
        <f>-AS35*AS27</f>
        <v>-958653.51195508335</v>
      </c>
      <c r="AT43" s="16"/>
      <c r="AU43" s="16"/>
    </row>
    <row r="44" spans="4:47" x14ac:dyDescent="0.35">
      <c r="D44" s="1" t="str">
        <f>_xlfn.CONCAT("Compro: ",$C$7)</f>
        <v>Compro: PEP</v>
      </c>
      <c r="E44" s="16">
        <f>-E36*E28</f>
        <v>-427720</v>
      </c>
      <c r="F44" s="11"/>
      <c r="G44" s="11"/>
      <c r="H44" s="11"/>
      <c r="I44" s="11"/>
      <c r="Z44" s="1" t="str">
        <f>_xlfn.CONCAT("Vendo: ",$C$7,"D")</f>
        <v>Vendo: PEPD</v>
      </c>
      <c r="AA44" s="8"/>
      <c r="AB44" s="8"/>
      <c r="AC44" s="8"/>
      <c r="AD44" s="8"/>
      <c r="AF44" s="11"/>
      <c r="AG44" s="11"/>
      <c r="AH44" s="11"/>
      <c r="AI44" s="11">
        <f>-AG36*AE28</f>
        <v>1254</v>
      </c>
      <c r="AN44" s="1" t="str">
        <f>_xlfn.CONCAT("Vendo: ",$C$7,"D")</f>
        <v>Vendo: PEPD</v>
      </c>
      <c r="AO44" s="8"/>
      <c r="AP44" s="8"/>
      <c r="AQ44" s="8"/>
      <c r="AR44" s="8"/>
      <c r="AT44" s="11"/>
      <c r="AU44" s="11">
        <f>-AU36*AS28</f>
        <v>1362.15</v>
      </c>
    </row>
    <row r="45" spans="4:47" ht="15" thickBot="1" x14ac:dyDescent="0.4">
      <c r="D45" s="1" t="str">
        <f>_xlfn.CONCAT("Vendo: ",$C$7,"D")</f>
        <v>Vendo: PEPD</v>
      </c>
      <c r="E45" s="11"/>
      <c r="F45" s="11"/>
      <c r="G45" s="11"/>
      <c r="H45" s="11"/>
      <c r="I45" s="11">
        <f>-G37*G29</f>
        <v>561</v>
      </c>
      <c r="Z45" s="1" t="s">
        <v>30</v>
      </c>
      <c r="AA45" s="22"/>
      <c r="AB45" s="22"/>
      <c r="AC45" s="22"/>
      <c r="AD45" s="22"/>
      <c r="AE45" s="22"/>
      <c r="AF45" s="23"/>
      <c r="AG45" s="23"/>
      <c r="AH45" s="23"/>
      <c r="AI45" s="23">
        <f>-AI44*$D$5</f>
        <v>-3.1350000000000002</v>
      </c>
      <c r="AN45" s="1" t="s">
        <v>30</v>
      </c>
      <c r="AO45" s="22"/>
      <c r="AP45" s="22"/>
      <c r="AQ45" s="22"/>
      <c r="AR45" s="22"/>
      <c r="AS45" s="22"/>
      <c r="AT45" s="23"/>
      <c r="AU45" s="23">
        <f>-AU44*$D$5</f>
        <v>-3.4053750000000003</v>
      </c>
    </row>
    <row r="46" spans="4:47" ht="15.5" thickTop="1" thickBot="1" x14ac:dyDescent="0.4">
      <c r="D46" s="1" t="s">
        <v>30</v>
      </c>
      <c r="E46" s="23"/>
      <c r="F46" s="23"/>
      <c r="G46" s="23"/>
      <c r="H46" s="23"/>
      <c r="I46" s="23">
        <f>-I45*$D$5</f>
        <v>-1.4025000000000001</v>
      </c>
      <c r="Z46" s="24" t="s">
        <v>27</v>
      </c>
      <c r="AA46" s="25">
        <f t="shared" ref="AA46:AI46" si="13">AA41+AA44+AA45+SUM(AA42:AA43)/AA24</f>
        <v>-989</v>
      </c>
      <c r="AB46" s="25">
        <f t="shared" si="13"/>
        <v>0</v>
      </c>
      <c r="AC46" s="25">
        <f t="shared" si="13"/>
        <v>0</v>
      </c>
      <c r="AD46" s="25">
        <f t="shared" si="13"/>
        <v>0</v>
      </c>
      <c r="AE46" s="25">
        <f t="shared" si="13"/>
        <v>2.4371968243737019</v>
      </c>
      <c r="AF46" s="25">
        <f t="shared" si="13"/>
        <v>0</v>
      </c>
      <c r="AG46" s="25">
        <f t="shared" si="13"/>
        <v>0</v>
      </c>
      <c r="AH46" s="25">
        <f t="shared" si="13"/>
        <v>0</v>
      </c>
      <c r="AI46" s="25">
        <f t="shared" si="13"/>
        <v>1250.865</v>
      </c>
      <c r="AN46" s="24" t="s">
        <v>27</v>
      </c>
      <c r="AO46" s="25">
        <f t="shared" ref="AO46:AU46" si="14">AO41+AO44+AO45+SUM(AO42:AO43)/AO24</f>
        <v>-989</v>
      </c>
      <c r="AP46" s="25">
        <f t="shared" si="14"/>
        <v>0</v>
      </c>
      <c r="AQ46" s="25">
        <f t="shared" si="14"/>
        <v>0</v>
      </c>
      <c r="AR46" s="25">
        <f t="shared" si="14"/>
        <v>0</v>
      </c>
      <c r="AS46" s="25">
        <f t="shared" si="14"/>
        <v>10.410101088875345</v>
      </c>
      <c r="AT46" s="25">
        <f t="shared" si="14"/>
        <v>0</v>
      </c>
      <c r="AU46" s="25">
        <f t="shared" si="14"/>
        <v>1358.744625</v>
      </c>
    </row>
    <row r="47" spans="4:47" ht="15" thickTop="1" x14ac:dyDescent="0.35">
      <c r="D47" s="24" t="s">
        <v>27</v>
      </c>
      <c r="E47" s="25">
        <f>E42+E45+E46+SUM(E43:E44)/E25</f>
        <v>-965.78318088834749</v>
      </c>
      <c r="F47" s="25">
        <f>F42+F45+F46+SUM(F43:F44)/F25</f>
        <v>0</v>
      </c>
      <c r="G47" s="25">
        <f>G42+G45+G46+SUM(G43:G44)/G25</f>
        <v>0</v>
      </c>
      <c r="H47" s="25">
        <f>H42+H45+H46+SUM(H43:H44)/H25</f>
        <v>0</v>
      </c>
      <c r="I47" s="25">
        <f>I42+I45+I46+SUM(I43:I44)/I25</f>
        <v>1087.5748028580233</v>
      </c>
      <c r="Z47" s="24" t="s">
        <v>37</v>
      </c>
      <c r="AA47" s="25">
        <f>SUM(AA46:AI46)</f>
        <v>264.30219682437371</v>
      </c>
      <c r="AB47" s="8"/>
      <c r="AC47" s="8"/>
      <c r="AD47" s="8"/>
      <c r="AE47" s="8"/>
      <c r="AF47" s="8"/>
      <c r="AG47" s="8"/>
      <c r="AH47" s="8"/>
      <c r="AI47" s="8"/>
      <c r="AN47" s="24" t="s">
        <v>37</v>
      </c>
      <c r="AO47" s="25">
        <f>SUM(AO46:AU46)</f>
        <v>380.15472608887535</v>
      </c>
      <c r="AP47" s="8"/>
      <c r="AQ47" s="8"/>
      <c r="AR47" s="8"/>
      <c r="AS47" s="8"/>
      <c r="AT47" s="8"/>
      <c r="AU47" s="8"/>
    </row>
    <row r="48" spans="4:47" x14ac:dyDescent="0.35">
      <c r="D48" s="24" t="s">
        <v>37</v>
      </c>
      <c r="E48" s="25">
        <f>SUM(E47:I47)</f>
        <v>121.79162196967582</v>
      </c>
      <c r="F48" s="8"/>
      <c r="G48" s="8"/>
      <c r="H48" s="8"/>
      <c r="I48" s="8"/>
      <c r="Z48" s="24" t="s">
        <v>28</v>
      </c>
      <c r="AA48" s="26">
        <f>-AA47/AA46</f>
        <v>0.2672418572541696</v>
      </c>
      <c r="AB48" s="8"/>
      <c r="AC48" s="8"/>
      <c r="AD48" s="8"/>
      <c r="AE48" s="8"/>
      <c r="AF48" s="8"/>
      <c r="AG48" s="8"/>
      <c r="AH48" s="8"/>
      <c r="AI48" s="8"/>
      <c r="AN48" s="24" t="s">
        <v>28</v>
      </c>
      <c r="AO48" s="26">
        <f>-AO47/AO46</f>
        <v>0.38438293841140075</v>
      </c>
      <c r="AP48" s="8"/>
      <c r="AQ48" s="8"/>
      <c r="AR48" s="8"/>
      <c r="AS48" s="8"/>
      <c r="AT48" s="8"/>
      <c r="AU48" s="8"/>
    </row>
    <row r="49" spans="4:41" x14ac:dyDescent="0.35">
      <c r="D49" s="24" t="s">
        <v>28</v>
      </c>
      <c r="E49" s="26">
        <f>-E48/E47</f>
        <v>0.12610658828998175</v>
      </c>
      <c r="F49" s="8"/>
      <c r="G49" s="8"/>
      <c r="H49" s="8"/>
      <c r="I49" s="8"/>
    </row>
    <row r="50" spans="4:41" x14ac:dyDescent="0.35">
      <c r="H50"/>
      <c r="Z50" s="24" t="s">
        <v>49</v>
      </c>
      <c r="AA50" s="15">
        <f>(1+AA48)^(1/AI23)-1</f>
        <v>3.004794180816206E-2</v>
      </c>
      <c r="AN50" s="24" t="s">
        <v>49</v>
      </c>
      <c r="AO50" s="15">
        <f>(1+AO48)^(1/15)-1</f>
        <v>2.192043234449792E-2</v>
      </c>
    </row>
    <row r="51" spans="4:41" x14ac:dyDescent="0.35">
      <c r="D51" s="24" t="s">
        <v>49</v>
      </c>
      <c r="E51" s="15">
        <f>(1+E49)^(1/I24)-1</f>
        <v>3.0136735723502062E-2</v>
      </c>
      <c r="H51"/>
      <c r="Z51" s="24" t="s">
        <v>48</v>
      </c>
      <c r="AA51" s="15">
        <f>(1+AA50)^30-1</f>
        <v>1.4306541000221644</v>
      </c>
      <c r="AN51" s="24" t="s">
        <v>48</v>
      </c>
      <c r="AO51" s="15">
        <f>(1+AO50)^30-1</f>
        <v>0.91651612016458062</v>
      </c>
    </row>
    <row r="52" spans="4:41" x14ac:dyDescent="0.35">
      <c r="D52" s="24" t="s">
        <v>48</v>
      </c>
      <c r="E52" s="15">
        <f>(1+E51)^30-1</f>
        <v>1.436947902770938</v>
      </c>
      <c r="F52" s="15"/>
      <c r="H52"/>
      <c r="Z52" s="24" t="s">
        <v>50</v>
      </c>
      <c r="AA52" s="15">
        <f>(1+AA50)^365-1</f>
        <v>49312.418826864989</v>
      </c>
      <c r="AN52" s="24" t="s">
        <v>50</v>
      </c>
      <c r="AO52" s="15">
        <f>(1+AO50)^365-1</f>
        <v>2735.7500278778361</v>
      </c>
    </row>
    <row r="53" spans="4:41" x14ac:dyDescent="0.35">
      <c r="D53" s="24" t="s">
        <v>50</v>
      </c>
      <c r="E53" s="15">
        <f>(1+E51)^365-1</f>
        <v>50888.632316251598</v>
      </c>
      <c r="H53"/>
    </row>
    <row r="54" spans="4:41" x14ac:dyDescent="0.35">
      <c r="H54"/>
    </row>
    <row r="55" spans="4:41" x14ac:dyDescent="0.35">
      <c r="H55"/>
    </row>
    <row r="56" spans="4:41" x14ac:dyDescent="0.35">
      <c r="H56"/>
    </row>
    <row r="58" spans="4:41" x14ac:dyDescent="0.35">
      <c r="P58" s="32"/>
    </row>
  </sheetData>
  <mergeCells count="4">
    <mergeCell ref="AM25:AM26"/>
    <mergeCell ref="AM27:AM28"/>
    <mergeCell ref="Y25:Y26"/>
    <mergeCell ref="Y27:Y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8221-65C8-4DE3-800E-E0D1B260F341}">
  <dimension ref="E14:K17"/>
  <sheetViews>
    <sheetView showGridLines="0" zoomScaleNormal="100" workbookViewId="0">
      <selection activeCell="A16" sqref="A16"/>
    </sheetView>
  </sheetViews>
  <sheetFormatPr defaultRowHeight="14.5" x14ac:dyDescent="0.35"/>
  <cols>
    <col min="3" max="3" width="12" bestFit="1" customWidth="1"/>
    <col min="6" max="6" width="12" bestFit="1" customWidth="1"/>
    <col min="9" max="9" width="12.26953125" bestFit="1" customWidth="1"/>
    <col min="11" max="11" width="12.26953125" bestFit="1" customWidth="1"/>
  </cols>
  <sheetData>
    <row r="14" spans="5:11" ht="15" thickBot="1" x14ac:dyDescent="0.4">
      <c r="E14" s="41"/>
      <c r="F14" s="41"/>
      <c r="G14" s="41"/>
      <c r="H14" s="41"/>
      <c r="I14" s="41"/>
      <c r="J14" s="41"/>
      <c r="K14" s="41"/>
    </row>
    <row r="16" spans="5:11" ht="18.5" x14ac:dyDescent="0.45">
      <c r="E16" s="40" t="s">
        <v>84</v>
      </c>
      <c r="H16" s="42" t="s">
        <v>85</v>
      </c>
      <c r="I16" s="43">
        <f>SUMPRODUCT(df_mep!C:C,df_mep!I:I,df_mep!N:N,df_mep!R:R)/SUMPRODUCT(df_mep!C:C,df_mep!I:I,df_mep!R:R)</f>
        <v>884.90781544079732</v>
      </c>
      <c r="J16" s="42" t="s">
        <v>86</v>
      </c>
      <c r="K16" s="43">
        <f>SUMPRODUCT(df_mep!C:C,df_mep!I:I,df_mep!O:O,df_mep!R:R)/SUMPRODUCT(df_mep!C:C,df_mep!I:I,df_mep!R:R)</f>
        <v>921.21167722184464</v>
      </c>
    </row>
    <row r="17" spans="5:11" ht="15" thickBot="1" x14ac:dyDescent="0.4">
      <c r="E17" s="41"/>
      <c r="F17" s="41"/>
      <c r="G17" s="41"/>
      <c r="H17" s="41"/>
      <c r="I17" s="41"/>
      <c r="J17" s="41"/>
      <c r="K17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92C3-B893-4B87-B562-6AFB17057EB2}">
  <dimension ref="B3:M19"/>
  <sheetViews>
    <sheetView zoomScale="130" zoomScaleNormal="130" workbookViewId="0">
      <selection activeCell="C12" sqref="C11:M12"/>
    </sheetView>
  </sheetViews>
  <sheetFormatPr defaultRowHeight="14.5" x14ac:dyDescent="0.35"/>
  <cols>
    <col min="3" max="3" width="10.26953125" bestFit="1" customWidth="1"/>
    <col min="4" max="4" width="8.1796875" bestFit="1" customWidth="1"/>
    <col min="5" max="5" width="9.54296875" bestFit="1" customWidth="1"/>
    <col min="6" max="6" width="3.7265625" bestFit="1" customWidth="1"/>
    <col min="7" max="7" width="7" bestFit="1" customWidth="1"/>
    <col min="8" max="8" width="7" customWidth="1"/>
    <col min="9" max="9" width="7.26953125" bestFit="1" customWidth="1"/>
    <col min="10" max="10" width="10" bestFit="1" customWidth="1"/>
    <col min="11" max="11" width="8.26953125" bestFit="1" customWidth="1"/>
    <col min="12" max="12" width="14" bestFit="1" customWidth="1"/>
    <col min="13" max="13" width="12" bestFit="1" customWidth="1"/>
  </cols>
  <sheetData>
    <row r="3" spans="2:13" x14ac:dyDescent="0.35">
      <c r="C3" s="45" t="s">
        <v>94</v>
      </c>
      <c r="D3" s="45" t="s">
        <v>92</v>
      </c>
      <c r="E3" s="45" t="s">
        <v>98</v>
      </c>
      <c r="F3" s="45" t="s">
        <v>91</v>
      </c>
      <c r="G3" s="45" t="s">
        <v>89</v>
      </c>
      <c r="H3" s="45" t="s">
        <v>99</v>
      </c>
      <c r="I3" s="45" t="s">
        <v>90</v>
      </c>
      <c r="J3" s="45" t="s">
        <v>21</v>
      </c>
      <c r="K3" s="45" t="s">
        <v>95</v>
      </c>
      <c r="L3" s="45" t="s">
        <v>93</v>
      </c>
      <c r="M3" s="45" t="s">
        <v>6</v>
      </c>
    </row>
    <row r="4" spans="2:13" x14ac:dyDescent="0.35">
      <c r="C4" t="s">
        <v>13</v>
      </c>
      <c r="D4" t="str">
        <f>_xlfn.CONCAT(C4,"D")</f>
        <v>KOD</v>
      </c>
      <c r="E4">
        <v>2</v>
      </c>
      <c r="F4">
        <v>1</v>
      </c>
      <c r="G4" s="44">
        <v>45196</v>
      </c>
      <c r="H4" s="52">
        <v>0.50069444444444444</v>
      </c>
      <c r="I4" s="44">
        <f t="shared" ref="I4:I19" si="0">WORKDAY(G4,E4)</f>
        <v>45198</v>
      </c>
      <c r="J4" s="6">
        <v>11.9</v>
      </c>
      <c r="K4" t="s">
        <v>97</v>
      </c>
      <c r="L4" s="6">
        <f>-J4*F4</f>
        <v>-11.9</v>
      </c>
      <c r="M4" s="2"/>
    </row>
    <row r="5" spans="2:13" x14ac:dyDescent="0.35">
      <c r="B5" s="44"/>
      <c r="C5" s="46" t="str">
        <f>C4</f>
        <v>KO</v>
      </c>
      <c r="D5" s="47" t="str">
        <f>C4</f>
        <v>KO</v>
      </c>
      <c r="E5" s="47">
        <v>2</v>
      </c>
      <c r="F5" s="47">
        <f>-F4</f>
        <v>-1</v>
      </c>
      <c r="G5" s="46">
        <f>I4</f>
        <v>45198</v>
      </c>
      <c r="H5" s="53">
        <v>0.50069444444444444</v>
      </c>
      <c r="I5" s="46">
        <f t="shared" si="0"/>
        <v>45202</v>
      </c>
      <c r="J5" s="49">
        <v>8821.4500000000007</v>
      </c>
      <c r="K5" s="47" t="s">
        <v>96</v>
      </c>
      <c r="L5" s="49">
        <f>-J5*F5</f>
        <v>8821.4500000000007</v>
      </c>
      <c r="M5" s="48">
        <f>-L5/L4</f>
        <v>741.29831932773118</v>
      </c>
    </row>
    <row r="6" spans="2:13" x14ac:dyDescent="0.35">
      <c r="C6" t="s">
        <v>19</v>
      </c>
      <c r="D6" t="str">
        <f>_xlfn.CONCAT(C6,"D")</f>
        <v>VISTD</v>
      </c>
      <c r="E6">
        <v>2</v>
      </c>
      <c r="F6">
        <v>1</v>
      </c>
      <c r="G6" s="44">
        <v>45196</v>
      </c>
      <c r="H6" s="52">
        <v>0.50069444444444444</v>
      </c>
      <c r="I6" s="44">
        <f t="shared" si="0"/>
        <v>45198</v>
      </c>
      <c r="J6" s="6">
        <v>32.04</v>
      </c>
      <c r="K6" t="s">
        <v>97</v>
      </c>
      <c r="L6" s="6">
        <f t="shared" ref="L6:L17" si="1">-J6*F6</f>
        <v>-32.04</v>
      </c>
      <c r="M6" s="2"/>
    </row>
    <row r="7" spans="2:13" x14ac:dyDescent="0.35">
      <c r="C7" s="46" t="str">
        <f>C6</f>
        <v>VIST</v>
      </c>
      <c r="D7" s="47" t="str">
        <f>C6</f>
        <v>VIST</v>
      </c>
      <c r="E7" s="47">
        <v>2</v>
      </c>
      <c r="F7" s="47">
        <f>-F6</f>
        <v>-1</v>
      </c>
      <c r="G7" s="46">
        <f>I6</f>
        <v>45198</v>
      </c>
      <c r="H7" s="53">
        <v>0.50069444444444444</v>
      </c>
      <c r="I7" s="46">
        <f t="shared" si="0"/>
        <v>45202</v>
      </c>
      <c r="J7" s="49">
        <v>24572.19</v>
      </c>
      <c r="K7" s="47" t="s">
        <v>97</v>
      </c>
      <c r="L7" s="49">
        <f t="shared" si="1"/>
        <v>24572.19</v>
      </c>
      <c r="M7" s="48">
        <f>-L7/L6</f>
        <v>766.92228464419475</v>
      </c>
    </row>
    <row r="8" spans="2:13" x14ac:dyDescent="0.35">
      <c r="C8" t="s">
        <v>24</v>
      </c>
      <c r="D8" t="str">
        <f>C8</f>
        <v>NKE</v>
      </c>
      <c r="E8">
        <v>2</v>
      </c>
      <c r="F8">
        <v>2</v>
      </c>
      <c r="G8" s="44">
        <v>45197</v>
      </c>
      <c r="H8" s="52">
        <v>0.50069444444444444</v>
      </c>
      <c r="I8" s="44">
        <f t="shared" si="0"/>
        <v>45201</v>
      </c>
      <c r="J8" s="4">
        <v>6015.82</v>
      </c>
      <c r="K8" t="s">
        <v>96</v>
      </c>
      <c r="L8" s="4">
        <f t="shared" si="1"/>
        <v>-12031.64</v>
      </c>
      <c r="M8" s="2">
        <f>-L8/L9</f>
        <v>691.47356321839084</v>
      </c>
    </row>
    <row r="9" spans="2:13" x14ac:dyDescent="0.35">
      <c r="C9" s="46" t="str">
        <f>C8</f>
        <v>NKE</v>
      </c>
      <c r="D9" s="47" t="str">
        <f>_xlfn.CONCAT(C8,"D")</f>
        <v>NKED</v>
      </c>
      <c r="E9" s="47">
        <v>2</v>
      </c>
      <c r="F9" s="47">
        <f>-F8</f>
        <v>-2</v>
      </c>
      <c r="G9" s="46">
        <f>I8</f>
        <v>45201</v>
      </c>
      <c r="H9" s="53">
        <v>0.50069444444444444</v>
      </c>
      <c r="I9" s="46">
        <f t="shared" si="0"/>
        <v>45203</v>
      </c>
      <c r="J9" s="50">
        <v>8.6999999999999993</v>
      </c>
      <c r="K9" s="47" t="s">
        <v>97</v>
      </c>
      <c r="L9" s="50">
        <f t="shared" si="1"/>
        <v>17.399999999999999</v>
      </c>
      <c r="M9" s="48"/>
    </row>
    <row r="10" spans="2:13" x14ac:dyDescent="0.35">
      <c r="C10" t="s">
        <v>57</v>
      </c>
      <c r="D10" t="str">
        <f>C10</f>
        <v>WBA</v>
      </c>
      <c r="E10">
        <v>2</v>
      </c>
      <c r="F10">
        <v>6</v>
      </c>
      <c r="G10" s="44">
        <v>45198</v>
      </c>
      <c r="H10" s="52">
        <v>0.50069444444444444</v>
      </c>
      <c r="I10" s="44">
        <f t="shared" si="0"/>
        <v>45202</v>
      </c>
      <c r="J10" s="4">
        <v>6089.89</v>
      </c>
      <c r="K10" t="s">
        <v>96</v>
      </c>
      <c r="L10" s="4">
        <f t="shared" si="1"/>
        <v>-36539.340000000004</v>
      </c>
      <c r="M10" s="2">
        <f>-L10/SUM(L11:L12)</f>
        <v>755.72574974146846</v>
      </c>
    </row>
    <row r="11" spans="2:13" x14ac:dyDescent="0.35">
      <c r="C11" s="44" t="str">
        <f>C10</f>
        <v>WBA</v>
      </c>
      <c r="D11" t="str">
        <f>_xlfn.CONCAT(C10,"D")</f>
        <v>WBAD</v>
      </c>
      <c r="E11">
        <v>2</v>
      </c>
      <c r="F11">
        <v>-1</v>
      </c>
      <c r="G11" s="44">
        <v>45203</v>
      </c>
      <c r="H11" s="52">
        <v>0.50069444444444444</v>
      </c>
      <c r="I11" s="44">
        <f t="shared" si="0"/>
        <v>45205</v>
      </c>
      <c r="J11" s="6">
        <v>8.35</v>
      </c>
      <c r="K11" t="s">
        <v>97</v>
      </c>
      <c r="L11" s="6">
        <f t="shared" si="1"/>
        <v>8.35</v>
      </c>
      <c r="M11" s="51"/>
    </row>
    <row r="12" spans="2:13" x14ac:dyDescent="0.35">
      <c r="C12" s="46" t="str">
        <f>C11</f>
        <v>WBA</v>
      </c>
      <c r="D12" s="47" t="str">
        <f>_xlfn.CONCAT(C11,"D")</f>
        <v>WBAD</v>
      </c>
      <c r="E12" s="47">
        <v>2</v>
      </c>
      <c r="F12" s="47">
        <f>-(F10+F11)</f>
        <v>-5</v>
      </c>
      <c r="G12" s="46">
        <v>45203</v>
      </c>
      <c r="H12" s="53">
        <v>0.50069444444444444</v>
      </c>
      <c r="I12" s="46">
        <f t="shared" si="0"/>
        <v>45205</v>
      </c>
      <c r="J12" s="50">
        <v>8</v>
      </c>
      <c r="K12" s="47" t="s">
        <v>97</v>
      </c>
      <c r="L12" s="50">
        <f t="shared" si="1"/>
        <v>40</v>
      </c>
      <c r="M12" s="48"/>
    </row>
    <row r="13" spans="2:13" x14ac:dyDescent="0.35">
      <c r="C13" t="s">
        <v>24</v>
      </c>
      <c r="D13" t="str">
        <f>C13</f>
        <v>NKE</v>
      </c>
      <c r="E13">
        <v>0</v>
      </c>
      <c r="F13">
        <v>26</v>
      </c>
      <c r="G13" s="44">
        <v>45201</v>
      </c>
      <c r="H13" s="52">
        <v>0.50069444444444444</v>
      </c>
      <c r="I13" s="44">
        <f t="shared" si="0"/>
        <v>45201</v>
      </c>
      <c r="J13" s="4">
        <v>6506.29</v>
      </c>
      <c r="K13" t="s">
        <v>96</v>
      </c>
      <c r="L13" s="4">
        <f t="shared" si="1"/>
        <v>-169163.54</v>
      </c>
      <c r="M13" s="2">
        <f>-L13/SUM(L14:L15)</f>
        <v>772.33045701502067</v>
      </c>
    </row>
    <row r="14" spans="2:13" x14ac:dyDescent="0.35">
      <c r="C14" s="44" t="str">
        <f>C13</f>
        <v>NKE</v>
      </c>
      <c r="D14" t="str">
        <f>_xlfn.CONCAT(C13,"D")</f>
        <v>NKED</v>
      </c>
      <c r="E14">
        <v>2</v>
      </c>
      <c r="F14">
        <v>-17</v>
      </c>
      <c r="G14" s="44">
        <f>I13</f>
        <v>45201</v>
      </c>
      <c r="H14" s="52">
        <v>0.50069444444444444</v>
      </c>
      <c r="I14" s="44">
        <f t="shared" si="0"/>
        <v>45203</v>
      </c>
      <c r="J14" s="4">
        <v>8.49</v>
      </c>
      <c r="K14" t="s">
        <v>97</v>
      </c>
      <c r="L14" s="4">
        <f t="shared" si="1"/>
        <v>144.33000000000001</v>
      </c>
      <c r="M14" s="2"/>
    </row>
    <row r="15" spans="2:13" x14ac:dyDescent="0.35">
      <c r="C15" s="46" t="str">
        <f>C14</f>
        <v>NKE</v>
      </c>
      <c r="D15" s="47" t="str">
        <f>_xlfn.CONCAT(C14,"D")</f>
        <v>NKED</v>
      </c>
      <c r="E15" s="47">
        <v>2</v>
      </c>
      <c r="F15" s="47">
        <f>-(F13+F14)</f>
        <v>-9</v>
      </c>
      <c r="G15" s="46">
        <v>45203</v>
      </c>
      <c r="H15" s="53">
        <v>0.50069444444444444</v>
      </c>
      <c r="I15" s="46">
        <f t="shared" si="0"/>
        <v>45205</v>
      </c>
      <c r="J15" s="50">
        <v>8.3000000000000007</v>
      </c>
      <c r="K15" s="47" t="s">
        <v>97</v>
      </c>
      <c r="L15" s="50">
        <f t="shared" si="1"/>
        <v>74.7</v>
      </c>
      <c r="M15" s="48"/>
    </row>
    <row r="16" spans="2:13" x14ac:dyDescent="0.35">
      <c r="C16" t="s">
        <v>17</v>
      </c>
      <c r="D16" t="str">
        <f>C16</f>
        <v>PYPL</v>
      </c>
      <c r="E16">
        <v>2</v>
      </c>
      <c r="F16">
        <v>16</v>
      </c>
      <c r="G16" s="44">
        <v>45197</v>
      </c>
      <c r="H16" s="52">
        <v>0.50069444444444444</v>
      </c>
      <c r="I16" s="44">
        <f t="shared" si="0"/>
        <v>45201</v>
      </c>
      <c r="J16" s="4">
        <v>6085.89</v>
      </c>
      <c r="K16" t="s">
        <v>96</v>
      </c>
      <c r="L16" s="4">
        <f t="shared" si="1"/>
        <v>-97374.24</v>
      </c>
      <c r="M16" s="2">
        <f>-L16/L17</f>
        <v>791.40312093628086</v>
      </c>
    </row>
    <row r="17" spans="3:13" x14ac:dyDescent="0.35">
      <c r="C17" s="46" t="str">
        <f>C16</f>
        <v>PYPL</v>
      </c>
      <c r="D17" s="47" t="str">
        <f>_xlfn.CONCAT(C16,"D")</f>
        <v>PYPLD</v>
      </c>
      <c r="E17" s="47">
        <v>2</v>
      </c>
      <c r="F17" s="47">
        <f>-F16</f>
        <v>-16</v>
      </c>
      <c r="G17" s="46">
        <v>45203</v>
      </c>
      <c r="H17" s="53">
        <v>0.50069444444444444</v>
      </c>
      <c r="I17" s="46">
        <f t="shared" si="0"/>
        <v>45205</v>
      </c>
      <c r="J17" s="50">
        <v>7.69</v>
      </c>
      <c r="K17" s="47" t="s">
        <v>97</v>
      </c>
      <c r="L17" s="50">
        <f t="shared" si="1"/>
        <v>123.04</v>
      </c>
      <c r="M17" s="48"/>
    </row>
    <row r="18" spans="3:13" x14ac:dyDescent="0.35">
      <c r="C18" t="s">
        <v>56</v>
      </c>
      <c r="D18" t="str">
        <f>C18</f>
        <v>VZ</v>
      </c>
      <c r="E18">
        <v>3</v>
      </c>
      <c r="F18">
        <v>2</v>
      </c>
      <c r="G18" s="44">
        <v>45203</v>
      </c>
      <c r="H18" s="52">
        <v>0.62083333333333335</v>
      </c>
      <c r="I18" s="44">
        <f t="shared" si="0"/>
        <v>45208</v>
      </c>
      <c r="J18" s="4">
        <v>14095.5</v>
      </c>
      <c r="K18" t="s">
        <v>96</v>
      </c>
      <c r="L18" s="4">
        <f t="shared" ref="L18:L19" si="2">-J18*F18</f>
        <v>-28191</v>
      </c>
      <c r="M18" s="2">
        <f>-L18/L19</f>
        <v>783.08333333333337</v>
      </c>
    </row>
    <row r="19" spans="3:13" x14ac:dyDescent="0.35">
      <c r="C19" s="46" t="str">
        <f>C18</f>
        <v>VZ</v>
      </c>
      <c r="D19" s="47" t="str">
        <f>_xlfn.CONCAT(C18,"D")</f>
        <v>VZD</v>
      </c>
      <c r="E19" s="47">
        <v>2</v>
      </c>
      <c r="F19" s="47">
        <f>-F18</f>
        <v>-2</v>
      </c>
      <c r="G19" s="46">
        <f>I18</f>
        <v>45208</v>
      </c>
      <c r="H19" s="53">
        <f>H18</f>
        <v>0.62083333333333335</v>
      </c>
      <c r="I19" s="46">
        <f t="shared" si="0"/>
        <v>45210</v>
      </c>
      <c r="J19" s="50">
        <v>18</v>
      </c>
      <c r="K19" s="47" t="s">
        <v>97</v>
      </c>
      <c r="L19" s="50">
        <f t="shared" si="2"/>
        <v>36</v>
      </c>
      <c r="M19" s="48"/>
    </row>
  </sheetData>
  <pageMargins left="0.7" right="0.7" top="0.75" bottom="0.75" header="0.3" footer="0.3"/>
  <ignoredErrors>
    <ignoredError sqref="D5:D6 D9:D10 D13 D1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f 2 b 7 d c - 9 d a 9 - 4 8 c 8 - a b 7 0 - 4 0 b e 6 d 9 a 8 9 a 5 "   x m l n s = " h t t p : / / s c h e m a s . m i c r o s o f t . c o m / D a t a M a s h u p " > A A A A A I M E A A B Q S w M E F A A C A A g A 5 X p M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5 X p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6 T F f a L g Z A f Q E A A A 8 D A A A T A B w A R m 9 y b X V s Y X M v U 2 V j d G l v b j E u b S C i G A A o o B Q A A A A A A A A A A A A A A A A A A A A A A A A A A A B 9 k U F P 4 z A Q h e + V + h + s c G k l K 1 J h l w M o h 2 5 S x B 4 W A S k n s o o c Z 9 p G 2 J 7 I Y 1 d U F f 8 d p y k C s e n 6 E v t 9 z y / z E g L p G j Q s 7 5 + z 6 / F o P K K N s F C z e l V q a F n C F L j x i I W V o 7 c S g p L S N s 5 Q e g 3 G T W 4 a B X G K x o U D T a L 0 q n g i s F S s o A b b S I y 1 t + 1 m V 3 x c o C J 3 K F / Y 4 l V u h F l D 0 X q l S m H X J X V 6 U Q s n C v S u 9 c H a D x F L 2 k Z T / p y B a n T j w C Y R j z h L U X l t K J l d c L Y w E u v G r J P Z + c 9 z z h 4 8 O s j d T k H y u Y 3 v 0 M D f K e / b n E X 3 F n V g N b s F E W a l K F R b i i o Y j + S o T / r i n D 0 f 9 b l S u R R K W E q c 9 V 8 j 0 0 O l m i 1 3 L X z G L a 0 w t E K r + 4 k 7 S J O B 9 / P 9 P q o E Q U k 7 X a E K F V 2 w M g e v 7 o 2 z f U Q b t O 5 O a P i H Y A u m / D X / 0 I 3 X F d g D q Z p 6 G A h 6 G Q a H r O x 0 2 g n U 5 Z 1 A 2 6 4 2 9 O y 3 c Z c / 4 u 4 T f E X Z I P y z u B 9 I C 2 o p U b d W l P P H / P + G p z z 7 Z n i b j k e N G f x f 1 + 9 Q S w E C L Q A U A A I A C A D l e k x X r 9 r s P a Q A A A D 2 A A A A E g A A A A A A A A A A A A A A A A A A A A A A Q 2 9 u Z m l n L 1 B h Y 2 t h Z 2 U u e G 1 s U E s B A i 0 A F A A C A A g A 5 X p M V w / K 6 a u k A A A A 6 Q A A A B M A A A A A A A A A A A A A A A A A 8 A A A A F t D b 2 5 0 Z W 5 0 X 1 R 5 c G V z X S 5 4 b W x Q S w E C L Q A U A A I A C A D l e k x X 2 i 4 G Q H 0 B A A A P A w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E A A A A A A A A F k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l 9 t Z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Z G Z f b W V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R m X 2 1 l c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C 0 x M l Q x O D o y M z o x M C 4 4 M z c 1 O T k y W i I g L z 4 8 R W 5 0 c n k g V H l w Z T 0 i U X V l c n l J R C I g V m F s d W U 9 I n N m N D M x O T B l M y 0 y Y W Q 5 L T Q z N z E t Y m R k M C 0 1 M T E 3 M W U 1 M T E 0 M 2 U i I C 8 + P E V u d H J 5 I F R 5 c G U 9 I k J 1 Z m Z l c k 5 l e H R S Z W Z y Z X N o I i B W Y W x 1 Z T 0 i b D E i I C 8 + P E V u d H J 5 I F R 5 c G U 9 I k Z p b G x D b 2 x 1 b W 5 U e X B l c y I g V m F s d W U 9 I n N C Z 1 l G Q l F V R k J R V U R B d 1 V G Q l E 9 P S I g L z 4 8 R W 5 0 c n k g V H l w Z T 0 i R m l s b E V y c m 9 y Q 2 9 1 b n Q i I F Z h b H V l P S J s M T M i I C 8 + P E V u d H J 5 I F R 5 c G U 9 I k Z p b G x D b 2 x 1 b W 5 O Y W 1 l c y I g V m F s d W U 9 I n N b J n F 1 b 3 Q 7 Y m F z Z V 9 z e W 1 i b 2 w m c X V v d D s s J n F 1 b 3 Q 7 c 2 h v c n R O Y W 1 l J n F 1 b 3 Q 7 L C Z x d W 9 0 O 2 9 w Z W 5 f Q k E m c X V v d D s s J n F 1 b 3 Q 7 Y m l k X 0 J B J n F 1 b 3 Q 7 L C Z x d W 9 0 O 2 F z a 1 9 C Q S Z x d W 9 0 O y w m c X V v d D t v c G V u X 0 R f Q k E m c X V v d D s s J n F 1 b 3 Q 7 Y m l k X 0 R f Q k E m c X V v d D s s J n F 1 b 3 Q 7 Y X N r X 0 R f Q k E m c X V v d D s s J n F 1 b 3 Q 7 d m 9 s d W 1 l X 0 J B J n F 1 b 3 Q 7 L C Z x d W 9 0 O 3 Z v b H V t Z V 9 E X 0 J B J n F 1 b 3 Q 7 L C Z x d W 9 0 O 0 1 F U C Z x d W 9 0 O y w m c X V v d D t N R V B f Y 2 9 t c H J h X 0 F S U y Z x d W 9 0 O y w m c X V v d D t N R V B f Y 2 9 t c H J h X 1 V T R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z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b W V w L 0 F 1 d G 9 S Z W 1 v d m V k Q 2 9 s d W 1 u c z E u e 2 J h c 2 V f c 3 l t Y m 9 s L D B 9 J n F 1 b 3 Q 7 L C Z x d W 9 0 O 1 N l Y 3 R p b 2 4 x L 2 R m X 2 1 l c C 9 B d X R v U m V t b 3 Z l Z E N v b H V t b n M x L n t z a G 9 y d E 5 h b W U s M X 0 m c X V v d D s s J n F 1 b 3 Q 7 U 2 V j d G l v b j E v Z G Z f b W V w L 0 F 1 d G 9 S Z W 1 v d m V k Q 2 9 s d W 1 u c z E u e 2 9 w Z W 5 f Q k E s M n 0 m c X V v d D s s J n F 1 b 3 Q 7 U 2 V j d G l v b j E v Z G Z f b W V w L 0 F 1 d G 9 S Z W 1 v d m V k Q 2 9 s d W 1 u c z E u e 2 J p Z F 9 C Q S w z f S Z x d W 9 0 O y w m c X V v d D t T Z W N 0 a W 9 u M S 9 k Z l 9 t Z X A v Q X V 0 b 1 J l b W 9 2 Z W R D b 2 x 1 b W 5 z M S 5 7 Y X N r X 0 J B L D R 9 J n F 1 b 3 Q 7 L C Z x d W 9 0 O 1 N l Y 3 R p b 2 4 x L 2 R m X 2 1 l c C 9 B d X R v U m V t b 3 Z l Z E N v b H V t b n M x L n t v c G V u X 0 R f Q k E s N X 0 m c X V v d D s s J n F 1 b 3 Q 7 U 2 V j d G l v b j E v Z G Z f b W V w L 0 F 1 d G 9 S Z W 1 v d m V k Q 2 9 s d W 1 u c z E u e 2 J p Z F 9 E X 0 J B L D Z 9 J n F 1 b 3 Q 7 L C Z x d W 9 0 O 1 N l Y 3 R p b 2 4 x L 2 R m X 2 1 l c C 9 B d X R v U m V t b 3 Z l Z E N v b H V t b n M x L n t h c 2 t f R F 9 C Q S w 3 f S Z x d W 9 0 O y w m c X V v d D t T Z W N 0 a W 9 u M S 9 k Z l 9 t Z X A v Q X V 0 b 1 J l b W 9 2 Z W R D b 2 x 1 b W 5 z M S 5 7 d m 9 s d W 1 l X 0 J B L D h 9 J n F 1 b 3 Q 7 L C Z x d W 9 0 O 1 N l Y 3 R p b 2 4 x L 2 R m X 2 1 l c C 9 B d X R v U m V t b 3 Z l Z E N v b H V t b n M x L n t 2 b 2 x 1 b W V f R F 9 C Q S w 5 f S Z x d W 9 0 O y w m c X V v d D t T Z W N 0 a W 9 u M S 9 k Z l 9 t Z X A v Q X V 0 b 1 J l b W 9 2 Z W R D b 2 x 1 b W 5 z M S 5 7 T U V Q L D E w f S Z x d W 9 0 O y w m c X V v d D t T Z W N 0 a W 9 u M S 9 k Z l 9 t Z X A v Q X V 0 b 1 J l b W 9 2 Z W R D b 2 x 1 b W 5 z M S 5 7 T U V Q X 2 N v b X B y Y V 9 B U l M s M T F 9 J n F 1 b 3 Q 7 L C Z x d W 9 0 O 1 N l Y 3 R p b 2 4 x L 2 R m X 2 1 l c C 9 B d X R v U m V t b 3 Z l Z E N v b H V t b n M x L n t N R V B f Y 2 9 t c H J h X 1 V T R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m X 2 1 l c C 9 B d X R v U m V t b 3 Z l Z E N v b H V t b n M x L n t i Y X N l X 3 N 5 b W J v b C w w f S Z x d W 9 0 O y w m c X V v d D t T Z W N 0 a W 9 u M S 9 k Z l 9 t Z X A v Q X V 0 b 1 J l b W 9 2 Z W R D b 2 x 1 b W 5 z M S 5 7 c 2 h v c n R O Y W 1 l L D F 9 J n F 1 b 3 Q 7 L C Z x d W 9 0 O 1 N l Y 3 R p b 2 4 x L 2 R m X 2 1 l c C 9 B d X R v U m V t b 3 Z l Z E N v b H V t b n M x L n t v c G V u X 0 J B L D J 9 J n F 1 b 3 Q 7 L C Z x d W 9 0 O 1 N l Y 3 R p b 2 4 x L 2 R m X 2 1 l c C 9 B d X R v U m V t b 3 Z l Z E N v b H V t b n M x L n t i a W R f Q k E s M 3 0 m c X V v d D s s J n F 1 b 3 Q 7 U 2 V j d G l v b j E v Z G Z f b W V w L 0 F 1 d G 9 S Z W 1 v d m V k Q 2 9 s d W 1 u c z E u e 2 F z a 1 9 C Q S w 0 f S Z x d W 9 0 O y w m c X V v d D t T Z W N 0 a W 9 u M S 9 k Z l 9 t Z X A v Q X V 0 b 1 J l b W 9 2 Z W R D b 2 x 1 b W 5 z M S 5 7 b 3 B l b l 9 E X 0 J B L D V 9 J n F 1 b 3 Q 7 L C Z x d W 9 0 O 1 N l Y 3 R p b 2 4 x L 2 R m X 2 1 l c C 9 B d X R v U m V t b 3 Z l Z E N v b H V t b n M x L n t i a W R f R F 9 C Q S w 2 f S Z x d W 9 0 O y w m c X V v d D t T Z W N 0 a W 9 u M S 9 k Z l 9 t Z X A v Q X V 0 b 1 J l b W 9 2 Z W R D b 2 x 1 b W 5 z M S 5 7 Y X N r X 0 R f Q k E s N 3 0 m c X V v d D s s J n F 1 b 3 Q 7 U 2 V j d G l v b j E v Z G Z f b W V w L 0 F 1 d G 9 S Z W 1 v d m V k Q 2 9 s d W 1 u c z E u e 3 Z v b H V t Z V 9 C Q S w 4 f S Z x d W 9 0 O y w m c X V v d D t T Z W N 0 a W 9 u M S 9 k Z l 9 t Z X A v Q X V 0 b 1 J l b W 9 2 Z W R D b 2 x 1 b W 5 z M S 5 7 d m 9 s d W 1 l X 0 R f Q k E s O X 0 m c X V v d D s s J n F 1 b 3 Q 7 U 2 V j d G l v b j E v Z G Z f b W V w L 0 F 1 d G 9 S Z W 1 v d m V k Q 2 9 s d W 1 u c z E u e 0 1 F U C w x M H 0 m c X V v d D s s J n F 1 b 3 Q 7 U 2 V j d G l v b j E v Z G Z f b W V w L 0 F 1 d G 9 S Z W 1 v d m V k Q 2 9 s d W 1 u c z E u e 0 1 F U F 9 j b 2 1 w c m F f Q V J T L D E x f S Z x d W 9 0 O y w m c X V v d D t T Z W N 0 a W 9 u M S 9 k Z l 9 t Z X A v Q X V 0 b 1 J l b W 9 2 Z W R D b 2 x 1 b W 5 z M S 5 7 T U V Q X 2 N v b X B y Y V 9 V U 0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t Z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b W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1 l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K D d F d k M 0 K T r d Q r h v k 8 s 8 g A A A A A A I A A A A A A A N m A A D A A A A A E A A A A G F P k 8 5 y P 2 w l 8 G c + X n n M m e k A A A A A B I A A A K A A A A A Q A A A A y 9 x c V l Z 0 y x m w d a U s Q S 4 z 3 1 A A A A D k E Z I D 0 T s y W s a z Q L S i j X e l 8 I D Y 1 l Q o w M K e n 1 Y G 7 8 3 o z D b a 7 + f i 8 3 m L g l 2 Z 3 6 2 z 2 b M s V a 8 2 3 9 J 7 b 4 E j j R H X 8 r F M z C e X + K 8 Q P r S 7 O D Q 5 v o H 5 v x Q A A A A y S t F g x 8 E 8 l z Z u t E 0 x S 5 N a v a v U L Q = = < / D a t a M a s h u p > 
</file>

<file path=customXml/itemProps1.xml><?xml version="1.0" encoding="utf-8"?>
<ds:datastoreItem xmlns:ds="http://schemas.openxmlformats.org/officeDocument/2006/customXml" ds:itemID="{D18F994A-750D-476F-B60F-27461DB45D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df_mep</vt:lpstr>
      <vt:lpstr>FF</vt:lpstr>
      <vt:lpstr>ccl</vt:lpstr>
      <vt:lpstr>FF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Federico Ian</dc:creator>
  <cp:lastModifiedBy>Murphy, Federico Ian</cp:lastModifiedBy>
  <dcterms:created xsi:type="dcterms:W3CDTF">2015-06-05T18:17:20Z</dcterms:created>
  <dcterms:modified xsi:type="dcterms:W3CDTF">2023-10-12T19:14:59Z</dcterms:modified>
</cp:coreProperties>
</file>