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outputs\"/>
    </mc:Choice>
  </mc:AlternateContent>
  <xr:revisionPtr revIDLastSave="0" documentId="13_ncr:1_{3A95301D-0D34-4DD8-AC97-5E43A0CC54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f_mep" sheetId="3" r:id="rId1"/>
    <sheet name="FF" sheetId="2" r:id="rId2"/>
    <sheet name="ccl" sheetId="6" r:id="rId3"/>
    <sheet name="FF real" sheetId="8" r:id="rId4"/>
  </sheets>
  <definedNames>
    <definedName name="_xlnm._FilterDatabase" localSheetId="3" hidden="1">'FF real'!$C$3:$M$17</definedName>
    <definedName name="ExternalData_1" localSheetId="0" hidden="1">df_mep!$A$1:$O$296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5" i="3" l="1"/>
  <c r="R249" i="3"/>
  <c r="R270" i="3"/>
  <c r="R278" i="3"/>
  <c r="R289" i="3"/>
  <c r="J221" i="3"/>
  <c r="R221" i="3" s="1"/>
  <c r="J172" i="3"/>
  <c r="J266" i="3"/>
  <c r="R266" i="3" s="1"/>
  <c r="J238" i="3"/>
  <c r="J181" i="3"/>
  <c r="J261" i="3"/>
  <c r="R261" i="3" s="1"/>
  <c r="J284" i="3"/>
  <c r="R284" i="3" s="1"/>
  <c r="J246" i="3"/>
  <c r="J161" i="3"/>
  <c r="J2" i="3"/>
  <c r="J3" i="3"/>
  <c r="J4" i="3"/>
  <c r="R4" i="3" s="1"/>
  <c r="J5" i="3"/>
  <c r="J6" i="3"/>
  <c r="J7" i="3"/>
  <c r="J176" i="3"/>
  <c r="J242" i="3"/>
  <c r="R242" i="3" s="1"/>
  <c r="J8" i="3"/>
  <c r="J174" i="3"/>
  <c r="J9" i="3"/>
  <c r="J10" i="3"/>
  <c r="J11" i="3"/>
  <c r="J245" i="3"/>
  <c r="J12" i="3"/>
  <c r="J232" i="3"/>
  <c r="R232" i="3" s="1"/>
  <c r="J290" i="3"/>
  <c r="R290" i="3" s="1"/>
  <c r="J228" i="3"/>
  <c r="R228" i="3" s="1"/>
  <c r="J187" i="3"/>
  <c r="R187" i="3" s="1"/>
  <c r="J13" i="3"/>
  <c r="J14" i="3"/>
  <c r="J157" i="3"/>
  <c r="J195" i="3"/>
  <c r="J252" i="3"/>
  <c r="R252" i="3" s="1"/>
  <c r="J15" i="3"/>
  <c r="J16" i="3"/>
  <c r="J17" i="3"/>
  <c r="J240" i="3"/>
  <c r="R240" i="3" s="1"/>
  <c r="J18" i="3"/>
  <c r="J222" i="3"/>
  <c r="J171" i="3"/>
  <c r="J19" i="3"/>
  <c r="J20" i="3"/>
  <c r="J215" i="3"/>
  <c r="R215" i="3" s="1"/>
  <c r="J21" i="3"/>
  <c r="J22" i="3"/>
  <c r="J23" i="3"/>
  <c r="J24" i="3"/>
  <c r="J25" i="3"/>
  <c r="J292" i="3"/>
  <c r="R292" i="3" s="1"/>
  <c r="J26" i="3"/>
  <c r="J27" i="3"/>
  <c r="J28" i="3"/>
  <c r="R28" i="3" s="1"/>
  <c r="J29" i="3"/>
  <c r="J216" i="3"/>
  <c r="R216" i="3" s="1"/>
  <c r="J256" i="3"/>
  <c r="R256" i="3" s="1"/>
  <c r="J197" i="3"/>
  <c r="J237" i="3"/>
  <c r="R237" i="3" s="1"/>
  <c r="J250" i="3"/>
  <c r="R250" i="3" s="1"/>
  <c r="J30" i="3"/>
  <c r="J31" i="3"/>
  <c r="R31" i="3" s="1"/>
  <c r="J259" i="3"/>
  <c r="R259" i="3" s="1"/>
  <c r="J32" i="3"/>
  <c r="J247" i="3"/>
  <c r="R247" i="3" s="1"/>
  <c r="J196" i="3"/>
  <c r="J226" i="3"/>
  <c r="R226" i="3" s="1"/>
  <c r="J258" i="3"/>
  <c r="R258" i="3" s="1"/>
  <c r="J33" i="3"/>
  <c r="J211" i="3"/>
  <c r="R211" i="3" s="1"/>
  <c r="J225" i="3"/>
  <c r="J34" i="3"/>
  <c r="J35" i="3"/>
  <c r="J36" i="3"/>
  <c r="J37" i="3"/>
  <c r="J285" i="3"/>
  <c r="J295" i="3"/>
  <c r="R295" i="3" s="1"/>
  <c r="J287" i="3"/>
  <c r="R287" i="3" s="1"/>
  <c r="J251" i="3"/>
  <c r="R251" i="3" s="1"/>
  <c r="J294" i="3"/>
  <c r="R294" i="3" s="1"/>
  <c r="J38" i="3"/>
  <c r="J159" i="3"/>
  <c r="J39" i="3"/>
  <c r="J40" i="3"/>
  <c r="J293" i="3"/>
  <c r="J41" i="3"/>
  <c r="J277" i="3"/>
  <c r="R277" i="3" s="1"/>
  <c r="J276" i="3"/>
  <c r="R276" i="3" s="1"/>
  <c r="J288" i="3"/>
  <c r="R288" i="3" s="1"/>
  <c r="J42" i="3"/>
  <c r="J271" i="3"/>
  <c r="R271" i="3" s="1"/>
  <c r="J248" i="3"/>
  <c r="R248" i="3" s="1"/>
  <c r="J213" i="3"/>
  <c r="J43" i="3"/>
  <c r="R43" i="3" s="1"/>
  <c r="J44" i="3"/>
  <c r="J218" i="3"/>
  <c r="R218" i="3" s="1"/>
  <c r="J45" i="3"/>
  <c r="J296" i="3"/>
  <c r="R296" i="3" s="1"/>
  <c r="J46" i="3"/>
  <c r="J47" i="3"/>
  <c r="J48" i="3"/>
  <c r="J49" i="3"/>
  <c r="J289" i="3"/>
  <c r="J50" i="3"/>
  <c r="J51" i="3"/>
  <c r="J52" i="3"/>
  <c r="J53" i="3"/>
  <c r="J273" i="3"/>
  <c r="J263" i="3"/>
  <c r="R263" i="3" s="1"/>
  <c r="J281" i="3"/>
  <c r="J270" i="3"/>
  <c r="J54" i="3"/>
  <c r="J55" i="3"/>
  <c r="J56" i="3"/>
  <c r="J57" i="3"/>
  <c r="J210" i="3"/>
  <c r="J58" i="3"/>
  <c r="J282" i="3"/>
  <c r="R282" i="3" s="1"/>
  <c r="J59" i="3"/>
  <c r="J243" i="3"/>
  <c r="R243" i="3" s="1"/>
  <c r="J279" i="3"/>
  <c r="R279" i="3" s="1"/>
  <c r="J209" i="3"/>
  <c r="J212" i="3"/>
  <c r="J60" i="3"/>
  <c r="J61" i="3"/>
  <c r="J62" i="3"/>
  <c r="J169" i="3"/>
  <c r="R169" i="3" s="1"/>
  <c r="J178" i="3"/>
  <c r="J63" i="3"/>
  <c r="J274" i="3"/>
  <c r="R274" i="3" s="1"/>
  <c r="J260" i="3"/>
  <c r="R260" i="3" s="1"/>
  <c r="J64" i="3"/>
  <c r="J65" i="3"/>
  <c r="J66" i="3"/>
  <c r="R66" i="3" s="1"/>
  <c r="J165" i="3"/>
  <c r="J162" i="3"/>
  <c r="J67" i="3"/>
  <c r="J175" i="3"/>
  <c r="J186" i="3"/>
  <c r="J68" i="3"/>
  <c r="J69" i="3"/>
  <c r="J185" i="3"/>
  <c r="J278" i="3"/>
  <c r="J70" i="3"/>
  <c r="J269" i="3"/>
  <c r="J180" i="3"/>
  <c r="J71" i="3"/>
  <c r="J234" i="3"/>
  <c r="R234" i="3" s="1"/>
  <c r="J219" i="3"/>
  <c r="R219" i="3" s="1"/>
  <c r="J72" i="3"/>
  <c r="R72" i="3" s="1"/>
  <c r="J73" i="3"/>
  <c r="J265" i="3"/>
  <c r="R265" i="3" s="1"/>
  <c r="J74" i="3"/>
  <c r="J75" i="3"/>
  <c r="J207" i="3"/>
  <c r="J235" i="3"/>
  <c r="R235" i="3" s="1"/>
  <c r="J76" i="3"/>
  <c r="J77" i="3"/>
  <c r="J78" i="3"/>
  <c r="J79" i="3"/>
  <c r="J80" i="3"/>
  <c r="J81" i="3"/>
  <c r="J163" i="3"/>
  <c r="J82" i="3"/>
  <c r="J83" i="3"/>
  <c r="J84" i="3"/>
  <c r="R84" i="3" s="1"/>
  <c r="J236" i="3"/>
  <c r="R236" i="3" s="1"/>
  <c r="J166" i="3"/>
  <c r="J85" i="3"/>
  <c r="J239" i="3"/>
  <c r="R239" i="3" s="1"/>
  <c r="J86" i="3"/>
  <c r="J188" i="3"/>
  <c r="J87" i="3"/>
  <c r="J199" i="3"/>
  <c r="J160" i="3"/>
  <c r="R160" i="3" s="1"/>
  <c r="J168" i="3"/>
  <c r="J88" i="3"/>
  <c r="J89" i="3"/>
  <c r="J90" i="3"/>
  <c r="J91" i="3"/>
  <c r="J254" i="3"/>
  <c r="J183" i="3"/>
  <c r="R183" i="3" s="1"/>
  <c r="J267" i="3"/>
  <c r="R267" i="3" s="1"/>
  <c r="J204" i="3"/>
  <c r="J92" i="3"/>
  <c r="J93" i="3"/>
  <c r="J94" i="3"/>
  <c r="J95" i="3"/>
  <c r="J202" i="3"/>
  <c r="J96" i="3"/>
  <c r="R96" i="3" s="1"/>
  <c r="J280" i="3"/>
  <c r="R280" i="3" s="1"/>
  <c r="J97" i="3"/>
  <c r="J220" i="3"/>
  <c r="R220" i="3" s="1"/>
  <c r="J253" i="3"/>
  <c r="J233" i="3"/>
  <c r="R233" i="3" s="1"/>
  <c r="J158" i="3"/>
  <c r="J98" i="3"/>
  <c r="J99" i="3"/>
  <c r="R99" i="3" s="1"/>
  <c r="J100" i="3"/>
  <c r="J101" i="3"/>
  <c r="J102" i="3"/>
  <c r="J255" i="3"/>
  <c r="R255" i="3" s="1"/>
  <c r="J201" i="3"/>
  <c r="J283" i="3"/>
  <c r="R283" i="3" s="1"/>
  <c r="J262" i="3"/>
  <c r="J230" i="3"/>
  <c r="J103" i="3"/>
  <c r="J104" i="3"/>
  <c r="J200" i="3"/>
  <c r="J105" i="3"/>
  <c r="J106" i="3"/>
  <c r="J107" i="3"/>
  <c r="J241" i="3"/>
  <c r="J108" i="3"/>
  <c r="R108" i="3" s="1"/>
  <c r="J109" i="3"/>
  <c r="J224" i="3"/>
  <c r="R224" i="3" s="1"/>
  <c r="J110" i="3"/>
  <c r="J111" i="3"/>
  <c r="J112" i="3"/>
  <c r="J113" i="3"/>
  <c r="J164" i="3"/>
  <c r="J173" i="3"/>
  <c r="J114" i="3"/>
  <c r="J115" i="3"/>
  <c r="J116" i="3"/>
  <c r="J117" i="3"/>
  <c r="J227" i="3"/>
  <c r="R227" i="3" s="1"/>
  <c r="J205" i="3"/>
  <c r="J291" i="3"/>
  <c r="R291" i="3" s="1"/>
  <c r="J275" i="3"/>
  <c r="R275" i="3" s="1"/>
  <c r="J118" i="3"/>
  <c r="J191" i="3"/>
  <c r="J272" i="3"/>
  <c r="R272" i="3" s="1"/>
  <c r="J214" i="3"/>
  <c r="J119" i="3"/>
  <c r="J120" i="3"/>
  <c r="J229" i="3"/>
  <c r="J192" i="3"/>
  <c r="R192" i="3" s="1"/>
  <c r="J167" i="3"/>
  <c r="J121" i="3"/>
  <c r="J122" i="3"/>
  <c r="J123" i="3"/>
  <c r="J189" i="3"/>
  <c r="J124" i="3"/>
  <c r="J198" i="3"/>
  <c r="J217" i="3"/>
  <c r="J190" i="3"/>
  <c r="J268" i="3"/>
  <c r="R268" i="3" s="1"/>
  <c r="J264" i="3"/>
  <c r="R264" i="3" s="1"/>
  <c r="J125" i="3"/>
  <c r="J126" i="3"/>
  <c r="J127" i="3"/>
  <c r="J128" i="3"/>
  <c r="J129" i="3"/>
  <c r="J249" i="3"/>
  <c r="J231" i="3"/>
  <c r="R231" i="3" s="1"/>
  <c r="J194" i="3"/>
  <c r="J177" i="3"/>
  <c r="J203" i="3"/>
  <c r="J206" i="3"/>
  <c r="J193" i="3"/>
  <c r="J184" i="3"/>
  <c r="J179" i="3"/>
  <c r="J223" i="3"/>
  <c r="R223" i="3" s="1"/>
  <c r="J130" i="3"/>
  <c r="J131" i="3"/>
  <c r="J132" i="3"/>
  <c r="J133" i="3"/>
  <c r="J286" i="3"/>
  <c r="J182" i="3"/>
  <c r="J134" i="3"/>
  <c r="J135" i="3"/>
  <c r="J257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208" i="3"/>
  <c r="J148" i="3"/>
  <c r="J244" i="3"/>
  <c r="R244" i="3" s="1"/>
  <c r="J149" i="3"/>
  <c r="J170" i="3"/>
  <c r="J150" i="3"/>
  <c r="J151" i="3"/>
  <c r="J152" i="3"/>
  <c r="J153" i="3"/>
  <c r="J154" i="3"/>
  <c r="J155" i="3"/>
  <c r="J156" i="3"/>
  <c r="L221" i="3"/>
  <c r="L172" i="3"/>
  <c r="L266" i="3"/>
  <c r="L238" i="3"/>
  <c r="L181" i="3"/>
  <c r="L261" i="3"/>
  <c r="L284" i="3"/>
  <c r="L246" i="3"/>
  <c r="L161" i="3"/>
  <c r="L2" i="3"/>
  <c r="L3" i="3"/>
  <c r="L4" i="3"/>
  <c r="L5" i="3"/>
  <c r="L6" i="3"/>
  <c r="L7" i="3"/>
  <c r="L176" i="3"/>
  <c r="L242" i="3"/>
  <c r="L8" i="3"/>
  <c r="L174" i="3"/>
  <c r="L9" i="3"/>
  <c r="L10" i="3"/>
  <c r="L11" i="3"/>
  <c r="L245" i="3"/>
  <c r="R245" i="3" s="1"/>
  <c r="L12" i="3"/>
  <c r="L232" i="3"/>
  <c r="L290" i="3"/>
  <c r="L228" i="3"/>
  <c r="L187" i="3"/>
  <c r="L13" i="3"/>
  <c r="L14" i="3"/>
  <c r="L157" i="3"/>
  <c r="L195" i="3"/>
  <c r="L252" i="3"/>
  <c r="L15" i="3"/>
  <c r="L16" i="3"/>
  <c r="L17" i="3"/>
  <c r="L240" i="3"/>
  <c r="L18" i="3"/>
  <c r="L222" i="3"/>
  <c r="R222" i="3" s="1"/>
  <c r="L171" i="3"/>
  <c r="L19" i="3"/>
  <c r="L20" i="3"/>
  <c r="L215" i="3"/>
  <c r="L21" i="3"/>
  <c r="L22" i="3"/>
  <c r="L23" i="3"/>
  <c r="L24" i="3"/>
  <c r="L25" i="3"/>
  <c r="L292" i="3"/>
  <c r="L26" i="3"/>
  <c r="L27" i="3"/>
  <c r="L28" i="3"/>
  <c r="L29" i="3"/>
  <c r="L216" i="3"/>
  <c r="L256" i="3"/>
  <c r="L197" i="3"/>
  <c r="L237" i="3"/>
  <c r="L250" i="3"/>
  <c r="L30" i="3"/>
  <c r="L31" i="3"/>
  <c r="L259" i="3"/>
  <c r="L32" i="3"/>
  <c r="L247" i="3"/>
  <c r="L196" i="3"/>
  <c r="L226" i="3"/>
  <c r="L258" i="3"/>
  <c r="L33" i="3"/>
  <c r="L211" i="3"/>
  <c r="L225" i="3"/>
  <c r="L34" i="3"/>
  <c r="L35" i="3"/>
  <c r="L36" i="3"/>
  <c r="L37" i="3"/>
  <c r="L285" i="3"/>
  <c r="R285" i="3" s="1"/>
  <c r="L295" i="3"/>
  <c r="L287" i="3"/>
  <c r="L251" i="3"/>
  <c r="L294" i="3"/>
  <c r="L38" i="3"/>
  <c r="L159" i="3"/>
  <c r="L39" i="3"/>
  <c r="L40" i="3"/>
  <c r="L293" i="3"/>
  <c r="L41" i="3"/>
  <c r="L277" i="3"/>
  <c r="L276" i="3"/>
  <c r="L288" i="3"/>
  <c r="L42" i="3"/>
  <c r="L271" i="3"/>
  <c r="L248" i="3"/>
  <c r="L213" i="3"/>
  <c r="L43" i="3"/>
  <c r="L44" i="3"/>
  <c r="L218" i="3"/>
  <c r="L45" i="3"/>
  <c r="L296" i="3"/>
  <c r="L46" i="3"/>
  <c r="L47" i="3"/>
  <c r="L48" i="3"/>
  <c r="L49" i="3"/>
  <c r="L289" i="3"/>
  <c r="L50" i="3"/>
  <c r="L51" i="3"/>
  <c r="L52" i="3"/>
  <c r="L53" i="3"/>
  <c r="L273" i="3"/>
  <c r="R273" i="3" s="1"/>
  <c r="L263" i="3"/>
  <c r="L281" i="3"/>
  <c r="L270" i="3"/>
  <c r="L54" i="3"/>
  <c r="L55" i="3"/>
  <c r="L56" i="3"/>
  <c r="L57" i="3"/>
  <c r="L210" i="3"/>
  <c r="L58" i="3"/>
  <c r="L282" i="3"/>
  <c r="L59" i="3"/>
  <c r="L243" i="3"/>
  <c r="L279" i="3"/>
  <c r="L209" i="3"/>
  <c r="L212" i="3"/>
  <c r="L60" i="3"/>
  <c r="L61" i="3"/>
  <c r="L62" i="3"/>
  <c r="L169" i="3"/>
  <c r="L178" i="3"/>
  <c r="L63" i="3"/>
  <c r="L274" i="3"/>
  <c r="L260" i="3"/>
  <c r="L64" i="3"/>
  <c r="L65" i="3"/>
  <c r="L66" i="3"/>
  <c r="L165" i="3"/>
  <c r="L162" i="3"/>
  <c r="L67" i="3"/>
  <c r="L175" i="3"/>
  <c r="L186" i="3"/>
  <c r="L68" i="3"/>
  <c r="L69" i="3"/>
  <c r="L185" i="3"/>
  <c r="L278" i="3"/>
  <c r="L70" i="3"/>
  <c r="L269" i="3"/>
  <c r="R269" i="3" s="1"/>
  <c r="L180" i="3"/>
  <c r="L71" i="3"/>
  <c r="L234" i="3"/>
  <c r="L219" i="3"/>
  <c r="L72" i="3"/>
  <c r="L73" i="3"/>
  <c r="L265" i="3"/>
  <c r="L74" i="3"/>
  <c r="L75" i="3"/>
  <c r="L207" i="3"/>
  <c r="L235" i="3"/>
  <c r="L76" i="3"/>
  <c r="L77" i="3"/>
  <c r="L78" i="3"/>
  <c r="L79" i="3"/>
  <c r="L80" i="3"/>
  <c r="L81" i="3"/>
  <c r="L163" i="3"/>
  <c r="L82" i="3"/>
  <c r="L83" i="3"/>
  <c r="L84" i="3"/>
  <c r="L236" i="3"/>
  <c r="L166" i="3"/>
  <c r="L85" i="3"/>
  <c r="L239" i="3"/>
  <c r="L86" i="3"/>
  <c r="L188" i="3"/>
  <c r="L87" i="3"/>
  <c r="L199" i="3"/>
  <c r="L160" i="3"/>
  <c r="L168" i="3"/>
  <c r="L88" i="3"/>
  <c r="L89" i="3"/>
  <c r="L90" i="3"/>
  <c r="L91" i="3"/>
  <c r="L254" i="3"/>
  <c r="L183" i="3"/>
  <c r="L267" i="3"/>
  <c r="L204" i="3"/>
  <c r="L92" i="3"/>
  <c r="L93" i="3"/>
  <c r="L94" i="3"/>
  <c r="L95" i="3"/>
  <c r="L202" i="3"/>
  <c r="L96" i="3"/>
  <c r="L280" i="3"/>
  <c r="L97" i="3"/>
  <c r="L220" i="3"/>
  <c r="L253" i="3"/>
  <c r="L233" i="3"/>
  <c r="L158" i="3"/>
  <c r="L98" i="3"/>
  <c r="L99" i="3"/>
  <c r="L100" i="3"/>
  <c r="L101" i="3"/>
  <c r="L102" i="3"/>
  <c r="L255" i="3"/>
  <c r="L201" i="3"/>
  <c r="L283" i="3"/>
  <c r="L262" i="3"/>
  <c r="L230" i="3"/>
  <c r="L103" i="3"/>
  <c r="L104" i="3"/>
  <c r="L200" i="3"/>
  <c r="L105" i="3"/>
  <c r="L106" i="3"/>
  <c r="L107" i="3"/>
  <c r="L241" i="3"/>
  <c r="L108" i="3"/>
  <c r="L109" i="3"/>
  <c r="L224" i="3"/>
  <c r="L110" i="3"/>
  <c r="L111" i="3"/>
  <c r="L112" i="3"/>
  <c r="L113" i="3"/>
  <c r="L164" i="3"/>
  <c r="L173" i="3"/>
  <c r="L114" i="3"/>
  <c r="L115" i="3"/>
  <c r="L116" i="3"/>
  <c r="L117" i="3"/>
  <c r="L227" i="3"/>
  <c r="L205" i="3"/>
  <c r="L291" i="3"/>
  <c r="L275" i="3"/>
  <c r="L118" i="3"/>
  <c r="L191" i="3"/>
  <c r="L272" i="3"/>
  <c r="L214" i="3"/>
  <c r="L119" i="3"/>
  <c r="L120" i="3"/>
  <c r="L229" i="3"/>
  <c r="L192" i="3"/>
  <c r="L167" i="3"/>
  <c r="L121" i="3"/>
  <c r="L122" i="3"/>
  <c r="L123" i="3"/>
  <c r="L189" i="3"/>
  <c r="L124" i="3"/>
  <c r="L198" i="3"/>
  <c r="L217" i="3"/>
  <c r="L190" i="3"/>
  <c r="L268" i="3"/>
  <c r="L264" i="3"/>
  <c r="L125" i="3"/>
  <c r="L126" i="3"/>
  <c r="L127" i="3"/>
  <c r="L128" i="3"/>
  <c r="L129" i="3"/>
  <c r="L249" i="3"/>
  <c r="L231" i="3"/>
  <c r="L194" i="3"/>
  <c r="L177" i="3"/>
  <c r="L203" i="3"/>
  <c r="L206" i="3"/>
  <c r="L193" i="3"/>
  <c r="L184" i="3"/>
  <c r="L179" i="3"/>
  <c r="L223" i="3"/>
  <c r="L130" i="3"/>
  <c r="L131" i="3"/>
  <c r="L132" i="3"/>
  <c r="L133" i="3"/>
  <c r="L286" i="3"/>
  <c r="L182" i="3"/>
  <c r="L134" i="3"/>
  <c r="L135" i="3"/>
  <c r="L257" i="3"/>
  <c r="R257" i="3" s="1"/>
  <c r="L136" i="3"/>
  <c r="L137" i="3"/>
  <c r="L138" i="3"/>
  <c r="L139" i="3"/>
  <c r="L140" i="3"/>
  <c r="L141" i="3"/>
  <c r="L142" i="3"/>
  <c r="L143" i="3"/>
  <c r="L144" i="3"/>
  <c r="L145" i="3"/>
  <c r="L146" i="3"/>
  <c r="L147" i="3"/>
  <c r="L208" i="3"/>
  <c r="L148" i="3"/>
  <c r="L244" i="3"/>
  <c r="L149" i="3"/>
  <c r="L170" i="3"/>
  <c r="L150" i="3"/>
  <c r="L151" i="3"/>
  <c r="L152" i="3"/>
  <c r="L153" i="3"/>
  <c r="L154" i="3"/>
  <c r="L155" i="3"/>
  <c r="L156" i="3"/>
  <c r="P221" i="3"/>
  <c r="P172" i="3"/>
  <c r="P266" i="3"/>
  <c r="P238" i="3"/>
  <c r="P181" i="3"/>
  <c r="P261" i="3"/>
  <c r="P284" i="3"/>
  <c r="P246" i="3"/>
  <c r="R246" i="3" s="1"/>
  <c r="P161" i="3"/>
  <c r="P2" i="3"/>
  <c r="P3" i="3"/>
  <c r="P4" i="3"/>
  <c r="P5" i="3"/>
  <c r="P6" i="3"/>
  <c r="P7" i="3"/>
  <c r="P176" i="3"/>
  <c r="P242" i="3"/>
  <c r="P8" i="3"/>
  <c r="P174" i="3"/>
  <c r="P9" i="3"/>
  <c r="P10" i="3"/>
  <c r="P11" i="3"/>
  <c r="P245" i="3"/>
  <c r="P12" i="3"/>
  <c r="P232" i="3"/>
  <c r="P290" i="3"/>
  <c r="P228" i="3"/>
  <c r="P187" i="3"/>
  <c r="P13" i="3"/>
  <c r="P14" i="3"/>
  <c r="P157" i="3"/>
  <c r="P195" i="3"/>
  <c r="P252" i="3"/>
  <c r="P15" i="3"/>
  <c r="P16" i="3"/>
  <c r="P17" i="3"/>
  <c r="P240" i="3"/>
  <c r="P18" i="3"/>
  <c r="P222" i="3"/>
  <c r="P171" i="3"/>
  <c r="P19" i="3"/>
  <c r="P20" i="3"/>
  <c r="P215" i="3"/>
  <c r="P21" i="3"/>
  <c r="P22" i="3"/>
  <c r="R22" i="3" s="1"/>
  <c r="P23" i="3"/>
  <c r="P24" i="3"/>
  <c r="P25" i="3"/>
  <c r="P292" i="3"/>
  <c r="P26" i="3"/>
  <c r="P27" i="3"/>
  <c r="P28" i="3"/>
  <c r="P29" i="3"/>
  <c r="P216" i="3"/>
  <c r="P256" i="3"/>
  <c r="P197" i="3"/>
  <c r="P237" i="3"/>
  <c r="P250" i="3"/>
  <c r="P30" i="3"/>
  <c r="P31" i="3"/>
  <c r="P259" i="3"/>
  <c r="P32" i="3"/>
  <c r="P247" i="3"/>
  <c r="P196" i="3"/>
  <c r="P226" i="3"/>
  <c r="P258" i="3"/>
  <c r="P33" i="3"/>
  <c r="P211" i="3"/>
  <c r="P225" i="3"/>
  <c r="P34" i="3"/>
  <c r="P35" i="3"/>
  <c r="P36" i="3"/>
  <c r="P37" i="3"/>
  <c r="P285" i="3"/>
  <c r="P295" i="3"/>
  <c r="P287" i="3"/>
  <c r="P251" i="3"/>
  <c r="P294" i="3"/>
  <c r="P38" i="3"/>
  <c r="P159" i="3"/>
  <c r="P39" i="3"/>
  <c r="P40" i="3"/>
  <c r="P293" i="3"/>
  <c r="R293" i="3" s="1"/>
  <c r="P41" i="3"/>
  <c r="P277" i="3"/>
  <c r="P276" i="3"/>
  <c r="P288" i="3"/>
  <c r="P42" i="3"/>
  <c r="P271" i="3"/>
  <c r="P248" i="3"/>
  <c r="P213" i="3"/>
  <c r="P43" i="3"/>
  <c r="P44" i="3"/>
  <c r="P218" i="3"/>
  <c r="P45" i="3"/>
  <c r="P296" i="3"/>
  <c r="P46" i="3"/>
  <c r="P47" i="3"/>
  <c r="P48" i="3"/>
  <c r="P49" i="3"/>
  <c r="P289" i="3"/>
  <c r="P50" i="3"/>
  <c r="P51" i="3"/>
  <c r="P52" i="3"/>
  <c r="P53" i="3"/>
  <c r="P273" i="3"/>
  <c r="P263" i="3"/>
  <c r="P281" i="3"/>
  <c r="P270" i="3"/>
  <c r="P54" i="3"/>
  <c r="P55" i="3"/>
  <c r="P56" i="3"/>
  <c r="P57" i="3"/>
  <c r="P210" i="3"/>
  <c r="P58" i="3"/>
  <c r="P282" i="3"/>
  <c r="P59" i="3"/>
  <c r="P243" i="3"/>
  <c r="P279" i="3"/>
  <c r="P209" i="3"/>
  <c r="P212" i="3"/>
  <c r="P60" i="3"/>
  <c r="P61" i="3"/>
  <c r="P62" i="3"/>
  <c r="P169" i="3"/>
  <c r="P178" i="3"/>
  <c r="P63" i="3"/>
  <c r="P274" i="3"/>
  <c r="P260" i="3"/>
  <c r="P64" i="3"/>
  <c r="P65" i="3"/>
  <c r="P66" i="3"/>
  <c r="P165" i="3"/>
  <c r="P162" i="3"/>
  <c r="P67" i="3"/>
  <c r="P175" i="3"/>
  <c r="P186" i="3"/>
  <c r="P68" i="3"/>
  <c r="P69" i="3"/>
  <c r="P185" i="3"/>
  <c r="P278" i="3"/>
  <c r="P70" i="3"/>
  <c r="P269" i="3"/>
  <c r="P180" i="3"/>
  <c r="P71" i="3"/>
  <c r="P234" i="3"/>
  <c r="P219" i="3"/>
  <c r="P72" i="3"/>
  <c r="P73" i="3"/>
  <c r="R73" i="3" s="1"/>
  <c r="P265" i="3"/>
  <c r="P74" i="3"/>
  <c r="P75" i="3"/>
  <c r="P207" i="3"/>
  <c r="P235" i="3"/>
  <c r="P76" i="3"/>
  <c r="P77" i="3"/>
  <c r="P78" i="3"/>
  <c r="R78" i="3" s="1"/>
  <c r="P79" i="3"/>
  <c r="P80" i="3"/>
  <c r="P81" i="3"/>
  <c r="P163" i="3"/>
  <c r="P82" i="3"/>
  <c r="P83" i="3"/>
  <c r="P84" i="3"/>
  <c r="P236" i="3"/>
  <c r="P166" i="3"/>
  <c r="P85" i="3"/>
  <c r="P239" i="3"/>
  <c r="P86" i="3"/>
  <c r="P188" i="3"/>
  <c r="P87" i="3"/>
  <c r="P199" i="3"/>
  <c r="P160" i="3"/>
  <c r="P168" i="3"/>
  <c r="P88" i="3"/>
  <c r="P89" i="3"/>
  <c r="P90" i="3"/>
  <c r="P91" i="3"/>
  <c r="P254" i="3"/>
  <c r="R254" i="3" s="1"/>
  <c r="P183" i="3"/>
  <c r="P267" i="3"/>
  <c r="P204" i="3"/>
  <c r="P92" i="3"/>
  <c r="P93" i="3"/>
  <c r="P94" i="3"/>
  <c r="P95" i="3"/>
  <c r="P202" i="3"/>
  <c r="P96" i="3"/>
  <c r="P280" i="3"/>
  <c r="P97" i="3"/>
  <c r="P220" i="3"/>
  <c r="P253" i="3"/>
  <c r="R253" i="3" s="1"/>
  <c r="P233" i="3"/>
  <c r="P158" i="3"/>
  <c r="P98" i="3"/>
  <c r="P99" i="3"/>
  <c r="P100" i="3"/>
  <c r="P101" i="3"/>
  <c r="P102" i="3"/>
  <c r="P255" i="3"/>
  <c r="P201" i="3"/>
  <c r="P283" i="3"/>
  <c r="P262" i="3"/>
  <c r="R262" i="3" s="1"/>
  <c r="P230" i="3"/>
  <c r="P103" i="3"/>
  <c r="P104" i="3"/>
  <c r="P200" i="3"/>
  <c r="P105" i="3"/>
  <c r="P106" i="3"/>
  <c r="P107" i="3"/>
  <c r="P241" i="3"/>
  <c r="R241" i="3" s="1"/>
  <c r="P108" i="3"/>
  <c r="P109" i="3"/>
  <c r="P224" i="3"/>
  <c r="P110" i="3"/>
  <c r="P111" i="3"/>
  <c r="P112" i="3"/>
  <c r="P113" i="3"/>
  <c r="P164" i="3"/>
  <c r="P173" i="3"/>
  <c r="P114" i="3"/>
  <c r="P115" i="3"/>
  <c r="P116" i="3"/>
  <c r="P117" i="3"/>
  <c r="P227" i="3"/>
  <c r="P205" i="3"/>
  <c r="P291" i="3"/>
  <c r="P275" i="3"/>
  <c r="P118" i="3"/>
  <c r="R118" i="3" s="1"/>
  <c r="P191" i="3"/>
  <c r="P272" i="3"/>
  <c r="P214" i="3"/>
  <c r="R214" i="3" s="1"/>
  <c r="P119" i="3"/>
  <c r="P120" i="3"/>
  <c r="P229" i="3"/>
  <c r="R229" i="3" s="1"/>
  <c r="P192" i="3"/>
  <c r="P167" i="3"/>
  <c r="P121" i="3"/>
  <c r="P122" i="3"/>
  <c r="P123" i="3"/>
  <c r="P189" i="3"/>
  <c r="P124" i="3"/>
  <c r="P198" i="3"/>
  <c r="P217" i="3"/>
  <c r="P190" i="3"/>
  <c r="P268" i="3"/>
  <c r="P264" i="3"/>
  <c r="P125" i="3"/>
  <c r="P126" i="3"/>
  <c r="P127" i="3"/>
  <c r="P128" i="3"/>
  <c r="P129" i="3"/>
  <c r="P249" i="3"/>
  <c r="P231" i="3"/>
  <c r="P194" i="3"/>
  <c r="P177" i="3"/>
  <c r="P203" i="3"/>
  <c r="P206" i="3"/>
  <c r="P193" i="3"/>
  <c r="P184" i="3"/>
  <c r="P179" i="3"/>
  <c r="P223" i="3"/>
  <c r="P130" i="3"/>
  <c r="P131" i="3"/>
  <c r="P132" i="3"/>
  <c r="P133" i="3"/>
  <c r="P286" i="3"/>
  <c r="R286" i="3" s="1"/>
  <c r="P182" i="3"/>
  <c r="P134" i="3"/>
  <c r="R134" i="3" s="1"/>
  <c r="P135" i="3"/>
  <c r="P257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208" i="3"/>
  <c r="P148" i="3"/>
  <c r="P244" i="3"/>
  <c r="P149" i="3"/>
  <c r="P170" i="3"/>
  <c r="P150" i="3"/>
  <c r="P151" i="3"/>
  <c r="P152" i="3"/>
  <c r="P153" i="3"/>
  <c r="P154" i="3"/>
  <c r="P155" i="3"/>
  <c r="P156" i="3"/>
  <c r="Q221" i="3"/>
  <c r="Q172" i="3"/>
  <c r="Q266" i="3"/>
  <c r="Q238" i="3"/>
  <c r="R238" i="3" s="1"/>
  <c r="Q181" i="3"/>
  <c r="Q261" i="3"/>
  <c r="Q284" i="3"/>
  <c r="Q246" i="3"/>
  <c r="Q161" i="3"/>
  <c r="Q2" i="3"/>
  <c r="Q3" i="3"/>
  <c r="Q4" i="3"/>
  <c r="Q5" i="3"/>
  <c r="Q6" i="3"/>
  <c r="Q7" i="3"/>
  <c r="Q176" i="3"/>
  <c r="Q242" i="3"/>
  <c r="Q8" i="3"/>
  <c r="Q174" i="3"/>
  <c r="Q9" i="3"/>
  <c r="R9" i="3" s="1"/>
  <c r="Q10" i="3"/>
  <c r="Q11" i="3"/>
  <c r="Q245" i="3"/>
  <c r="Q12" i="3"/>
  <c r="Q232" i="3"/>
  <c r="Q290" i="3"/>
  <c r="Q228" i="3"/>
  <c r="Q187" i="3"/>
  <c r="Q13" i="3"/>
  <c r="Q14" i="3"/>
  <c r="Q157" i="3"/>
  <c r="Q195" i="3"/>
  <c r="Q252" i="3"/>
  <c r="Q15" i="3"/>
  <c r="Q16" i="3"/>
  <c r="Q17" i="3"/>
  <c r="R17" i="3" s="1"/>
  <c r="Q240" i="3"/>
  <c r="Q18" i="3"/>
  <c r="Q222" i="3"/>
  <c r="Q171" i="3"/>
  <c r="Q19" i="3"/>
  <c r="Q20" i="3"/>
  <c r="Q215" i="3"/>
  <c r="Q21" i="3"/>
  <c r="R21" i="3" s="1"/>
  <c r="Q22" i="3"/>
  <c r="Q23" i="3"/>
  <c r="Q24" i="3"/>
  <c r="Q25" i="3"/>
  <c r="Q292" i="3"/>
  <c r="Q26" i="3"/>
  <c r="Q27" i="3"/>
  <c r="Q28" i="3"/>
  <c r="Q29" i="3"/>
  <c r="Q216" i="3"/>
  <c r="Q256" i="3"/>
  <c r="Q197" i="3"/>
  <c r="Q237" i="3"/>
  <c r="Q250" i="3"/>
  <c r="Q30" i="3"/>
  <c r="Q31" i="3"/>
  <c r="Q259" i="3"/>
  <c r="Q32" i="3"/>
  <c r="Q247" i="3"/>
  <c r="Q196" i="3"/>
  <c r="Q226" i="3"/>
  <c r="Q258" i="3"/>
  <c r="Q33" i="3"/>
  <c r="Q211" i="3"/>
  <c r="Q225" i="3"/>
  <c r="Q34" i="3"/>
  <c r="Q35" i="3"/>
  <c r="Q36" i="3"/>
  <c r="Q37" i="3"/>
  <c r="Q285" i="3"/>
  <c r="Q295" i="3"/>
  <c r="Q287" i="3"/>
  <c r="Q251" i="3"/>
  <c r="Q294" i="3"/>
  <c r="Q38" i="3"/>
  <c r="Q159" i="3"/>
  <c r="Q39" i="3"/>
  <c r="Q40" i="3"/>
  <c r="Q293" i="3"/>
  <c r="Q41" i="3"/>
  <c r="R41" i="3" s="1"/>
  <c r="Q277" i="3"/>
  <c r="Q276" i="3"/>
  <c r="Q288" i="3"/>
  <c r="Q42" i="3"/>
  <c r="Q271" i="3"/>
  <c r="Q248" i="3"/>
  <c r="Q213" i="3"/>
  <c r="Q43" i="3"/>
  <c r="Q44" i="3"/>
  <c r="Q218" i="3"/>
  <c r="Q45" i="3"/>
  <c r="Q296" i="3"/>
  <c r="Q46" i="3"/>
  <c r="R46" i="3" s="1"/>
  <c r="Q47" i="3"/>
  <c r="Q48" i="3"/>
  <c r="Q49" i="3"/>
  <c r="R49" i="3" s="1"/>
  <c r="Q289" i="3"/>
  <c r="Q50" i="3"/>
  <c r="Q51" i="3"/>
  <c r="Q52" i="3"/>
  <c r="Q53" i="3"/>
  <c r="Q273" i="3"/>
  <c r="Q263" i="3"/>
  <c r="Q281" i="3"/>
  <c r="R281" i="3" s="1"/>
  <c r="Q270" i="3"/>
  <c r="Q54" i="3"/>
  <c r="Q55" i="3"/>
  <c r="Q56" i="3"/>
  <c r="Q57" i="3"/>
  <c r="Q210" i="3"/>
  <c r="Q58" i="3"/>
  <c r="Q282" i="3"/>
  <c r="Q59" i="3"/>
  <c r="Q243" i="3"/>
  <c r="Q279" i="3"/>
  <c r="Q209" i="3"/>
  <c r="Q212" i="3"/>
  <c r="Q60" i="3"/>
  <c r="Q61" i="3"/>
  <c r="Q62" i="3"/>
  <c r="R62" i="3" s="1"/>
  <c r="Q169" i="3"/>
  <c r="Q178" i="3"/>
  <c r="Q63" i="3"/>
  <c r="Q274" i="3"/>
  <c r="Q260" i="3"/>
  <c r="Q64" i="3"/>
  <c r="Q65" i="3"/>
  <c r="Q66" i="3"/>
  <c r="Q165" i="3"/>
  <c r="Q162" i="3"/>
  <c r="Q67" i="3"/>
  <c r="Q175" i="3"/>
  <c r="Q186" i="3"/>
  <c r="Q68" i="3"/>
  <c r="Q69" i="3"/>
  <c r="Q185" i="3"/>
  <c r="Q278" i="3"/>
  <c r="Q70" i="3"/>
  <c r="Q269" i="3"/>
  <c r="Q180" i="3"/>
  <c r="Q71" i="3"/>
  <c r="Q234" i="3"/>
  <c r="Q219" i="3"/>
  <c r="Q72" i="3"/>
  <c r="Q73" i="3"/>
  <c r="Q265" i="3"/>
  <c r="Q74" i="3"/>
  <c r="Q75" i="3"/>
  <c r="Q207" i="3"/>
  <c r="Q235" i="3"/>
  <c r="Q76" i="3"/>
  <c r="Q77" i="3"/>
  <c r="Q78" i="3"/>
  <c r="Q79" i="3"/>
  <c r="Q80" i="3"/>
  <c r="Q81" i="3"/>
  <c r="Q163" i="3"/>
  <c r="R163" i="3" s="1"/>
  <c r="Q82" i="3"/>
  <c r="Q83" i="3"/>
  <c r="Q84" i="3"/>
  <c r="Q236" i="3"/>
  <c r="Q166" i="3"/>
  <c r="Q85" i="3"/>
  <c r="Q239" i="3"/>
  <c r="Q86" i="3"/>
  <c r="R86" i="3" s="1"/>
  <c r="Q188" i="3"/>
  <c r="Q87" i="3"/>
  <c r="Q199" i="3"/>
  <c r="Q160" i="3"/>
  <c r="Q168" i="3"/>
  <c r="Q88" i="3"/>
  <c r="Q89" i="3"/>
  <c r="Q90" i="3"/>
  <c r="Q91" i="3"/>
  <c r="Q254" i="3"/>
  <c r="Q183" i="3"/>
  <c r="Q267" i="3"/>
  <c r="Q204" i="3"/>
  <c r="Q92" i="3"/>
  <c r="Q93" i="3"/>
  <c r="Q94" i="3"/>
  <c r="R94" i="3" s="1"/>
  <c r="Q95" i="3"/>
  <c r="Q202" i="3"/>
  <c r="Q96" i="3"/>
  <c r="Q280" i="3"/>
  <c r="Q97" i="3"/>
  <c r="Q220" i="3"/>
  <c r="Q253" i="3"/>
  <c r="Q233" i="3"/>
  <c r="Q158" i="3"/>
  <c r="Q98" i="3"/>
  <c r="Q99" i="3"/>
  <c r="Q100" i="3"/>
  <c r="Q101" i="3"/>
  <c r="Q102" i="3"/>
  <c r="Q255" i="3"/>
  <c r="Q201" i="3"/>
  <c r="Q283" i="3"/>
  <c r="Q262" i="3"/>
  <c r="Q230" i="3"/>
  <c r="R230" i="3" s="1"/>
  <c r="Q103" i="3"/>
  <c r="Q104" i="3"/>
  <c r="Q200" i="3"/>
  <c r="Q105" i="3"/>
  <c r="Q106" i="3"/>
  <c r="Q107" i="3"/>
  <c r="Q241" i="3"/>
  <c r="Q108" i="3"/>
  <c r="Q109" i="3"/>
  <c r="Q224" i="3"/>
  <c r="Q110" i="3"/>
  <c r="Q111" i="3"/>
  <c r="Q112" i="3"/>
  <c r="Q113" i="3"/>
  <c r="Q164" i="3"/>
  <c r="Q173" i="3"/>
  <c r="Q114" i="3"/>
  <c r="Q115" i="3"/>
  <c r="Q116" i="3"/>
  <c r="Q117" i="3"/>
  <c r="Q227" i="3"/>
  <c r="Q205" i="3"/>
  <c r="Q291" i="3"/>
  <c r="Q275" i="3"/>
  <c r="Q118" i="3"/>
  <c r="Q191" i="3"/>
  <c r="Q272" i="3"/>
  <c r="Q214" i="3"/>
  <c r="Q119" i="3"/>
  <c r="Q120" i="3"/>
  <c r="Q229" i="3"/>
  <c r="Q192" i="3"/>
  <c r="Q167" i="3"/>
  <c r="Q121" i="3"/>
  <c r="Q122" i="3"/>
  <c r="Q123" i="3"/>
  <c r="Q189" i="3"/>
  <c r="Q124" i="3"/>
  <c r="Q198" i="3"/>
  <c r="Q217" i="3"/>
  <c r="R217" i="3" s="1"/>
  <c r="Q190" i="3"/>
  <c r="Q268" i="3"/>
  <c r="Q264" i="3"/>
  <c r="Q125" i="3"/>
  <c r="Q126" i="3"/>
  <c r="Q127" i="3"/>
  <c r="Q128" i="3"/>
  <c r="Q129" i="3"/>
  <c r="R129" i="3" s="1"/>
  <c r="Q249" i="3"/>
  <c r="Q231" i="3"/>
  <c r="Q194" i="3"/>
  <c r="Q177" i="3"/>
  <c r="Q203" i="3"/>
  <c r="Q206" i="3"/>
  <c r="Q193" i="3"/>
  <c r="Q184" i="3"/>
  <c r="Q179" i="3"/>
  <c r="Q223" i="3"/>
  <c r="Q130" i="3"/>
  <c r="Q131" i="3"/>
  <c r="Q132" i="3"/>
  <c r="Q133" i="3"/>
  <c r="Q286" i="3"/>
  <c r="Q182" i="3"/>
  <c r="Q134" i="3"/>
  <c r="Q135" i="3"/>
  <c r="Q257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208" i="3"/>
  <c r="Q148" i="3"/>
  <c r="Q244" i="3"/>
  <c r="Q149" i="3"/>
  <c r="Q170" i="3"/>
  <c r="Q150" i="3"/>
  <c r="Q151" i="3"/>
  <c r="Q152" i="3"/>
  <c r="Q153" i="3"/>
  <c r="R153" i="3" s="1"/>
  <c r="Q154" i="3"/>
  <c r="Q155" i="3"/>
  <c r="Q156" i="3"/>
  <c r="S221" i="3"/>
  <c r="S172" i="3"/>
  <c r="S266" i="3"/>
  <c r="S238" i="3"/>
  <c r="S181" i="3"/>
  <c r="S261" i="3"/>
  <c r="S284" i="3"/>
  <c r="S246" i="3"/>
  <c r="S161" i="3"/>
  <c r="S2" i="3"/>
  <c r="S3" i="3"/>
  <c r="S4" i="3"/>
  <c r="S5" i="3"/>
  <c r="S6" i="3"/>
  <c r="S7" i="3"/>
  <c r="S176" i="3"/>
  <c r="S242" i="3"/>
  <c r="S8" i="3"/>
  <c r="S174" i="3"/>
  <c r="S9" i="3"/>
  <c r="S10" i="3"/>
  <c r="S11" i="3"/>
  <c r="S245" i="3"/>
  <c r="S12" i="3"/>
  <c r="S232" i="3"/>
  <c r="S290" i="3"/>
  <c r="S228" i="3"/>
  <c r="S187" i="3"/>
  <c r="S13" i="3"/>
  <c r="S14" i="3"/>
  <c r="S157" i="3"/>
  <c r="S195" i="3"/>
  <c r="S252" i="3"/>
  <c r="S15" i="3"/>
  <c r="S16" i="3"/>
  <c r="S17" i="3"/>
  <c r="S240" i="3"/>
  <c r="S18" i="3"/>
  <c r="S222" i="3"/>
  <c r="S171" i="3"/>
  <c r="S19" i="3"/>
  <c r="S20" i="3"/>
  <c r="S215" i="3"/>
  <c r="S21" i="3"/>
  <c r="S22" i="3"/>
  <c r="S23" i="3"/>
  <c r="S24" i="3"/>
  <c r="S25" i="3"/>
  <c r="S292" i="3"/>
  <c r="S26" i="3"/>
  <c r="S27" i="3"/>
  <c r="S28" i="3"/>
  <c r="S29" i="3"/>
  <c r="S216" i="3"/>
  <c r="S256" i="3"/>
  <c r="S197" i="3"/>
  <c r="S237" i="3"/>
  <c r="S250" i="3"/>
  <c r="S30" i="3"/>
  <c r="S31" i="3"/>
  <c r="S259" i="3"/>
  <c r="S32" i="3"/>
  <c r="S247" i="3"/>
  <c r="S196" i="3"/>
  <c r="S226" i="3"/>
  <c r="S258" i="3"/>
  <c r="S33" i="3"/>
  <c r="S211" i="3"/>
  <c r="S225" i="3"/>
  <c r="S34" i="3"/>
  <c r="S35" i="3"/>
  <c r="S36" i="3"/>
  <c r="S37" i="3"/>
  <c r="S285" i="3"/>
  <c r="S295" i="3"/>
  <c r="S287" i="3"/>
  <c r="S251" i="3"/>
  <c r="S294" i="3"/>
  <c r="S38" i="3"/>
  <c r="S159" i="3"/>
  <c r="S39" i="3"/>
  <c r="S40" i="3"/>
  <c r="S293" i="3"/>
  <c r="S41" i="3"/>
  <c r="S277" i="3"/>
  <c r="S276" i="3"/>
  <c r="S288" i="3"/>
  <c r="S42" i="3"/>
  <c r="S271" i="3"/>
  <c r="S248" i="3"/>
  <c r="S213" i="3"/>
  <c r="S43" i="3"/>
  <c r="S44" i="3"/>
  <c r="S218" i="3"/>
  <c r="S45" i="3"/>
  <c r="S296" i="3"/>
  <c r="S46" i="3"/>
  <c r="S47" i="3"/>
  <c r="S48" i="3"/>
  <c r="S49" i="3"/>
  <c r="S289" i="3"/>
  <c r="S50" i="3"/>
  <c r="S51" i="3"/>
  <c r="S52" i="3"/>
  <c r="S53" i="3"/>
  <c r="S273" i="3"/>
  <c r="S263" i="3"/>
  <c r="S281" i="3"/>
  <c r="S270" i="3"/>
  <c r="S54" i="3"/>
  <c r="S55" i="3"/>
  <c r="S56" i="3"/>
  <c r="S57" i="3"/>
  <c r="S210" i="3"/>
  <c r="S58" i="3"/>
  <c r="S282" i="3"/>
  <c r="S59" i="3"/>
  <c r="S243" i="3"/>
  <c r="S279" i="3"/>
  <c r="S209" i="3"/>
  <c r="S212" i="3"/>
  <c r="S60" i="3"/>
  <c r="S61" i="3"/>
  <c r="S62" i="3"/>
  <c r="S169" i="3"/>
  <c r="S178" i="3"/>
  <c r="S63" i="3"/>
  <c r="S274" i="3"/>
  <c r="S260" i="3"/>
  <c r="S64" i="3"/>
  <c r="S65" i="3"/>
  <c r="S66" i="3"/>
  <c r="S165" i="3"/>
  <c r="S162" i="3"/>
  <c r="S67" i="3"/>
  <c r="S175" i="3"/>
  <c r="S186" i="3"/>
  <c r="S68" i="3"/>
  <c r="S69" i="3"/>
  <c r="S185" i="3"/>
  <c r="S278" i="3"/>
  <c r="S70" i="3"/>
  <c r="S269" i="3"/>
  <c r="S180" i="3"/>
  <c r="S71" i="3"/>
  <c r="S234" i="3"/>
  <c r="S219" i="3"/>
  <c r="S72" i="3"/>
  <c r="S73" i="3"/>
  <c r="S265" i="3"/>
  <c r="S74" i="3"/>
  <c r="S75" i="3"/>
  <c r="S207" i="3"/>
  <c r="S235" i="3"/>
  <c r="S76" i="3"/>
  <c r="S77" i="3"/>
  <c r="S78" i="3"/>
  <c r="S79" i="3"/>
  <c r="S80" i="3"/>
  <c r="S81" i="3"/>
  <c r="S163" i="3"/>
  <c r="S82" i="3"/>
  <c r="S83" i="3"/>
  <c r="S84" i="3"/>
  <c r="S236" i="3"/>
  <c r="S166" i="3"/>
  <c r="S85" i="3"/>
  <c r="S239" i="3"/>
  <c r="S86" i="3"/>
  <c r="S188" i="3"/>
  <c r="S87" i="3"/>
  <c r="S199" i="3"/>
  <c r="S160" i="3"/>
  <c r="S168" i="3"/>
  <c r="S88" i="3"/>
  <c r="S89" i="3"/>
  <c r="S90" i="3"/>
  <c r="S91" i="3"/>
  <c r="S254" i="3"/>
  <c r="S183" i="3"/>
  <c r="S267" i="3"/>
  <c r="S204" i="3"/>
  <c r="S92" i="3"/>
  <c r="S93" i="3"/>
  <c r="S94" i="3"/>
  <c r="S95" i="3"/>
  <c r="S202" i="3"/>
  <c r="S96" i="3"/>
  <c r="S280" i="3"/>
  <c r="S97" i="3"/>
  <c r="S220" i="3"/>
  <c r="S253" i="3"/>
  <c r="S233" i="3"/>
  <c r="S158" i="3"/>
  <c r="S98" i="3"/>
  <c r="S99" i="3"/>
  <c r="S100" i="3"/>
  <c r="S101" i="3"/>
  <c r="S102" i="3"/>
  <c r="S255" i="3"/>
  <c r="S201" i="3"/>
  <c r="S283" i="3"/>
  <c r="S262" i="3"/>
  <c r="S230" i="3"/>
  <c r="S103" i="3"/>
  <c r="S104" i="3"/>
  <c r="S200" i="3"/>
  <c r="S105" i="3"/>
  <c r="S106" i="3"/>
  <c r="S107" i="3"/>
  <c r="S241" i="3"/>
  <c r="S108" i="3"/>
  <c r="S109" i="3"/>
  <c r="S224" i="3"/>
  <c r="S110" i="3"/>
  <c r="S111" i="3"/>
  <c r="S112" i="3"/>
  <c r="S113" i="3"/>
  <c r="S164" i="3"/>
  <c r="S173" i="3"/>
  <c r="S114" i="3"/>
  <c r="S115" i="3"/>
  <c r="S116" i="3"/>
  <c r="S117" i="3"/>
  <c r="S227" i="3"/>
  <c r="S205" i="3"/>
  <c r="S291" i="3"/>
  <c r="S275" i="3"/>
  <c r="S118" i="3"/>
  <c r="S191" i="3"/>
  <c r="S272" i="3"/>
  <c r="S214" i="3"/>
  <c r="S119" i="3"/>
  <c r="S120" i="3"/>
  <c r="S229" i="3"/>
  <c r="S192" i="3"/>
  <c r="S167" i="3"/>
  <c r="S121" i="3"/>
  <c r="S122" i="3"/>
  <c r="S123" i="3"/>
  <c r="S189" i="3"/>
  <c r="S124" i="3"/>
  <c r="S198" i="3"/>
  <c r="S217" i="3"/>
  <c r="S190" i="3"/>
  <c r="S268" i="3"/>
  <c r="S264" i="3"/>
  <c r="S125" i="3"/>
  <c r="S126" i="3"/>
  <c r="S127" i="3"/>
  <c r="S128" i="3"/>
  <c r="S129" i="3"/>
  <c r="S249" i="3"/>
  <c r="S231" i="3"/>
  <c r="S194" i="3"/>
  <c r="S177" i="3"/>
  <c r="S203" i="3"/>
  <c r="S206" i="3"/>
  <c r="S193" i="3"/>
  <c r="S184" i="3"/>
  <c r="S179" i="3"/>
  <c r="S223" i="3"/>
  <c r="S130" i="3"/>
  <c r="S131" i="3"/>
  <c r="S132" i="3"/>
  <c r="S133" i="3"/>
  <c r="S286" i="3"/>
  <c r="S182" i="3"/>
  <c r="S134" i="3"/>
  <c r="S135" i="3"/>
  <c r="S257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208" i="3"/>
  <c r="S148" i="3"/>
  <c r="S244" i="3"/>
  <c r="S149" i="3"/>
  <c r="S170" i="3"/>
  <c r="S150" i="3"/>
  <c r="S151" i="3"/>
  <c r="S152" i="3"/>
  <c r="S153" i="3"/>
  <c r="S154" i="3"/>
  <c r="S155" i="3"/>
  <c r="S156" i="3"/>
  <c r="T221" i="3"/>
  <c r="T172" i="3"/>
  <c r="T266" i="3"/>
  <c r="T238" i="3"/>
  <c r="T181" i="3"/>
  <c r="T261" i="3"/>
  <c r="T284" i="3"/>
  <c r="T246" i="3"/>
  <c r="T161" i="3"/>
  <c r="T2" i="3"/>
  <c r="T3" i="3"/>
  <c r="T4" i="3"/>
  <c r="T5" i="3"/>
  <c r="T6" i="3"/>
  <c r="T7" i="3"/>
  <c r="T176" i="3"/>
  <c r="T242" i="3"/>
  <c r="T8" i="3"/>
  <c r="T174" i="3"/>
  <c r="T9" i="3"/>
  <c r="T10" i="3"/>
  <c r="T11" i="3"/>
  <c r="T245" i="3"/>
  <c r="T12" i="3"/>
  <c r="T232" i="3"/>
  <c r="T290" i="3"/>
  <c r="T228" i="3"/>
  <c r="T187" i="3"/>
  <c r="T13" i="3"/>
  <c r="T14" i="3"/>
  <c r="T157" i="3"/>
  <c r="T195" i="3"/>
  <c r="T252" i="3"/>
  <c r="T15" i="3"/>
  <c r="T16" i="3"/>
  <c r="T17" i="3"/>
  <c r="T240" i="3"/>
  <c r="T18" i="3"/>
  <c r="T222" i="3"/>
  <c r="T171" i="3"/>
  <c r="T19" i="3"/>
  <c r="T20" i="3"/>
  <c r="T215" i="3"/>
  <c r="T21" i="3"/>
  <c r="T22" i="3"/>
  <c r="T23" i="3"/>
  <c r="T24" i="3"/>
  <c r="T25" i="3"/>
  <c r="T292" i="3"/>
  <c r="T26" i="3"/>
  <c r="T27" i="3"/>
  <c r="T28" i="3"/>
  <c r="T29" i="3"/>
  <c r="T216" i="3"/>
  <c r="T256" i="3"/>
  <c r="T197" i="3"/>
  <c r="T237" i="3"/>
  <c r="T250" i="3"/>
  <c r="T30" i="3"/>
  <c r="T31" i="3"/>
  <c r="T259" i="3"/>
  <c r="T32" i="3"/>
  <c r="T247" i="3"/>
  <c r="T196" i="3"/>
  <c r="T226" i="3"/>
  <c r="T258" i="3"/>
  <c r="T33" i="3"/>
  <c r="T211" i="3"/>
  <c r="T225" i="3"/>
  <c r="T34" i="3"/>
  <c r="T35" i="3"/>
  <c r="T36" i="3"/>
  <c r="T37" i="3"/>
  <c r="T285" i="3"/>
  <c r="T295" i="3"/>
  <c r="T287" i="3"/>
  <c r="T251" i="3"/>
  <c r="T294" i="3"/>
  <c r="T38" i="3"/>
  <c r="T159" i="3"/>
  <c r="T39" i="3"/>
  <c r="T40" i="3"/>
  <c r="T293" i="3"/>
  <c r="T41" i="3"/>
  <c r="T277" i="3"/>
  <c r="T276" i="3"/>
  <c r="T288" i="3"/>
  <c r="T42" i="3"/>
  <c r="T271" i="3"/>
  <c r="T248" i="3"/>
  <c r="T213" i="3"/>
  <c r="T43" i="3"/>
  <c r="T44" i="3"/>
  <c r="T218" i="3"/>
  <c r="T45" i="3"/>
  <c r="T296" i="3"/>
  <c r="T46" i="3"/>
  <c r="T47" i="3"/>
  <c r="T48" i="3"/>
  <c r="T49" i="3"/>
  <c r="T289" i="3"/>
  <c r="T50" i="3"/>
  <c r="T51" i="3"/>
  <c r="T52" i="3"/>
  <c r="T53" i="3"/>
  <c r="T273" i="3"/>
  <c r="T263" i="3"/>
  <c r="T281" i="3"/>
  <c r="T270" i="3"/>
  <c r="T54" i="3"/>
  <c r="T55" i="3"/>
  <c r="T56" i="3"/>
  <c r="T57" i="3"/>
  <c r="T210" i="3"/>
  <c r="T58" i="3"/>
  <c r="T282" i="3"/>
  <c r="T59" i="3"/>
  <c r="T243" i="3"/>
  <c r="T279" i="3"/>
  <c r="T209" i="3"/>
  <c r="T212" i="3"/>
  <c r="T60" i="3"/>
  <c r="T61" i="3"/>
  <c r="T62" i="3"/>
  <c r="T169" i="3"/>
  <c r="T178" i="3"/>
  <c r="T63" i="3"/>
  <c r="T274" i="3"/>
  <c r="T260" i="3"/>
  <c r="T64" i="3"/>
  <c r="T65" i="3"/>
  <c r="T66" i="3"/>
  <c r="T165" i="3"/>
  <c r="T162" i="3"/>
  <c r="T67" i="3"/>
  <c r="T175" i="3"/>
  <c r="T186" i="3"/>
  <c r="T68" i="3"/>
  <c r="T69" i="3"/>
  <c r="T185" i="3"/>
  <c r="T278" i="3"/>
  <c r="T70" i="3"/>
  <c r="T269" i="3"/>
  <c r="T180" i="3"/>
  <c r="T71" i="3"/>
  <c r="T234" i="3"/>
  <c r="T219" i="3"/>
  <c r="T72" i="3"/>
  <c r="T73" i="3"/>
  <c r="T265" i="3"/>
  <c r="T74" i="3"/>
  <c r="T75" i="3"/>
  <c r="T207" i="3"/>
  <c r="T235" i="3"/>
  <c r="T76" i="3"/>
  <c r="T77" i="3"/>
  <c r="T78" i="3"/>
  <c r="T79" i="3"/>
  <c r="T80" i="3"/>
  <c r="T81" i="3"/>
  <c r="T163" i="3"/>
  <c r="T82" i="3"/>
  <c r="T83" i="3"/>
  <c r="T84" i="3"/>
  <c r="T236" i="3"/>
  <c r="T166" i="3"/>
  <c r="T85" i="3"/>
  <c r="T239" i="3"/>
  <c r="T86" i="3"/>
  <c r="T188" i="3"/>
  <c r="T87" i="3"/>
  <c r="T199" i="3"/>
  <c r="T160" i="3"/>
  <c r="T168" i="3"/>
  <c r="T88" i="3"/>
  <c r="T89" i="3"/>
  <c r="T90" i="3"/>
  <c r="T91" i="3"/>
  <c r="T254" i="3"/>
  <c r="T183" i="3"/>
  <c r="T267" i="3"/>
  <c r="T204" i="3"/>
  <c r="T92" i="3"/>
  <c r="T93" i="3"/>
  <c r="T94" i="3"/>
  <c r="T95" i="3"/>
  <c r="T202" i="3"/>
  <c r="T96" i="3"/>
  <c r="T280" i="3"/>
  <c r="T97" i="3"/>
  <c r="T220" i="3"/>
  <c r="T253" i="3"/>
  <c r="T233" i="3"/>
  <c r="T158" i="3"/>
  <c r="T98" i="3"/>
  <c r="T99" i="3"/>
  <c r="T100" i="3"/>
  <c r="T101" i="3"/>
  <c r="T102" i="3"/>
  <c r="T255" i="3"/>
  <c r="T201" i="3"/>
  <c r="T283" i="3"/>
  <c r="T262" i="3"/>
  <c r="T230" i="3"/>
  <c r="T103" i="3"/>
  <c r="T104" i="3"/>
  <c r="T200" i="3"/>
  <c r="T105" i="3"/>
  <c r="T106" i="3"/>
  <c r="T107" i="3"/>
  <c r="T241" i="3"/>
  <c r="T108" i="3"/>
  <c r="T109" i="3"/>
  <c r="T224" i="3"/>
  <c r="T110" i="3"/>
  <c r="T111" i="3"/>
  <c r="T112" i="3"/>
  <c r="T113" i="3"/>
  <c r="T164" i="3"/>
  <c r="T173" i="3"/>
  <c r="T114" i="3"/>
  <c r="T115" i="3"/>
  <c r="T116" i="3"/>
  <c r="T117" i="3"/>
  <c r="T227" i="3"/>
  <c r="T205" i="3"/>
  <c r="T291" i="3"/>
  <c r="T275" i="3"/>
  <c r="T118" i="3"/>
  <c r="T191" i="3"/>
  <c r="T272" i="3"/>
  <c r="T214" i="3"/>
  <c r="T119" i="3"/>
  <c r="T120" i="3"/>
  <c r="T229" i="3"/>
  <c r="T192" i="3"/>
  <c r="T167" i="3"/>
  <c r="T121" i="3"/>
  <c r="T122" i="3"/>
  <c r="T123" i="3"/>
  <c r="T189" i="3"/>
  <c r="T124" i="3"/>
  <c r="T198" i="3"/>
  <c r="T217" i="3"/>
  <c r="T190" i="3"/>
  <c r="T268" i="3"/>
  <c r="T264" i="3"/>
  <c r="T125" i="3"/>
  <c r="T126" i="3"/>
  <c r="T127" i="3"/>
  <c r="T128" i="3"/>
  <c r="T129" i="3"/>
  <c r="T249" i="3"/>
  <c r="T231" i="3"/>
  <c r="T194" i="3"/>
  <c r="T177" i="3"/>
  <c r="T203" i="3"/>
  <c r="T206" i="3"/>
  <c r="T193" i="3"/>
  <c r="T184" i="3"/>
  <c r="T179" i="3"/>
  <c r="T223" i="3"/>
  <c r="T130" i="3"/>
  <c r="T131" i="3"/>
  <c r="T132" i="3"/>
  <c r="T133" i="3"/>
  <c r="T286" i="3"/>
  <c r="T182" i="3"/>
  <c r="T134" i="3"/>
  <c r="T135" i="3"/>
  <c r="T257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208" i="3"/>
  <c r="T148" i="3"/>
  <c r="T244" i="3"/>
  <c r="T149" i="3"/>
  <c r="T170" i="3"/>
  <c r="T150" i="3"/>
  <c r="T151" i="3"/>
  <c r="T152" i="3"/>
  <c r="T153" i="3"/>
  <c r="T154" i="3"/>
  <c r="T155" i="3"/>
  <c r="T156" i="3"/>
  <c r="H19" i="8"/>
  <c r="F19" i="8"/>
  <c r="L19" i="8" s="1"/>
  <c r="D19" i="8"/>
  <c r="C19" i="8"/>
  <c r="L18" i="8"/>
  <c r="M18" i="8" s="1"/>
  <c r="I18" i="8"/>
  <c r="G19" i="8" s="1"/>
  <c r="I19" i="8" s="1"/>
  <c r="D18" i="8"/>
  <c r="L6" i="8"/>
  <c r="L8" i="8"/>
  <c r="L10" i="8"/>
  <c r="L11" i="8"/>
  <c r="L13" i="8"/>
  <c r="L14" i="8"/>
  <c r="L16" i="8"/>
  <c r="L4" i="8"/>
  <c r="F12" i="8"/>
  <c r="L12" i="8" s="1"/>
  <c r="F17" i="8"/>
  <c r="L17" i="8" s="1"/>
  <c r="D17" i="8"/>
  <c r="C17" i="8"/>
  <c r="I16" i="8"/>
  <c r="I17" i="8" s="1"/>
  <c r="D16" i="8"/>
  <c r="F15" i="8"/>
  <c r="L15" i="8" s="1"/>
  <c r="I15" i="8"/>
  <c r="I13" i="8"/>
  <c r="G14" i="8" s="1"/>
  <c r="I14" i="8" s="1"/>
  <c r="I10" i="8"/>
  <c r="I11" i="8" s="1"/>
  <c r="I12" i="8" s="1"/>
  <c r="I8" i="8"/>
  <c r="G9" i="8" s="1"/>
  <c r="I9" i="8" s="1"/>
  <c r="I6" i="8"/>
  <c r="I4" i="8"/>
  <c r="G5" i="8" s="1"/>
  <c r="I5" i="8" s="1"/>
  <c r="D14" i="8"/>
  <c r="C14" i="8"/>
  <c r="D15" i="8" s="1"/>
  <c r="D13" i="8"/>
  <c r="D11" i="8"/>
  <c r="C11" i="8"/>
  <c r="D12" i="8" s="1"/>
  <c r="D10" i="8"/>
  <c r="F5" i="8"/>
  <c r="L5" i="8" s="1"/>
  <c r="D5" i="8"/>
  <c r="C5" i="8"/>
  <c r="D4" i="8"/>
  <c r="F9" i="8"/>
  <c r="L9" i="8" s="1"/>
  <c r="D9" i="8"/>
  <c r="C9" i="8"/>
  <c r="D8" i="8"/>
  <c r="F7" i="8"/>
  <c r="L7" i="8" s="1"/>
  <c r="D7" i="8"/>
  <c r="G7" i="8"/>
  <c r="I7" i="8" s="1"/>
  <c r="C7" i="8"/>
  <c r="D6" i="8"/>
  <c r="R208" i="3" l="1"/>
  <c r="R140" i="3"/>
  <c r="R182" i="3"/>
  <c r="R184" i="3"/>
  <c r="R152" i="3"/>
  <c r="R147" i="3"/>
  <c r="R139" i="3"/>
  <c r="R193" i="3"/>
  <c r="R128" i="3"/>
  <c r="R164" i="3"/>
  <c r="R98" i="3"/>
  <c r="R202" i="3"/>
  <c r="R87" i="3"/>
  <c r="R83" i="3"/>
  <c r="R76" i="3"/>
  <c r="R58" i="3"/>
  <c r="R48" i="3"/>
  <c r="R27" i="3"/>
  <c r="R16" i="3"/>
  <c r="R174" i="3"/>
  <c r="R3" i="3"/>
  <c r="R173" i="3"/>
  <c r="R77" i="3"/>
  <c r="R151" i="3"/>
  <c r="R146" i="3"/>
  <c r="R138" i="3"/>
  <c r="R206" i="3"/>
  <c r="R127" i="3"/>
  <c r="R124" i="3"/>
  <c r="R120" i="3"/>
  <c r="R107" i="3"/>
  <c r="R95" i="3"/>
  <c r="R91" i="3"/>
  <c r="R188" i="3"/>
  <c r="R82" i="3"/>
  <c r="R68" i="3"/>
  <c r="R64" i="3"/>
  <c r="R60" i="3"/>
  <c r="R210" i="3"/>
  <c r="R47" i="3"/>
  <c r="R40" i="3"/>
  <c r="R26" i="3"/>
  <c r="R20" i="3"/>
  <c r="R15" i="3"/>
  <c r="R8" i="3"/>
  <c r="R2" i="3"/>
  <c r="R172" i="3"/>
  <c r="R199" i="3"/>
  <c r="R185" i="3"/>
  <c r="R198" i="3"/>
  <c r="R69" i="3"/>
  <c r="R65" i="3"/>
  <c r="R61" i="3"/>
  <c r="R213" i="3"/>
  <c r="R33" i="3"/>
  <c r="R30" i="3"/>
  <c r="R133" i="3"/>
  <c r="R205" i="3"/>
  <c r="R113" i="3"/>
  <c r="R158" i="3"/>
  <c r="R150" i="3"/>
  <c r="R145" i="3"/>
  <c r="R137" i="3"/>
  <c r="R132" i="3"/>
  <c r="R203" i="3"/>
  <c r="R126" i="3"/>
  <c r="R189" i="3"/>
  <c r="R119" i="3"/>
  <c r="R112" i="3"/>
  <c r="R106" i="3"/>
  <c r="R201" i="3"/>
  <c r="R90" i="3"/>
  <c r="R207" i="3"/>
  <c r="R71" i="3"/>
  <c r="R186" i="3"/>
  <c r="R212" i="3"/>
  <c r="R57" i="3"/>
  <c r="R53" i="3"/>
  <c r="R39" i="3"/>
  <c r="R37" i="3"/>
  <c r="R19" i="3"/>
  <c r="R161" i="3"/>
  <c r="R170" i="3"/>
  <c r="R144" i="3"/>
  <c r="R136" i="3"/>
  <c r="R131" i="3"/>
  <c r="R123" i="3"/>
  <c r="R111" i="3"/>
  <c r="R75" i="3"/>
  <c r="R180" i="3"/>
  <c r="R175" i="3"/>
  <c r="R56" i="3"/>
  <c r="R52" i="3"/>
  <c r="R42" i="3"/>
  <c r="R159" i="3"/>
  <c r="R36" i="3"/>
  <c r="R171" i="3"/>
  <c r="R195" i="3"/>
  <c r="R12" i="3"/>
  <c r="R156" i="3"/>
  <c r="R143" i="3"/>
  <c r="R130" i="3"/>
  <c r="R194" i="3"/>
  <c r="R122" i="3"/>
  <c r="R116" i="3"/>
  <c r="R200" i="3"/>
  <c r="R92" i="3"/>
  <c r="R88" i="3"/>
  <c r="R80" i="3"/>
  <c r="R74" i="3"/>
  <c r="R67" i="3"/>
  <c r="R63" i="3"/>
  <c r="R55" i="3"/>
  <c r="R51" i="3"/>
  <c r="R35" i="3"/>
  <c r="R24" i="3"/>
  <c r="R7" i="3"/>
  <c r="R177" i="3"/>
  <c r="R125" i="3"/>
  <c r="R117" i="3"/>
  <c r="R105" i="3"/>
  <c r="R93" i="3"/>
  <c r="R89" i="3"/>
  <c r="R81" i="3"/>
  <c r="R209" i="3"/>
  <c r="R196" i="3"/>
  <c r="R197" i="3"/>
  <c r="R25" i="3"/>
  <c r="R176" i="3"/>
  <c r="R149" i="3"/>
  <c r="R110" i="3"/>
  <c r="R102" i="3"/>
  <c r="R85" i="3"/>
  <c r="R45" i="3"/>
  <c r="R38" i="3"/>
  <c r="R157" i="3"/>
  <c r="R155" i="3"/>
  <c r="R142" i="3"/>
  <c r="R135" i="3"/>
  <c r="R121" i="3"/>
  <c r="R191" i="3"/>
  <c r="R115" i="3"/>
  <c r="R104" i="3"/>
  <c r="R101" i="3"/>
  <c r="R97" i="3"/>
  <c r="R204" i="3"/>
  <c r="R168" i="3"/>
  <c r="R166" i="3"/>
  <c r="R79" i="3"/>
  <c r="R70" i="3"/>
  <c r="R162" i="3"/>
  <c r="R178" i="3"/>
  <c r="R54" i="3"/>
  <c r="R50" i="3"/>
  <c r="R34" i="3"/>
  <c r="R32" i="3"/>
  <c r="R23" i="3"/>
  <c r="R18" i="3"/>
  <c r="R14" i="3"/>
  <c r="R11" i="3"/>
  <c r="R6" i="3"/>
  <c r="R154" i="3"/>
  <c r="R148" i="3"/>
  <c r="R141" i="3"/>
  <c r="R179" i="3"/>
  <c r="R190" i="3"/>
  <c r="R167" i="3"/>
  <c r="R114" i="3"/>
  <c r="R109" i="3"/>
  <c r="R103" i="3"/>
  <c r="R100" i="3"/>
  <c r="R165" i="3"/>
  <c r="R59" i="3"/>
  <c r="R44" i="3"/>
  <c r="R29" i="3"/>
  <c r="R13" i="3"/>
  <c r="R10" i="3"/>
  <c r="R5" i="3"/>
  <c r="R181" i="3"/>
  <c r="M10" i="8"/>
  <c r="C12" i="8"/>
  <c r="M13" i="8"/>
  <c r="M7" i="8"/>
  <c r="C15" i="8"/>
  <c r="M16" i="8"/>
  <c r="M5" i="8"/>
  <c r="M8" i="8"/>
  <c r="AO6" i="2"/>
  <c r="AP28" i="2"/>
  <c r="AQ28" i="2" s="1"/>
  <c r="AR28" i="2" s="1"/>
  <c r="AS28" i="2" s="1"/>
  <c r="AT28" i="2" s="1"/>
  <c r="AU28" i="2" s="1"/>
  <c r="AN35" i="2"/>
  <c r="AN36" i="2"/>
  <c r="AM27" i="2"/>
  <c r="AP23" i="2"/>
  <c r="AQ23" i="2" s="1"/>
  <c r="AR23" i="2" s="1"/>
  <c r="AS23" i="2" s="1"/>
  <c r="AT23" i="2" s="1"/>
  <c r="AU23" i="2" s="1"/>
  <c r="AP14" i="2"/>
  <c r="AQ14" i="2" s="1"/>
  <c r="AR14" i="2" s="1"/>
  <c r="AS14" i="2" s="1"/>
  <c r="AT14" i="2" s="1"/>
  <c r="AU14" i="2" s="1"/>
  <c r="AB23" i="2"/>
  <c r="AC23" i="2" s="1"/>
  <c r="AD23" i="2" s="1"/>
  <c r="AE23" i="2" s="1"/>
  <c r="AF23" i="2" s="1"/>
  <c r="AG23" i="2" s="1"/>
  <c r="AH23" i="2" s="1"/>
  <c r="AI23" i="2" s="1"/>
  <c r="AB14" i="2"/>
  <c r="AC14" i="2" s="1"/>
  <c r="AD14" i="2" s="1"/>
  <c r="F24" i="2"/>
  <c r="G24" i="2" s="1"/>
  <c r="H24" i="2" s="1"/>
  <c r="I24" i="2" s="1"/>
  <c r="F15" i="2"/>
  <c r="G15" i="2" s="1"/>
  <c r="H15" i="2" s="1"/>
  <c r="I15" i="2" s="1"/>
  <c r="M4" i="2"/>
  <c r="AP27" i="2" l="1"/>
  <c r="AQ27" i="2" s="1"/>
  <c r="AR27" i="2" s="1"/>
  <c r="AS27" i="2" s="1"/>
  <c r="AT27" i="2" s="1"/>
  <c r="AU27" i="2" s="1"/>
  <c r="AE14" i="2"/>
  <c r="AF14" i="2" s="1"/>
  <c r="AG14" i="2" s="1"/>
  <c r="K16" i="6" l="1"/>
  <c r="I16" i="6"/>
  <c r="D7" i="2" l="1"/>
  <c r="C7" i="2" s="1"/>
  <c r="D6" i="2"/>
  <c r="C6" i="2" l="1"/>
  <c r="Y27" i="2" l="1"/>
  <c r="Z33" i="2"/>
  <c r="D18" i="2"/>
  <c r="AN44" i="2"/>
  <c r="Y25" i="2"/>
  <c r="Z35" i="2"/>
  <c r="C28" i="2"/>
  <c r="E28" i="2" s="1"/>
  <c r="F28" i="2" s="1"/>
  <c r="G28" i="2" s="1"/>
  <c r="H28" i="2" s="1"/>
  <c r="I28" i="2" s="1"/>
  <c r="C29" i="2"/>
  <c r="E29" i="2" s="1"/>
  <c r="AA28" i="2" s="1"/>
  <c r="AB28" i="2" s="1"/>
  <c r="AC28" i="2" s="1"/>
  <c r="AD28" i="2" s="1"/>
  <c r="AE28" i="2" s="1"/>
  <c r="AF28" i="2" s="1"/>
  <c r="AG28" i="2" s="1"/>
  <c r="AH28" i="2" s="1"/>
  <c r="AI28" i="2" s="1"/>
  <c r="D34" i="2"/>
  <c r="D43" i="2"/>
  <c r="C26" i="2"/>
  <c r="E26" i="2" s="1"/>
  <c r="AA25" i="2" s="1"/>
  <c r="D45" i="2"/>
  <c r="E7" i="2"/>
  <c r="Z34" i="2"/>
  <c r="D42" i="2"/>
  <c r="C27" i="2"/>
  <c r="E27" i="2" s="1"/>
  <c r="F27" i="2" s="1"/>
  <c r="D19" i="2"/>
  <c r="Z42" i="2"/>
  <c r="D36" i="2"/>
  <c r="Z41" i="2"/>
  <c r="Z18" i="2"/>
  <c r="E6" i="2"/>
  <c r="Z44" i="2"/>
  <c r="D35" i="2"/>
  <c r="Z16" i="2"/>
  <c r="Z17" i="2"/>
  <c r="AN43" i="2"/>
  <c r="AN15" i="2"/>
  <c r="AN33" i="2" s="1"/>
  <c r="AN16" i="2"/>
  <c r="AN34" i="2" s="1"/>
  <c r="D16" i="2"/>
  <c r="Z43" i="2"/>
  <c r="AN41" i="2"/>
  <c r="D17" i="2"/>
  <c r="Z36" i="2"/>
  <c r="Z15" i="2"/>
  <c r="D37" i="2"/>
  <c r="D44" i="2"/>
  <c r="AN42" i="2"/>
  <c r="F29" i="2" l="1"/>
  <c r="G29" i="2" s="1"/>
  <c r="H29" i="2" s="1"/>
  <c r="I29" i="2" s="1"/>
  <c r="F26" i="2"/>
  <c r="G26" i="2" s="1"/>
  <c r="H26" i="2" s="1"/>
  <c r="I26" i="2" s="1"/>
  <c r="E34" i="2"/>
  <c r="E42" i="2" s="1"/>
  <c r="AA27" i="2"/>
  <c r="AB27" i="2" s="1"/>
  <c r="AC27" i="2" s="1"/>
  <c r="AD27" i="2" s="1"/>
  <c r="AE27" i="2" s="1"/>
  <c r="AF27" i="2" s="1"/>
  <c r="AG27" i="2" s="1"/>
  <c r="AH27" i="2" s="1"/>
  <c r="AI27" i="2" s="1"/>
  <c r="AA26" i="2"/>
  <c r="AB26" i="2" s="1"/>
  <c r="AM25" i="2"/>
  <c r="E25" i="2"/>
  <c r="D3" i="2" s="1"/>
  <c r="E36" i="2" s="1"/>
  <c r="E44" i="2" s="1"/>
  <c r="AB25" i="2"/>
  <c r="AC25" i="2" s="1"/>
  <c r="AD25" i="2" s="1"/>
  <c r="AE25" i="2" s="1"/>
  <c r="AF25" i="2" s="1"/>
  <c r="AG25" i="2" s="1"/>
  <c r="AH25" i="2" s="1"/>
  <c r="AI25" i="2" s="1"/>
  <c r="AA33" i="2"/>
  <c r="AO25" i="2"/>
  <c r="G27" i="2"/>
  <c r="G35" i="2" l="1"/>
  <c r="I43" i="2" s="1"/>
  <c r="AA24" i="2"/>
  <c r="F25" i="2"/>
  <c r="F47" i="2" s="1"/>
  <c r="AO26" i="2"/>
  <c r="AP26" i="2" s="1"/>
  <c r="G37" i="2"/>
  <c r="I45" i="2" s="1"/>
  <c r="I46" i="2" s="1"/>
  <c r="E47" i="2"/>
  <c r="AC26" i="2"/>
  <c r="AB24" i="2"/>
  <c r="AB46" i="2" s="1"/>
  <c r="AO33" i="2"/>
  <c r="AP25" i="2"/>
  <c r="AQ25" i="2" s="1"/>
  <c r="AR25" i="2" s="1"/>
  <c r="AS25" i="2" s="1"/>
  <c r="AT25" i="2" s="1"/>
  <c r="AU25" i="2" s="1"/>
  <c r="AA41" i="2"/>
  <c r="AC34" i="2"/>
  <c r="H27" i="2"/>
  <c r="G25" i="2"/>
  <c r="G47" i="2" s="1"/>
  <c r="AA46" i="2" l="1"/>
  <c r="AO24" i="2"/>
  <c r="AO5" i="2"/>
  <c r="AO7" i="2" s="1"/>
  <c r="AO41" i="2"/>
  <c r="AQ34" i="2"/>
  <c r="H25" i="2"/>
  <c r="H47" i="2" s="1"/>
  <c r="I27" i="2"/>
  <c r="I25" i="2" s="1"/>
  <c r="I47" i="2" s="1"/>
  <c r="AE42" i="2"/>
  <c r="AP24" i="2"/>
  <c r="AP46" i="2" s="1"/>
  <c r="AQ26" i="2"/>
  <c r="AD26" i="2"/>
  <c r="AC24" i="2"/>
  <c r="AC46" i="2" s="1"/>
  <c r="AO46" i="2" l="1"/>
  <c r="AS42" i="2"/>
  <c r="AS35" i="2" s="1"/>
  <c r="E48" i="2"/>
  <c r="E49" i="2" s="1"/>
  <c r="E51" i="2" s="1"/>
  <c r="AE35" i="2"/>
  <c r="AD24" i="2"/>
  <c r="AD46" i="2" s="1"/>
  <c r="AE26" i="2"/>
  <c r="AR26" i="2"/>
  <c r="AQ24" i="2"/>
  <c r="AQ46" i="2" s="1"/>
  <c r="E53" i="2" l="1"/>
  <c r="E52" i="2"/>
  <c r="AU36" i="2"/>
  <c r="AU44" i="2" s="1"/>
  <c r="AS43" i="2"/>
  <c r="AE24" i="2"/>
  <c r="AF26" i="2"/>
  <c r="AG36" i="2"/>
  <c r="AI44" i="2" s="1"/>
  <c r="AE43" i="2"/>
  <c r="AR24" i="2"/>
  <c r="AR46" i="2" s="1"/>
  <c r="AS26" i="2"/>
  <c r="AI45" i="2" l="1"/>
  <c r="AU45" i="2"/>
  <c r="AS24" i="2"/>
  <c r="AS46" i="2" s="1"/>
  <c r="AT26" i="2"/>
  <c r="AG26" i="2"/>
  <c r="AF24" i="2"/>
  <c r="AF46" i="2" s="1"/>
  <c r="AE46" i="2"/>
  <c r="AT24" i="2" l="1"/>
  <c r="AT46" i="2" s="1"/>
  <c r="AU26" i="2"/>
  <c r="AU24" i="2" s="1"/>
  <c r="AU46" i="2" s="1"/>
  <c r="AG24" i="2"/>
  <c r="AG46" i="2" s="1"/>
  <c r="AH26" i="2"/>
  <c r="AO47" i="2" l="1"/>
  <c r="AO48" i="2" s="1"/>
  <c r="AO50" i="2" s="1"/>
  <c r="AO52" i="2" s="1"/>
  <c r="AH24" i="2"/>
  <c r="AH46" i="2" s="1"/>
  <c r="AI26" i="2"/>
  <c r="AI24" i="2" s="1"/>
  <c r="AI46" i="2" s="1"/>
  <c r="AO51" i="2" l="1"/>
  <c r="AA47" i="2"/>
  <c r="AA48" i="2" s="1"/>
  <c r="AA50" i="2" s="1"/>
  <c r="AA51" i="2" s="1"/>
  <c r="AA5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054AD-9948-4C23-B93A-679D824983B2}" keepAlive="1" name="Query - df_mep" description="Connection to the 'df_mep' query in the workbook." type="5" refreshedVersion="8" background="1" saveData="1">
    <dbPr connection="Provider=Microsoft.Mashup.OleDb.1;Data Source=$Workbook$;Location=df_mep;Extended Properties=&quot;&quot;" command="SELECT * FROM [df_mep]"/>
  </connection>
</connections>
</file>

<file path=xl/sharedStrings.xml><?xml version="1.0" encoding="utf-8"?>
<sst xmlns="http://schemas.openxmlformats.org/spreadsheetml/2006/main" count="737" uniqueCount="624">
  <si>
    <t>base_symbol</t>
  </si>
  <si>
    <t>shortName</t>
  </si>
  <si>
    <t>bid</t>
  </si>
  <si>
    <t>ask</t>
  </si>
  <si>
    <t>bid_D</t>
  </si>
  <si>
    <t>ask_D</t>
  </si>
  <si>
    <t>MEP</t>
  </si>
  <si>
    <t>MEP_compra_ARS</t>
  </si>
  <si>
    <t>MEP_compra_USD</t>
  </si>
  <si>
    <t>AAPL</t>
  </si>
  <si>
    <t>AMD</t>
  </si>
  <si>
    <t>AMZN</t>
  </si>
  <si>
    <t>BABA</t>
  </si>
  <si>
    <t>KO</t>
  </si>
  <si>
    <t>MELI</t>
  </si>
  <si>
    <t>MSFT</t>
  </si>
  <si>
    <t>NVDA</t>
  </si>
  <si>
    <t>PYPL</t>
  </si>
  <si>
    <t>TSLA</t>
  </si>
  <si>
    <t>VIST</t>
  </si>
  <si>
    <t>ARKK</t>
  </si>
  <si>
    <t>SPY</t>
  </si>
  <si>
    <t>precio</t>
  </si>
  <si>
    <t>FF</t>
  </si>
  <si>
    <t>GOLD</t>
  </si>
  <si>
    <t>MCD</t>
  </si>
  <si>
    <t>NKE</t>
  </si>
  <si>
    <t>PBR</t>
  </si>
  <si>
    <t>SHOP</t>
  </si>
  <si>
    <t>V</t>
  </si>
  <si>
    <t>DIA</t>
  </si>
  <si>
    <t>FF USD</t>
  </si>
  <si>
    <t>Rend</t>
  </si>
  <si>
    <t>VALE</t>
  </si>
  <si>
    <t>INTC</t>
  </si>
  <si>
    <t>Comisión</t>
  </si>
  <si>
    <t>WFC</t>
  </si>
  <si>
    <t>dia</t>
  </si>
  <si>
    <t>compro T2</t>
  </si>
  <si>
    <t>inflacion</t>
  </si>
  <si>
    <t>anual</t>
  </si>
  <si>
    <t>diaria</t>
  </si>
  <si>
    <t>$/USD</t>
  </si>
  <si>
    <t>NPV</t>
  </si>
  <si>
    <t>liq compra
liq venta</t>
  </si>
  <si>
    <t>vendo T2</t>
  </si>
  <si>
    <t>liq compra</t>
  </si>
  <si>
    <t>liq venta</t>
  </si>
  <si>
    <t>Proyeccion precios</t>
  </si>
  <si>
    <t>Comision</t>
  </si>
  <si>
    <t>Compras + ventas</t>
  </si>
  <si>
    <t>Calendario liquidaciones</t>
  </si>
  <si>
    <t>MO</t>
  </si>
  <si>
    <t>T</t>
  </si>
  <si>
    <t>Inversion $</t>
  </si>
  <si>
    <t>Inversion USD</t>
  </si>
  <si>
    <t>TEM</t>
  </si>
  <si>
    <t>TED</t>
  </si>
  <si>
    <t>TEA</t>
  </si>
  <si>
    <t>AL30</t>
  </si>
  <si>
    <t>AL30D</t>
  </si>
  <si>
    <t>spread</t>
  </si>
  <si>
    <t>GLOB</t>
  </si>
  <si>
    <t>LLY</t>
  </si>
  <si>
    <t>Comprando y vendiendo en ARS y USD</t>
  </si>
  <si>
    <t>AAL</t>
  </si>
  <si>
    <t>BBD</t>
  </si>
  <si>
    <t>F</t>
  </si>
  <si>
    <t>HMY</t>
  </si>
  <si>
    <t>JNJ</t>
  </si>
  <si>
    <t>NIO</t>
  </si>
  <si>
    <t>PG</t>
  </si>
  <si>
    <t>SPOT</t>
  </si>
  <si>
    <t>VZ</t>
  </si>
  <si>
    <t>WBA</t>
  </si>
  <si>
    <t>XOM</t>
  </si>
  <si>
    <t>COIN</t>
  </si>
  <si>
    <t>QQQ</t>
  </si>
  <si>
    <t>XLE</t>
  </si>
  <si>
    <t>open_BA</t>
  </si>
  <si>
    <t>bid_BA</t>
  </si>
  <si>
    <t>ask_BA</t>
  </si>
  <si>
    <t>open_D_BA</t>
  </si>
  <si>
    <t>bid_D_BA</t>
  </si>
  <si>
    <t>ask_D_BA</t>
  </si>
  <si>
    <t>volume_BA</t>
  </si>
  <si>
    <t>volume_D_BA</t>
  </si>
  <si>
    <t>Ford Motor Company</t>
  </si>
  <si>
    <t>Johnson &amp; Johnson</t>
  </si>
  <si>
    <t>Shopify Inc.</t>
  </si>
  <si>
    <t>Spotify Technology S.A.</t>
  </si>
  <si>
    <t>ABBV</t>
  </si>
  <si>
    <t>ABNB</t>
  </si>
  <si>
    <t>ABT</t>
  </si>
  <si>
    <t>Abbott Laboratories</t>
  </si>
  <si>
    <t>ADBE</t>
  </si>
  <si>
    <t>ARCO</t>
  </si>
  <si>
    <t>AVGO</t>
  </si>
  <si>
    <t>Broadcom Inc.</t>
  </si>
  <si>
    <t>AXP</t>
  </si>
  <si>
    <t>AZN</t>
  </si>
  <si>
    <t>BA</t>
  </si>
  <si>
    <t>BBVA</t>
  </si>
  <si>
    <t>BIDU</t>
  </si>
  <si>
    <t>BIOX</t>
  </si>
  <si>
    <t>BITF</t>
  </si>
  <si>
    <t>Bitfarms Ltd.</t>
  </si>
  <si>
    <t>BP</t>
  </si>
  <si>
    <t>CRM</t>
  </si>
  <si>
    <t>CSCO</t>
  </si>
  <si>
    <t>CVX</t>
  </si>
  <si>
    <t>DESP</t>
  </si>
  <si>
    <t>DIS</t>
  </si>
  <si>
    <t>DOW</t>
  </si>
  <si>
    <t>Dow Inc.</t>
  </si>
  <si>
    <t>EA</t>
  </si>
  <si>
    <t>Electronic Arts Inc.</t>
  </si>
  <si>
    <t>EBAY</t>
  </si>
  <si>
    <t>ETSY</t>
  </si>
  <si>
    <t>FCX</t>
  </si>
  <si>
    <t>FDX</t>
  </si>
  <si>
    <t>GM</t>
  </si>
  <si>
    <t>GOOGL</t>
  </si>
  <si>
    <t>HUT</t>
  </si>
  <si>
    <t>Hut 8 Mining Corp.</t>
  </si>
  <si>
    <t>IBM</t>
  </si>
  <si>
    <t>JD</t>
  </si>
  <si>
    <t>JMIA</t>
  </si>
  <si>
    <t>JPM</t>
  </si>
  <si>
    <t>LMT</t>
  </si>
  <si>
    <t>MA</t>
  </si>
  <si>
    <t>MMM</t>
  </si>
  <si>
    <t>NEM</t>
  </si>
  <si>
    <t>NFLX</t>
  </si>
  <si>
    <t>OXY</t>
  </si>
  <si>
    <t>PAAS</t>
  </si>
  <si>
    <t>Pan American Silver Corp.</t>
  </si>
  <si>
    <t>PEP</t>
  </si>
  <si>
    <t>PFE</t>
  </si>
  <si>
    <t>QCOM</t>
  </si>
  <si>
    <t>RIO</t>
  </si>
  <si>
    <t>RTX</t>
  </si>
  <si>
    <t>SATL</t>
  </si>
  <si>
    <t>Satellogic Inc.</t>
  </si>
  <si>
    <t>SHEL</t>
  </si>
  <si>
    <t>SNOW</t>
  </si>
  <si>
    <t>SPGI</t>
  </si>
  <si>
    <t>S&amp;P Global Inc.</t>
  </si>
  <si>
    <t>SQ</t>
  </si>
  <si>
    <t>TGT</t>
  </si>
  <si>
    <t>TM</t>
  </si>
  <si>
    <t>TSM</t>
  </si>
  <si>
    <t>TXN</t>
  </si>
  <si>
    <t>UBER</t>
  </si>
  <si>
    <t>Uber Technologies, Inc.</t>
  </si>
  <si>
    <t>UL</t>
  </si>
  <si>
    <t>UNH</t>
  </si>
  <si>
    <t>UPST</t>
  </si>
  <si>
    <t>Upstart Holdings, Inc.</t>
  </si>
  <si>
    <t>WMT</t>
  </si>
  <si>
    <t>X</t>
  </si>
  <si>
    <t>XP</t>
  </si>
  <si>
    <t>ZM</t>
  </si>
  <si>
    <t>IWM</t>
  </si>
  <si>
    <t>EWZ</t>
  </si>
  <si>
    <t>XLF</t>
  </si>
  <si>
    <t>CAT</t>
  </si>
  <si>
    <t>conviene entrar ARS</t>
  </si>
  <si>
    <t>conviene entrar USD</t>
  </si>
  <si>
    <t>can_use</t>
  </si>
  <si>
    <t>ABEV</t>
  </si>
  <si>
    <t>BRKB</t>
  </si>
  <si>
    <t>DE</t>
  </si>
  <si>
    <t>DOCU</t>
  </si>
  <si>
    <t>EEM</t>
  </si>
  <si>
    <t>ERJ</t>
  </si>
  <si>
    <t>Embraer S.A.</t>
  </si>
  <si>
    <t>GE</t>
  </si>
  <si>
    <t>GILD</t>
  </si>
  <si>
    <t>GPRK</t>
  </si>
  <si>
    <t>Geopark Ltd</t>
  </si>
  <si>
    <t>GS</t>
  </si>
  <si>
    <t>GSK</t>
  </si>
  <si>
    <t>HAL</t>
  </si>
  <si>
    <t>ITUB</t>
  </si>
  <si>
    <t>META</t>
  </si>
  <si>
    <t>MRK</t>
  </si>
  <si>
    <t>MSTR</t>
  </si>
  <si>
    <t>MU</t>
  </si>
  <si>
    <t>Micron Technology, Inc.</t>
  </si>
  <si>
    <t>NVS</t>
  </si>
  <si>
    <t>Novartis AG</t>
  </si>
  <si>
    <t>PANW</t>
  </si>
  <si>
    <t>Palo Alto Networks, Inc.</t>
  </si>
  <si>
    <t>SE</t>
  </si>
  <si>
    <t>SID</t>
  </si>
  <si>
    <t>TEN</t>
  </si>
  <si>
    <t>TWLO</t>
  </si>
  <si>
    <t>Twilio Inc.</t>
  </si>
  <si>
    <t>TXR</t>
  </si>
  <si>
    <t>UAL</t>
  </si>
  <si>
    <t>United Airlines Holdings, Inc.</t>
  </si>
  <si>
    <t>UNP</t>
  </si>
  <si>
    <t/>
  </si>
  <si>
    <t>ADGO</t>
  </si>
  <si>
    <t>ADI</t>
  </si>
  <si>
    <t>ADP</t>
  </si>
  <si>
    <t>ADS</t>
  </si>
  <si>
    <t>AEM</t>
  </si>
  <si>
    <t>AIG</t>
  </si>
  <si>
    <t>AMAT</t>
  </si>
  <si>
    <t>AMGN</t>
  </si>
  <si>
    <t>AMX</t>
  </si>
  <si>
    <t>ANF</t>
  </si>
  <si>
    <t>AOCA</t>
  </si>
  <si>
    <t>ASR</t>
  </si>
  <si>
    <t>AVY</t>
  </si>
  <si>
    <t>BB</t>
  </si>
  <si>
    <t>BCS</t>
  </si>
  <si>
    <t>BHP</t>
  </si>
  <si>
    <t>BIIB</t>
  </si>
  <si>
    <t>BK</t>
  </si>
  <si>
    <t>BMY</t>
  </si>
  <si>
    <t>BNG</t>
  </si>
  <si>
    <t>BRFS</t>
  </si>
  <si>
    <t>BSBR</t>
  </si>
  <si>
    <t>C</t>
  </si>
  <si>
    <t>CAAP</t>
  </si>
  <si>
    <t>CAH</t>
  </si>
  <si>
    <t>CAR</t>
  </si>
  <si>
    <t>CDE</t>
  </si>
  <si>
    <t>CL</t>
  </si>
  <si>
    <t>COST</t>
  </si>
  <si>
    <t>CX</t>
  </si>
  <si>
    <t>DD</t>
  </si>
  <si>
    <t>DEO</t>
  </si>
  <si>
    <t>E</t>
  </si>
  <si>
    <t>EBR</t>
  </si>
  <si>
    <t>EFX</t>
  </si>
  <si>
    <t>ERIC</t>
  </si>
  <si>
    <t>FMX</t>
  </si>
  <si>
    <t>FSLR</t>
  </si>
  <si>
    <t>GFI</t>
  </si>
  <si>
    <t>GGB</t>
  </si>
  <si>
    <t>GLW</t>
  </si>
  <si>
    <t>GRMN</t>
  </si>
  <si>
    <t>HD</t>
  </si>
  <si>
    <t>HDB</t>
  </si>
  <si>
    <t>HL</t>
  </si>
  <si>
    <t>HMC</t>
  </si>
  <si>
    <t>HOG</t>
  </si>
  <si>
    <t>HON</t>
  </si>
  <si>
    <t>HPQ</t>
  </si>
  <si>
    <t>HSBC</t>
  </si>
  <si>
    <t>HSY</t>
  </si>
  <si>
    <t>HWM</t>
  </si>
  <si>
    <t>IFF</t>
  </si>
  <si>
    <t>INFY</t>
  </si>
  <si>
    <t>ING</t>
  </si>
  <si>
    <t>IP</t>
  </si>
  <si>
    <t>KMB</t>
  </si>
  <si>
    <t>KOF</t>
  </si>
  <si>
    <t>LRCX</t>
  </si>
  <si>
    <t>LVS</t>
  </si>
  <si>
    <t>LYG</t>
  </si>
  <si>
    <t>MDT</t>
  </si>
  <si>
    <t>MMC</t>
  </si>
  <si>
    <t>MOS</t>
  </si>
  <si>
    <t>MSI</t>
  </si>
  <si>
    <t>NGG</t>
  </si>
  <si>
    <t>NOKA</t>
  </si>
  <si>
    <t>NTCO</t>
  </si>
  <si>
    <t>NTES</t>
  </si>
  <si>
    <t>NUE</t>
  </si>
  <si>
    <t>ORAN</t>
  </si>
  <si>
    <t>ORCL</t>
  </si>
  <si>
    <t>PBI</t>
  </si>
  <si>
    <t>PHG</t>
  </si>
  <si>
    <t>PKS</t>
  </si>
  <si>
    <t>PSX</t>
  </si>
  <si>
    <t>RBLX</t>
  </si>
  <si>
    <t>SAN</t>
  </si>
  <si>
    <t>SAP</t>
  </si>
  <si>
    <t>SBS</t>
  </si>
  <si>
    <t>SBUX</t>
  </si>
  <si>
    <t>SCCO</t>
  </si>
  <si>
    <t>SLB</t>
  </si>
  <si>
    <t>SNA</t>
  </si>
  <si>
    <t>SNAP</t>
  </si>
  <si>
    <t>SONY</t>
  </si>
  <si>
    <t>SUZ</t>
  </si>
  <si>
    <t>SYY</t>
  </si>
  <si>
    <t>TCOM</t>
  </si>
  <si>
    <t>TEFOF</t>
  </si>
  <si>
    <t>TIMB</t>
  </si>
  <si>
    <t>TMO</t>
  </si>
  <si>
    <t>TRIP</t>
  </si>
  <si>
    <t>TTE</t>
  </si>
  <si>
    <t>TV</t>
  </si>
  <si>
    <t>UGP</t>
  </si>
  <si>
    <t>USB</t>
  </si>
  <si>
    <t>VIV</t>
  </si>
  <si>
    <t>VOD</t>
  </si>
  <si>
    <t>VRSN</t>
  </si>
  <si>
    <t>WBO</t>
  </si>
  <si>
    <t>XRX</t>
  </si>
  <si>
    <t>YELP</t>
  </si>
  <si>
    <t>YY</t>
  </si>
  <si>
    <t>Phillips 66</t>
  </si>
  <si>
    <t>Roblox Corporation</t>
  </si>
  <si>
    <t>BAYN</t>
  </si>
  <si>
    <t>SMSN</t>
  </si>
  <si>
    <t>spread ars</t>
  </si>
  <si>
    <t>spread USD</t>
  </si>
  <si>
    <t>CONTADO CON LIQUI</t>
  </si>
  <si>
    <t>Compra</t>
  </si>
  <si>
    <t>Venta</t>
  </si>
  <si>
    <t>volume_money_BA</t>
  </si>
  <si>
    <t>volume_money_D_BA</t>
  </si>
  <si>
    <t>opero</t>
  </si>
  <si>
    <t>liquido</t>
  </si>
  <si>
    <t>VN</t>
  </si>
  <si>
    <t>simbolo</t>
  </si>
  <si>
    <t>valor</t>
  </si>
  <si>
    <t>simbolo_b</t>
  </si>
  <si>
    <t>moneda</t>
  </si>
  <si>
    <t>ARS</t>
  </si>
  <si>
    <t>USD</t>
  </si>
  <si>
    <t>plazo (T+)</t>
  </si>
  <si>
    <t>hora</t>
  </si>
  <si>
    <t>American Airlines Group, Inc.</t>
  </si>
  <si>
    <t>Apple Inc.</t>
  </si>
  <si>
    <t>AbbVie Inc.</t>
  </si>
  <si>
    <t>Ambev S.A.</t>
  </si>
  <si>
    <t>Airbnb, Inc.</t>
  </si>
  <si>
    <t>Adobe Inc.</t>
  </si>
  <si>
    <t>ADVANTEGO CORPORATION</t>
  </si>
  <si>
    <t>Analog Devices, Inc.</t>
  </si>
  <si>
    <t>Automatic Data Processing, Inc.</t>
  </si>
  <si>
    <t>AEG</t>
  </si>
  <si>
    <t>AEGON N.V.</t>
  </si>
  <si>
    <t>Agnico Eagle Mines Limited</t>
  </si>
  <si>
    <t>AGRO</t>
  </si>
  <si>
    <t>Adecoagro S.A.</t>
  </si>
  <si>
    <t>American International Group, I</t>
  </si>
  <si>
    <t>Applied Materials, Inc.</t>
  </si>
  <si>
    <t>Advanced Micro Devices, Inc.</t>
  </si>
  <si>
    <t>Amgen Inc.</t>
  </si>
  <si>
    <t>America Movil, S.A.B. de C.V.</t>
  </si>
  <si>
    <t>Amazon.com, Inc.</t>
  </si>
  <si>
    <t>Abercrombie &amp; Fitch Company</t>
  </si>
  <si>
    <t>Arcos Dorados Holdings Inc.</t>
  </si>
  <si>
    <t>Grupo Aeroportuario del Sureste</t>
  </si>
  <si>
    <t>Avery Dennison Corporation</t>
  </si>
  <si>
    <t>American Express Company</t>
  </si>
  <si>
    <t>Astrazeneca PLC</t>
  </si>
  <si>
    <t>Boeing Company (The)</t>
  </si>
  <si>
    <t>Alibaba Group Holding Limited</t>
  </si>
  <si>
    <t>BAC</t>
  </si>
  <si>
    <t>Bank of America Corporation</t>
  </si>
  <si>
    <t>BlackBerry Limited</t>
  </si>
  <si>
    <t>Banco Bradesco Sa</t>
  </si>
  <si>
    <t>Banco Bilbao Vizcaya Argentaria</t>
  </si>
  <si>
    <t>Barclays PLC</t>
  </si>
  <si>
    <t>BG</t>
  </si>
  <si>
    <t>Bunge Limited Bunge Limited</t>
  </si>
  <si>
    <t>BHP Group Limited</t>
  </si>
  <si>
    <t>Baidu, Inc.</t>
  </si>
  <si>
    <t>Biogen Inc.</t>
  </si>
  <si>
    <t>Bioceres Crop Solutions Corp.</t>
  </si>
  <si>
    <t>The Bank of New York Mellon Cor</t>
  </si>
  <si>
    <t>Bristol-Myers Squibb Company</t>
  </si>
  <si>
    <t>BP p.l.c.</t>
  </si>
  <si>
    <t>BRF S.A.</t>
  </si>
  <si>
    <t>BRK-B</t>
  </si>
  <si>
    <t>Berkshire Hathaway Inc. New</t>
  </si>
  <si>
    <t>Banco Santander Brasil SA</t>
  </si>
  <si>
    <t>Citigroup, Inc.</t>
  </si>
  <si>
    <t>Corporacion America Airports SA</t>
  </si>
  <si>
    <t>Cardinal Health, Inc.</t>
  </si>
  <si>
    <t>Avis Budget Group, Inc.</t>
  </si>
  <si>
    <t>CBD</t>
  </si>
  <si>
    <t>Companhia Brasileira de Distrib</t>
  </si>
  <si>
    <t>Coeur Mining, Inc.</t>
  </si>
  <si>
    <t>Colgate-Palmolive Company</t>
  </si>
  <si>
    <t>Coinbase Global, Inc.</t>
  </si>
  <si>
    <t>Costco Wholesale Corporation</t>
  </si>
  <si>
    <t>Salesforce, Inc.</t>
  </si>
  <si>
    <t>Cisco Systems, Inc.</t>
  </si>
  <si>
    <t>Chevron Corporation</t>
  </si>
  <si>
    <t>Cemex, S.A.B. de C.V. Sponsored</t>
  </si>
  <si>
    <t>DuPont de Nemours, Inc.</t>
  </si>
  <si>
    <t>Deere &amp; Company</t>
  </si>
  <si>
    <t>Diageo plc</t>
  </si>
  <si>
    <t>Despegar.com, Corp.</t>
  </si>
  <si>
    <t>Walt Disney Company (The)</t>
  </si>
  <si>
    <t>DocuSign, Inc.</t>
  </si>
  <si>
    <t>ENI S.p.A.</t>
  </si>
  <si>
    <t>eBay Inc.</t>
  </si>
  <si>
    <t>Centrais Electricas Brasileiras</t>
  </si>
  <si>
    <t>Equifax, Inc.</t>
  </si>
  <si>
    <t>ELP</t>
  </si>
  <si>
    <t>Companhia Paranaense de Energia</t>
  </si>
  <si>
    <t>Ericsson</t>
  </si>
  <si>
    <t>Etsy, Inc.</t>
  </si>
  <si>
    <t>Freeport-McMoRan, Inc.</t>
  </si>
  <si>
    <t>FedEx Corporation</t>
  </si>
  <si>
    <t>FMCC</t>
  </si>
  <si>
    <t>FEDERAL HOME LOAN MORTGAGE CORP</t>
  </si>
  <si>
    <t>Fomento Economico Mexicano S.A.</t>
  </si>
  <si>
    <t>FNMA</t>
  </si>
  <si>
    <t>FEDERAL NATIONAL MORTGAGE ASSOC</t>
  </si>
  <si>
    <t>First Solar, Inc.</t>
  </si>
  <si>
    <t>General Electric Company</t>
  </si>
  <si>
    <t>Gold Fields Limited</t>
  </si>
  <si>
    <t>Gerdau S.A.</t>
  </si>
  <si>
    <t>Gilead Sciences, Inc.</t>
  </si>
  <si>
    <t>Globant S.A.</t>
  </si>
  <si>
    <t>Corning Incorporated</t>
  </si>
  <si>
    <t>General Motors Company</t>
  </si>
  <si>
    <t>Barrick Gold Corporation</t>
  </si>
  <si>
    <t>Alphabet Inc.</t>
  </si>
  <si>
    <t>Garmin Ltd.</t>
  </si>
  <si>
    <t>Goldman Sachs Group, Inc. (The)</t>
  </si>
  <si>
    <t>GSK plc</t>
  </si>
  <si>
    <t>Halliburton Company</t>
  </si>
  <si>
    <t>Home Depot, Inc. (The)</t>
  </si>
  <si>
    <t>HDFC Bank Limited</t>
  </si>
  <si>
    <t>Hecla Mining Company</t>
  </si>
  <si>
    <t>Honda Motor Company, Ltd.</t>
  </si>
  <si>
    <t>Harmony Gold Mining Company Lim</t>
  </si>
  <si>
    <t>Harley-Davidson, Inc.</t>
  </si>
  <si>
    <t>Honeywell International Inc.</t>
  </si>
  <si>
    <t>HP Inc.</t>
  </si>
  <si>
    <t>HSBC Holdings, plc.</t>
  </si>
  <si>
    <t>The Hershey Company</t>
  </si>
  <si>
    <t>Howmet Aerospace Inc.</t>
  </si>
  <si>
    <t>International Business Machines</t>
  </si>
  <si>
    <t>IBN</t>
  </si>
  <si>
    <t>ICICI Bank Limited</t>
  </si>
  <si>
    <t>International Flavors &amp; Fragran</t>
  </si>
  <si>
    <t>Infosys Limited</t>
  </si>
  <si>
    <t>ING Group, N.V.</t>
  </si>
  <si>
    <t>Intel Corporation</t>
  </si>
  <si>
    <t>International Paper Company</t>
  </si>
  <si>
    <t>Itau Unibanco Banco Holding SA</t>
  </si>
  <si>
    <t>JCI</t>
  </si>
  <si>
    <t xml:space="preserve">Johnson Controls International </t>
  </si>
  <si>
    <t>JD.com, Inc.</t>
  </si>
  <si>
    <t>Jumia Technologies AG</t>
  </si>
  <si>
    <t>JP Morgan Chase &amp; Co.</t>
  </si>
  <si>
    <t>KB</t>
  </si>
  <si>
    <t>KB Financial Group Inc</t>
  </si>
  <si>
    <t>KEP</t>
  </si>
  <si>
    <t>Korea Electric Power Corporatio</t>
  </si>
  <si>
    <t>KGC</t>
  </si>
  <si>
    <t>Kinross Gold Corporation</t>
  </si>
  <si>
    <t>Kimberly-Clark Corporation</t>
  </si>
  <si>
    <t>Coca-Cola Company (The)</t>
  </si>
  <si>
    <t>Coca Cola Femsa S.A.B. de C.V.</t>
  </si>
  <si>
    <t>Eli Lilly and Company</t>
  </si>
  <si>
    <t>Lockheed Martin Corporation</t>
  </si>
  <si>
    <t>Lam Research Corporation</t>
  </si>
  <si>
    <t>Las Vegas Sands Corp.</t>
  </si>
  <si>
    <t>Lloyds Banking Group Plc</t>
  </si>
  <si>
    <t>Mastercard Incorporated</t>
  </si>
  <si>
    <t>McDonald's Corporation</t>
  </si>
  <si>
    <t>Medtronic plc.</t>
  </si>
  <si>
    <t>MercadoLibre, Inc.</t>
  </si>
  <si>
    <t>Meta Platforms, Inc.</t>
  </si>
  <si>
    <t>MFG</t>
  </si>
  <si>
    <t>Mizuho Financial Group, Inc. Sp</t>
  </si>
  <si>
    <t>Marsh &amp; McLennan Companies, Inc</t>
  </si>
  <si>
    <t>3M Company</t>
  </si>
  <si>
    <t>Altria Group, Inc.</t>
  </si>
  <si>
    <t>Mosaic Company (The)</t>
  </si>
  <si>
    <t>Merck &amp; Company, Inc.</t>
  </si>
  <si>
    <t>Microsoft Corporation</t>
  </si>
  <si>
    <t>Motorola Solutions, Inc.</t>
  </si>
  <si>
    <t>MicroStrategy Incorporated</t>
  </si>
  <si>
    <t>MUFG</t>
  </si>
  <si>
    <t>Mitsubishi UFJ Financial Group,</t>
  </si>
  <si>
    <t>Newmont Corporation</t>
  </si>
  <si>
    <t>Netflix, Inc.</t>
  </si>
  <si>
    <t>NG</t>
  </si>
  <si>
    <t>Novagold Resources Inc.</t>
  </si>
  <si>
    <t>National Grid Transco, PLC Nati</t>
  </si>
  <si>
    <t>NIO Inc.</t>
  </si>
  <si>
    <t>Nike, Inc.</t>
  </si>
  <si>
    <t>NMR</t>
  </si>
  <si>
    <t>Nomura Holdings Inc</t>
  </si>
  <si>
    <t>NOK</t>
  </si>
  <si>
    <t>Nokia Corporation Sponsored</t>
  </si>
  <si>
    <t>NSANY</t>
  </si>
  <si>
    <t>NISSAN MOTOR CO SPONS ADR(CNV I</t>
  </si>
  <si>
    <t>Natura &amp;Co Holding S.A.</t>
  </si>
  <si>
    <t>NetEase, Inc.</t>
  </si>
  <si>
    <t>Nucor Corporation</t>
  </si>
  <si>
    <t>NVIDIA Corporation</t>
  </si>
  <si>
    <t>Orange</t>
  </si>
  <si>
    <t>Oracle Corporation</t>
  </si>
  <si>
    <t>Occidental Petroleum Corporatio</t>
  </si>
  <si>
    <t>PAC</t>
  </si>
  <si>
    <t>Grupo Aeroportuario Del Pacific</t>
  </si>
  <si>
    <t>Pitney Bowes Inc.</t>
  </si>
  <si>
    <t>Petroleo Brasileiro S.A.- Petro</t>
  </si>
  <si>
    <t>PCRFY</t>
  </si>
  <si>
    <t>PANASONIC HOLDINGS CORP ADR-EAC</t>
  </si>
  <si>
    <t>Pepsico, Inc.</t>
  </si>
  <si>
    <t>Pfizer, Inc.</t>
  </si>
  <si>
    <t>Procter &amp; Gamble Company (The)</t>
  </si>
  <si>
    <t>Koninklijke Philips N.V. NY Reg</t>
  </si>
  <si>
    <t>PKX</t>
  </si>
  <si>
    <t>POSCO Holdings Inc.</t>
  </si>
  <si>
    <t>PSO</t>
  </si>
  <si>
    <t>Pearson, Plc</t>
  </si>
  <si>
    <t>PayPal Holdings, Inc.</t>
  </si>
  <si>
    <t>QUALCOMM Incorporated</t>
  </si>
  <si>
    <t>Rio Tinto Plc</t>
  </si>
  <si>
    <t>ROST</t>
  </si>
  <si>
    <t>Ross Stores, Inc.</t>
  </si>
  <si>
    <t>RTX Corporation</t>
  </si>
  <si>
    <t>Banco Santander, S.A. Sponsored</t>
  </si>
  <si>
    <t>SAP  SE</t>
  </si>
  <si>
    <t xml:space="preserve">Companhia de saneamento Basico </t>
  </si>
  <si>
    <t>Starbucks Corporation</t>
  </si>
  <si>
    <t>Southern Copper Corporation</t>
  </si>
  <si>
    <t>Sea Limited</t>
  </si>
  <si>
    <t>Shell PLC</t>
  </si>
  <si>
    <t xml:space="preserve">Companhia Siderurgica Nacional </t>
  </si>
  <si>
    <t>SIEGY</t>
  </si>
  <si>
    <t>SIEMENS AG SPON ADR EACH REP 0.</t>
  </si>
  <si>
    <t>Schlumberger N.V.</t>
  </si>
  <si>
    <t>Snap-On Incorporated</t>
  </si>
  <si>
    <t>Snap Inc.</t>
  </si>
  <si>
    <t>Snowflake Inc.</t>
  </si>
  <si>
    <t>Sony Group Corporation</t>
  </si>
  <si>
    <t>Block, Inc.</t>
  </si>
  <si>
    <t>Suzano S.A.</t>
  </si>
  <si>
    <t>Sysco Corporation</t>
  </si>
  <si>
    <t>AT&amp;T Inc.</t>
  </si>
  <si>
    <t>Trip.com Group Limited</t>
  </si>
  <si>
    <t>TEF</t>
  </si>
  <si>
    <t>Telefonica SA</t>
  </si>
  <si>
    <t>TELEFONICA SA</t>
  </si>
  <si>
    <t>Target Corporation</t>
  </si>
  <si>
    <t>TIIAY</t>
  </si>
  <si>
    <t>TELECOM ITALIA SPA SPON ADS EAC</t>
  </si>
  <si>
    <t>TIM S.A.</t>
  </si>
  <si>
    <t>Toyota Motor Corporation</t>
  </si>
  <si>
    <t>Thermo Fisher Scientific Inc</t>
  </si>
  <si>
    <t>TripAdvisor, Inc.</t>
  </si>
  <si>
    <t>TRV</t>
  </si>
  <si>
    <t>The Travelers Companies, Inc.</t>
  </si>
  <si>
    <t>TS</t>
  </si>
  <si>
    <t>Tenaris S.A.</t>
  </si>
  <si>
    <t>Tesla, Inc.</t>
  </si>
  <si>
    <t>Taiwan Semiconductor Manufactur</t>
  </si>
  <si>
    <t>TotalEnergies SE</t>
  </si>
  <si>
    <t>Grupo Televisa S.A.</t>
  </si>
  <si>
    <t>TX</t>
  </si>
  <si>
    <t>Ternium S.A. Ternium S.A.</t>
  </si>
  <si>
    <t>Texas Instruments Incorporated</t>
  </si>
  <si>
    <t>Ultrapar Participacoes S.A. (Ne</t>
  </si>
  <si>
    <t>Unilever PLC</t>
  </si>
  <si>
    <t>UnitedHealth Group Incorporated</t>
  </si>
  <si>
    <t>Union Pacific Corporation</t>
  </si>
  <si>
    <t>URBN</t>
  </si>
  <si>
    <t>Urban Outfitters, Inc.</t>
  </si>
  <si>
    <t>U.S. Bancorp</t>
  </si>
  <si>
    <t>Visa Inc.</t>
  </si>
  <si>
    <t>VALE S.A.</t>
  </si>
  <si>
    <t>Vista Energy S.A.B. de C.V.</t>
  </si>
  <si>
    <t>Telefonica Brasil S.A.</t>
  </si>
  <si>
    <t>Vodafone Group Plc</t>
  </si>
  <si>
    <t>VeriSign, Inc.</t>
  </si>
  <si>
    <t>Verizon Communications Inc.</t>
  </si>
  <si>
    <t>WB</t>
  </si>
  <si>
    <t>Weibo Corporation</t>
  </si>
  <si>
    <t>Walgreens Boots Alliance, Inc.</t>
  </si>
  <si>
    <t>Wells Fargo &amp; Company</t>
  </si>
  <si>
    <t>Walmart Inc.</t>
  </si>
  <si>
    <t>United States Steel Corporation</t>
  </si>
  <si>
    <t>Exxon Mobil Corporation</t>
  </si>
  <si>
    <t>XP Inc.</t>
  </si>
  <si>
    <t>Xerox Holdings Corporation</t>
  </si>
  <si>
    <t>Yelp Inc.</t>
  </si>
  <si>
    <t>JOYY Inc.</t>
  </si>
  <si>
    <t>YZCAY</t>
  </si>
  <si>
    <t>YANKUANG ENERGY GROUP COMPANY L</t>
  </si>
  <si>
    <t>Zoom Video Communications, Inc.</t>
  </si>
  <si>
    <t>ARK Innovation ETF</t>
  </si>
  <si>
    <t>SPDR Dow Jones Industrial Avera</t>
  </si>
  <si>
    <t>iShares Russell 2000 ETF</t>
  </si>
  <si>
    <t>iShares MSCI Emerging Index Fun</t>
  </si>
  <si>
    <t>iShares Inc iShares MSCI Brazil</t>
  </si>
  <si>
    <t>Invesco QQQ Trust, Series 1</t>
  </si>
  <si>
    <t>SPDR S&amp;P 500</t>
  </si>
  <si>
    <t>SPDR Select Sector Fund - Energ</t>
  </si>
  <si>
    <t>SPDR Select Sector Fund - Finan</t>
  </si>
  <si>
    <t>AUY</t>
  </si>
  <si>
    <t>BAS</t>
  </si>
  <si>
    <t>15013</t>
  </si>
  <si>
    <t>BSN</t>
  </si>
  <si>
    <t>CAJ</t>
  </si>
  <si>
    <t>Caterpillar, Inc.</t>
  </si>
  <si>
    <t>CS</t>
  </si>
  <si>
    <t>DTEA</t>
  </si>
  <si>
    <t>HNPIY</t>
  </si>
  <si>
    <t>LFCHY</t>
  </si>
  <si>
    <t>MBG</t>
  </si>
  <si>
    <t>SPDR Bloomberg Barclays Mortgag</t>
  </si>
  <si>
    <t>MBT</t>
  </si>
  <si>
    <t>NLM</t>
  </si>
  <si>
    <t>923702</t>
  </si>
  <si>
    <t>PTRCY</t>
  </si>
  <si>
    <t>SI</t>
  </si>
  <si>
    <t>TTM</t>
  </si>
  <si>
    <t>LKOD</t>
  </si>
  <si>
    <t>NSAN</t>
  </si>
  <si>
    <t>OGZD</t>
  </si>
  <si>
    <t>TEFO</t>
  </si>
  <si>
    <t>EOAN</t>
  </si>
  <si>
    <t>ATAD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</si>
</sst>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[$USD]\ #,##0.00"/>
    <numFmt numFmtId="169" formatCode="[$USD]\ #,##0"/>
    <numFmt numFmtId="170" formatCode="0\ &quot;V.N.&quot;"/>
    <numFmt numFmtId="171" formatCode="0.00000000000000%"/>
    <numFmt numFmtId="172" formatCode="[$USD]\ #,##0.00_);\([$USD]\ #,##0.00\)"/>
    <numFmt numFmtId="173" formatCode="[$-409]d\-mmm;@"/>
    <numFmt numFmtId="174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4"/>
      <color rgb="FF079A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79A7D"/>
      </bottom>
      <diagonal/>
    </border>
    <border>
      <left/>
      <right/>
      <top/>
      <bottom style="thin">
        <color rgb="FF079A7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44" fontId="0" fillId="0" borderId="0" xfId="2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3" applyNumberFormat="1" applyFont="1" applyAlignment="1">
      <alignment horizontal="left"/>
    </xf>
    <xf numFmtId="10" fontId="0" fillId="0" borderId="0" xfId="3" applyNumberFormat="1" applyFont="1"/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2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0" fontId="4" fillId="5" borderId="0" xfId="0" applyFont="1" applyFill="1"/>
    <xf numFmtId="168" fontId="0" fillId="4" borderId="0" xfId="0" applyNumberForma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9" fontId="0" fillId="4" borderId="0" xfId="0" applyNumberFormat="1" applyFill="1"/>
    <xf numFmtId="10" fontId="0" fillId="4" borderId="0" xfId="3" applyNumberFormat="1" applyFont="1" applyFill="1"/>
    <xf numFmtId="171" fontId="0" fillId="0" borderId="0" xfId="0" applyNumberFormat="1"/>
    <xf numFmtId="0" fontId="0" fillId="3" borderId="2" xfId="0" applyFill="1" applyBorder="1" applyAlignment="1">
      <alignment vertical="center"/>
    </xf>
    <xf numFmtId="172" fontId="0" fillId="0" borderId="0" xfId="2" applyNumberFormat="1" applyFont="1"/>
    <xf numFmtId="167" fontId="0" fillId="0" borderId="0" xfId="3" applyNumberFormat="1" applyFont="1" applyAlignment="1">
      <alignment horizontal="center"/>
    </xf>
    <xf numFmtId="167" fontId="0" fillId="0" borderId="0" xfId="0" applyNumberFormat="1"/>
    <xf numFmtId="167" fontId="0" fillId="0" borderId="0" xfId="2" applyNumberFormat="1" applyFont="1"/>
    <xf numFmtId="167" fontId="0" fillId="0" borderId="0" xfId="3" applyNumberFormat="1" applyFont="1"/>
    <xf numFmtId="0" fontId="0" fillId="0" borderId="0" xfId="1" applyNumberFormat="1" applyFont="1"/>
    <xf numFmtId="0" fontId="5" fillId="0" borderId="0" xfId="0" applyFont="1"/>
    <xf numFmtId="0" fontId="0" fillId="0" borderId="3" xfId="0" applyBorder="1"/>
    <xf numFmtId="0" fontId="6" fillId="0" borderId="0" xfId="0" applyFont="1" applyAlignment="1">
      <alignment horizontal="right" vertical="center"/>
    </xf>
    <xf numFmtId="164" fontId="7" fillId="0" borderId="0" xfId="2" applyNumberFormat="1" applyFont="1" applyBorder="1"/>
    <xf numFmtId="173" fontId="0" fillId="0" borderId="0" xfId="0" applyNumberFormat="1"/>
    <xf numFmtId="0" fontId="0" fillId="6" borderId="0" xfId="0" applyFill="1"/>
    <xf numFmtId="173" fontId="0" fillId="0" borderId="4" xfId="0" applyNumberFormat="1" applyBorder="1"/>
    <xf numFmtId="0" fontId="0" fillId="0" borderId="4" xfId="0" applyBorder="1"/>
    <xf numFmtId="44" fontId="0" fillId="0" borderId="4" xfId="2" applyFont="1" applyBorder="1"/>
    <xf numFmtId="165" fontId="0" fillId="0" borderId="4" xfId="2" applyNumberFormat="1" applyFont="1" applyBorder="1"/>
    <xf numFmtId="168" fontId="0" fillId="0" borderId="4" xfId="0" applyNumberFormat="1" applyBorder="1"/>
    <xf numFmtId="44" fontId="0" fillId="0" borderId="0" xfId="2" applyFont="1" applyBorder="1"/>
    <xf numFmtId="174" fontId="0" fillId="0" borderId="0" xfId="0" applyNumberFormat="1"/>
    <xf numFmtId="174" fontId="0" fillId="0" borderId="4" xfId="0" applyNumberFormat="1" applyBorder="1"/>
    <xf numFmtId="0" fontId="0" fillId="3" borderId="2" xfId="0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numFmt numFmtId="0" formatCode="General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numFmt numFmtId="172" formatCode="[$USD]\ #,##0.00_);\([$USD]\ #,##0.00\)"/>
    </dxf>
    <dxf>
      <numFmt numFmtId="172" formatCode="[$USD]\ #,##0.00_);\([$USD]\ #,##0.00\)"/>
    </dxf>
    <dxf>
      <numFmt numFmtId="172" formatCode="[$USD]\ #,##0.00_);\([$USD]\ #,##0.00\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79A7D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C096D3-0DE4-4285-8E91-BC336AD69BF9}" autoFormatId="16" applyNumberFormats="0" applyBorderFormats="0" applyFontFormats="0" applyPatternFormats="0" applyAlignmentFormats="0" applyWidthHeightFormats="0">
  <queryTableRefresh nextId="21" unboundColumnsRight="5">
    <queryTableFields count="20">
      <queryTableField id="1" name="base_symbol" tableColumnId="1"/>
      <queryTableField id="2" name="shortName" tableColumnId="2"/>
      <queryTableField id="3" name="open_BA" tableColumnId="3"/>
      <queryTableField id="4" name="bid_BA" tableColumnId="4"/>
      <queryTableField id="5" name="ask_BA" tableColumnId="5"/>
      <queryTableField id="6" name="open_D_BA" tableColumnId="6"/>
      <queryTableField id="7" name="bid_D_BA" tableColumnId="7"/>
      <queryTableField id="8" name="ask_D_BA" tableColumnId="8"/>
      <queryTableField id="9" name="volume_BA" tableColumnId="9"/>
      <queryTableField id="19" dataBound="0" tableColumnId="19"/>
      <queryTableField id="10" name="volume_D_BA" tableColumnId="10"/>
      <queryTableField id="20" dataBound="0" tableColumnId="20"/>
      <queryTableField id="11" name="MEP" tableColumnId="11"/>
      <queryTableField id="12" name="MEP_compra_ARS" tableColumnId="12"/>
      <queryTableField id="13" name="MEP_compra_USD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DBB61-1901-4454-A880-E909C4DDC6A0}" name="df_mep" displayName="df_mep" ref="A1:T296" tableType="queryTable" totalsRowShown="0">
  <autoFilter ref="A1:T296" xr:uid="{8B8DBB61-1901-4454-A880-E909C4DDC6A0}">
    <filterColumn colId="17">
      <filters>
        <filter val="1"/>
      </filters>
    </filterColumn>
  </autoFilter>
  <sortState xmlns:xlrd2="http://schemas.microsoft.com/office/spreadsheetml/2017/richdata2" ref="A160:T213">
    <sortCondition descending="1" ref="P1:P296"/>
  </sortState>
  <tableColumns count="20">
    <tableColumn id="1" xr3:uid="{A25F7CF4-0962-4BFF-82D4-B91C2C7964B0}" uniqueName="1" name="base_symbol" queryTableFieldId="1" dataDxfId="19"/>
    <tableColumn id="2" xr3:uid="{680E661D-B33C-43EC-A2F8-7DE2B25AB53D}" uniqueName="2" name="shortName" queryTableFieldId="2" dataDxfId="18"/>
    <tableColumn id="3" xr3:uid="{83E401EF-CA38-4C5C-A9FF-962A36DD3FD5}" uniqueName="3" name="open_BA" queryTableFieldId="3" dataDxfId="17" dataCellStyle="Currency"/>
    <tableColumn id="4" xr3:uid="{58FF5E4C-2C08-47E3-A3C6-F1F101C404FA}" uniqueName="4" name="bid_BA" queryTableFieldId="4" dataDxfId="16" dataCellStyle="Currency"/>
    <tableColumn id="5" xr3:uid="{2BC89932-DE3B-475E-A284-3F70D0307103}" uniqueName="5" name="ask_BA" queryTableFieldId="5" dataDxfId="15" dataCellStyle="Currency"/>
    <tableColumn id="6" xr3:uid="{C7E85038-7B79-484C-9C34-12FE33F87403}" uniqueName="6" name="open_D_BA" queryTableFieldId="6" dataDxfId="14" dataCellStyle="Currency"/>
    <tableColumn id="7" xr3:uid="{1BCD4DAD-C727-4ABA-9ED9-1880E097BB57}" uniqueName="7" name="bid_D_BA" queryTableFieldId="7" dataDxfId="13" dataCellStyle="Currency"/>
    <tableColumn id="8" xr3:uid="{1AFA65CA-9519-4DE8-AF77-03A5843F185D}" uniqueName="8" name="ask_D_BA" queryTableFieldId="8" dataDxfId="12" dataCellStyle="Currency"/>
    <tableColumn id="9" xr3:uid="{66E9ABB2-EA57-4EE9-8D86-ECB6893B2BE6}" uniqueName="9" name="volume_BA" queryTableFieldId="9" dataDxfId="11" dataCellStyle="Comma"/>
    <tableColumn id="19" xr3:uid="{54034E5B-3B98-4682-95E7-881F79CC0721}" uniqueName="19" name="volume_money_BA" queryTableFieldId="19" dataDxfId="10" dataCellStyle="Comma">
      <calculatedColumnFormula>df_mep[[#This Row],[volume_BA]]*df_mep[[#This Row],[open_BA]]</calculatedColumnFormula>
    </tableColumn>
    <tableColumn id="10" xr3:uid="{AC67D152-9878-45CA-BDE7-D61094A9B9B6}" uniqueName="10" name="volume_D_BA" queryTableFieldId="10" dataDxfId="9" dataCellStyle="Comma"/>
    <tableColumn id="20" xr3:uid="{96073C08-0EF1-4741-887D-5EB2E64F0745}" uniqueName="20" name="volume_money_D_BA" queryTableFieldId="20" dataDxfId="8" dataCellStyle="Comma">
      <calculatedColumnFormula>df_mep[[#This Row],[volume_D_BA]]*df_mep[[#This Row],[open_D_BA]]</calculatedColumnFormula>
    </tableColumn>
    <tableColumn id="11" xr3:uid="{772FC475-4993-4BE3-A46F-835573978718}" uniqueName="11" name="MEP" queryTableFieldId="11" dataDxfId="7" dataCellStyle="Currency"/>
    <tableColumn id="12" xr3:uid="{FA5F905C-A15F-4321-A8CF-7611E34DC901}" uniqueName="12" name="MEP_compra_ARS" queryTableFieldId="12" dataDxfId="6" dataCellStyle="Currency"/>
    <tableColumn id="13" xr3:uid="{02E967CE-14A3-4DCC-A8FC-C96602FC94EB}" uniqueName="13" name="MEP_compra_USD" queryTableFieldId="13" dataDxfId="5" dataCellStyle="Currency"/>
    <tableColumn id="14" xr3:uid="{8F3D5C7E-785E-4708-BA07-68F6B125963A}" uniqueName="14" name="conviene entrar ARS" queryTableFieldId="14" dataDxfId="4" dataCellStyle="Currency">
      <calculatedColumnFormula>MIN(1-df_mep[[#This Row],[MEP_compra_ARS]]/MEDIAN(N:N),100%)</calculatedColumnFormula>
    </tableColumn>
    <tableColumn id="15" xr3:uid="{CBDF9D36-294C-4D8E-B718-EDB9C5ACCA35}" uniqueName="15" name="conviene entrar USD" queryTableFieldId="15" dataDxfId="3" dataCellStyle="Percent">
      <calculatedColumnFormula>df_mep[[#This Row],[MEP_compra_USD]]/MEDIAN(O:O)-1</calculatedColumnFormula>
    </tableColumn>
    <tableColumn id="16" xr3:uid="{65B5EC3D-FDD4-43A5-ABBE-2380967338C3}" uniqueName="16" name="can_use" queryTableFieldId="16" dataDxfId="0" dataCellStyle="Comma">
      <calculatedColumnFormula>IF(AND(
df_mep[[#This Row],[volume_money_BA]]&gt;80000,
df_mep[[#This Row],[volume_money_D_BA]]&gt;2000,
ABS(df_mep[[#This Row],[conviene entrar ARS]])&lt;0.5,
ABS(df_mep[[#This Row],[conviene entrar USD]])&lt;0.5
),1,0)</calculatedColumnFormula>
    </tableColumn>
    <tableColumn id="17" xr3:uid="{03826CDE-0CE1-42B5-9293-C08A7C53A520}" uniqueName="17" name="spread ars" queryTableFieldId="17" dataDxfId="2" dataCellStyle="Percent">
      <calculatedColumnFormula>ABS(df_mep[[#This Row],[bid_BA]]-df_mep[[#This Row],[ask_BA]])/AVERAGE(df_mep[[#This Row],[bid_BA]:[ask_BA]])</calculatedColumnFormula>
    </tableColumn>
    <tableColumn id="18" xr3:uid="{18B17EEB-3F12-49CE-A610-89F304C2E904}" uniqueName="18" name="spread USD" queryTableFieldId="18" dataDxfId="1">
      <calculatedColumnFormula>ABS(df_mep[[#This Row],[bid_D_BA]]-df_mep[[#This Row],[ask_D_BA]])/AVERAGE(df_mep[[#This Row],[bid_D_BA]:[ask_D_BA]])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0FED-9204-44C6-AC20-83C7AE85F5CC}">
  <dimension ref="A1:T296"/>
  <sheetViews>
    <sheetView tabSelected="1" zoomScale="67" workbookViewId="0">
      <pane xSplit="1" ySplit="1" topLeftCell="B160" activePane="bottomRight" state="frozen"/>
      <selection pane="topRight" activeCell="B1" sqref="B1"/>
      <selection pane="bottomLeft" activeCell="A2" sqref="A2"/>
      <selection pane="bottomRight" activeCell="A163" sqref="A163:XFD163"/>
    </sheetView>
  </sheetViews>
  <sheetFormatPr defaultRowHeight="14.5" x14ac:dyDescent="0.35"/>
  <cols>
    <col min="1" max="2" width="12.1796875" bestFit="1" customWidth="1"/>
    <col min="3" max="3" width="11.90625" style="4" bestFit="1" customWidth="1"/>
    <col min="4" max="4" width="10.36328125" style="4" bestFit="1" customWidth="1"/>
    <col min="5" max="5" width="10.453125" style="4" bestFit="1" customWidth="1"/>
    <col min="6" max="8" width="12.1796875" style="34" bestFit="1" customWidth="1"/>
    <col min="9" max="9" width="13.81640625" style="5" bestFit="1" customWidth="1"/>
    <col min="10" max="10" width="20.7265625" style="5" bestFit="1" customWidth="1"/>
    <col min="11" max="11" width="16.1796875" style="5" bestFit="1" customWidth="1"/>
    <col min="12" max="12" width="23" style="5" bestFit="1" customWidth="1"/>
    <col min="13" max="13" width="9.1796875" style="3" bestFit="1" customWidth="1"/>
    <col min="14" max="15" width="12.1796875" style="3" bestFit="1" customWidth="1"/>
    <col min="16" max="17" width="12.1796875" style="36" bestFit="1" customWidth="1"/>
    <col min="18" max="18" width="10" style="39" bestFit="1" customWidth="1"/>
    <col min="19" max="19" width="11.81640625" style="38" bestFit="1" customWidth="1"/>
    <col min="20" max="20" width="12.1796875" bestFit="1" customWidth="1"/>
  </cols>
  <sheetData>
    <row r="1" spans="1:20" x14ac:dyDescent="0.35">
      <c r="A1" t="s">
        <v>0</v>
      </c>
      <c r="B1" t="s">
        <v>1</v>
      </c>
      <c r="C1" s="4" t="s">
        <v>79</v>
      </c>
      <c r="D1" s="4" t="s">
        <v>80</v>
      </c>
      <c r="E1" s="4" t="s">
        <v>81</v>
      </c>
      <c r="F1" s="34" t="s">
        <v>82</v>
      </c>
      <c r="G1" s="34" t="s">
        <v>83</v>
      </c>
      <c r="H1" s="34" t="s">
        <v>84</v>
      </c>
      <c r="I1" s="5" t="s">
        <v>85</v>
      </c>
      <c r="J1" s="5" t="s">
        <v>317</v>
      </c>
      <c r="K1" s="5" t="s">
        <v>86</v>
      </c>
      <c r="L1" s="5" t="s">
        <v>318</v>
      </c>
      <c r="M1" s="3" t="s">
        <v>6</v>
      </c>
      <c r="N1" s="3" t="s">
        <v>7</v>
      </c>
      <c r="O1" s="3" t="s">
        <v>8</v>
      </c>
      <c r="P1" s="35" t="s">
        <v>167</v>
      </c>
      <c r="Q1" s="35" t="s">
        <v>168</v>
      </c>
      <c r="R1" s="39" t="s">
        <v>169</v>
      </c>
      <c r="S1" s="38" t="s">
        <v>312</v>
      </c>
      <c r="T1" s="38" t="s">
        <v>313</v>
      </c>
    </row>
    <row r="2" spans="1:20" hidden="1" x14ac:dyDescent="0.35">
      <c r="A2" t="s">
        <v>206</v>
      </c>
      <c r="B2" t="s">
        <v>338</v>
      </c>
      <c r="C2" s="4">
        <v>37000</v>
      </c>
      <c r="D2" s="4">
        <v>35510</v>
      </c>
      <c r="E2" s="4">
        <v>37000</v>
      </c>
      <c r="I2" s="5">
        <v>3</v>
      </c>
      <c r="J2" s="5">
        <f>df_mep[[#This Row],[volume_BA]]*df_mep[[#This Row],[open_BA]]</f>
        <v>111000</v>
      </c>
      <c r="L2" s="5">
        <f>df_mep[[#This Row],[volume_D_BA]]*df_mep[[#This Row],[open_D_BA]]</f>
        <v>0</v>
      </c>
      <c r="P2" s="37">
        <f>MIN(1-df_mep[[#This Row],[MEP_compra_ARS]]/MEDIAN(N:N),100%)</f>
        <v>1</v>
      </c>
      <c r="Q2" s="38">
        <f>df_mep[[#This Row],[MEP_compra_USD]]/MEDIAN(O:O)-1</f>
        <v>-1</v>
      </c>
      <c r="R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" s="38">
        <f>ABS(df_mep[[#This Row],[bid_BA]]-df_mep[[#This Row],[ask_BA]])/AVERAGE(df_mep[[#This Row],[bid_BA]:[ask_BA]])</f>
        <v>4.1097779616604609E-2</v>
      </c>
      <c r="T2" s="38" t="e">
        <f>ABS(df_mep[[#This Row],[bid_D_BA]]-df_mep[[#This Row],[ask_D_BA]])/AVERAGE(df_mep[[#This Row],[bid_D_BA]:[ask_D_BA]])</f>
        <v>#DIV/0!</v>
      </c>
    </row>
    <row r="3" spans="1:20" hidden="1" x14ac:dyDescent="0.35">
      <c r="A3" t="s">
        <v>339</v>
      </c>
      <c r="B3" t="s">
        <v>340</v>
      </c>
      <c r="C3" s="4">
        <v>4332</v>
      </c>
      <c r="D3" s="4">
        <v>4312.5</v>
      </c>
      <c r="E3" s="4">
        <v>4641</v>
      </c>
      <c r="I3" s="5">
        <v>4</v>
      </c>
      <c r="J3" s="5">
        <f>df_mep[[#This Row],[volume_BA]]*df_mep[[#This Row],[open_BA]]</f>
        <v>17328</v>
      </c>
      <c r="L3" s="5">
        <f>df_mep[[#This Row],[volume_D_BA]]*df_mep[[#This Row],[open_D_BA]]</f>
        <v>0</v>
      </c>
      <c r="P3" s="37">
        <f>MIN(1-df_mep[[#This Row],[MEP_compra_ARS]]/MEDIAN(N:N),100%)</f>
        <v>1</v>
      </c>
      <c r="Q3" s="38">
        <f>df_mep[[#This Row],[MEP_compra_USD]]/MEDIAN(O:O)-1</f>
        <v>-1</v>
      </c>
      <c r="R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" s="38">
        <f>ABS(df_mep[[#This Row],[bid_BA]]-df_mep[[#This Row],[ask_BA]])/AVERAGE(df_mep[[#This Row],[bid_BA]:[ask_BA]])</f>
        <v>7.3379125481655219E-2</v>
      </c>
      <c r="T3" s="36" t="e">
        <f>ABS(df_mep[[#This Row],[bid_D_BA]]-df_mep[[#This Row],[ask_D_BA]])/AVERAGE(df_mep[[#This Row],[bid_D_BA]:[ask_D_BA]])</f>
        <v>#DIV/0!</v>
      </c>
    </row>
    <row r="4" spans="1:20" hidden="1" x14ac:dyDescent="0.35">
      <c r="A4" t="s">
        <v>208</v>
      </c>
      <c r="B4" t="s">
        <v>341</v>
      </c>
      <c r="C4" s="4">
        <v>13533.5</v>
      </c>
      <c r="D4" s="4">
        <v>13649</v>
      </c>
      <c r="E4" s="4">
        <v>13690</v>
      </c>
      <c r="I4" s="5">
        <v>4003</v>
      </c>
      <c r="J4" s="5">
        <f>df_mep[[#This Row],[volume_BA]]*df_mep[[#This Row],[open_BA]]</f>
        <v>54174600.5</v>
      </c>
      <c r="L4" s="5">
        <f>df_mep[[#This Row],[volume_D_BA]]*df_mep[[#This Row],[open_D_BA]]</f>
        <v>0</v>
      </c>
      <c r="P4" s="37">
        <f>MIN(1-df_mep[[#This Row],[MEP_compra_ARS]]/MEDIAN(N:N),100%)</f>
        <v>1</v>
      </c>
      <c r="Q4" s="38">
        <f>df_mep[[#This Row],[MEP_compra_USD]]/MEDIAN(O:O)-1</f>
        <v>-1</v>
      </c>
      <c r="R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" s="38">
        <f>ABS(df_mep[[#This Row],[bid_BA]]-df_mep[[#This Row],[ask_BA]])/AVERAGE(df_mep[[#This Row],[bid_BA]:[ask_BA]])</f>
        <v>2.999378177694868E-3</v>
      </c>
      <c r="T4" s="36" t="e">
        <f>ABS(df_mep[[#This Row],[bid_D_BA]]-df_mep[[#This Row],[ask_D_BA]])/AVERAGE(df_mep[[#This Row],[bid_D_BA]:[ask_D_BA]])</f>
        <v>#DIV/0!</v>
      </c>
    </row>
    <row r="5" spans="1:20" hidden="1" x14ac:dyDescent="0.35">
      <c r="A5" t="s">
        <v>342</v>
      </c>
      <c r="B5" t="s">
        <v>343</v>
      </c>
      <c r="C5" s="4">
        <v>227.5</v>
      </c>
      <c r="D5" s="4">
        <v>226.5</v>
      </c>
      <c r="E5" s="4">
        <v>226.75</v>
      </c>
      <c r="I5" s="5">
        <v>219681</v>
      </c>
      <c r="J5" s="5">
        <f>df_mep[[#This Row],[volume_BA]]*df_mep[[#This Row],[open_BA]]</f>
        <v>49977427.5</v>
      </c>
      <c r="L5" s="5">
        <f>df_mep[[#This Row],[volume_D_BA]]*df_mep[[#This Row],[open_D_BA]]</f>
        <v>0</v>
      </c>
      <c r="P5" s="37">
        <f>MIN(1-df_mep[[#This Row],[MEP_compra_ARS]]/MEDIAN(N:N),100%)</f>
        <v>1</v>
      </c>
      <c r="Q5" s="38">
        <f>df_mep[[#This Row],[MEP_compra_USD]]/MEDIAN(O:O)-1</f>
        <v>-1</v>
      </c>
      <c r="R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" s="38">
        <f>ABS(df_mep[[#This Row],[bid_BA]]-df_mep[[#This Row],[ask_BA]])/AVERAGE(df_mep[[#This Row],[bid_BA]:[ask_BA]])</f>
        <v>1.1031439602868175E-3</v>
      </c>
      <c r="T5" s="36" t="e">
        <f>ABS(df_mep[[#This Row],[bid_D_BA]]-df_mep[[#This Row],[ask_D_BA]])/AVERAGE(df_mep[[#This Row],[bid_D_BA]:[ask_D_BA]])</f>
        <v>#DIV/0!</v>
      </c>
    </row>
    <row r="6" spans="1:20" hidden="1" x14ac:dyDescent="0.35">
      <c r="A6" t="s">
        <v>209</v>
      </c>
      <c r="B6" t="s">
        <v>344</v>
      </c>
      <c r="C6" s="4">
        <v>10755</v>
      </c>
      <c r="D6" s="4">
        <v>11500</v>
      </c>
      <c r="E6" s="4">
        <v>12999</v>
      </c>
      <c r="F6" s="34">
        <v>0</v>
      </c>
      <c r="G6" s="34">
        <v>0</v>
      </c>
      <c r="H6" s="34">
        <v>0</v>
      </c>
      <c r="I6" s="5">
        <v>55</v>
      </c>
      <c r="J6" s="5">
        <f>df_mep[[#This Row],[volume_BA]]*df_mep[[#This Row],[open_BA]]</f>
        <v>591525</v>
      </c>
      <c r="K6" s="5">
        <v>0</v>
      </c>
      <c r="L6" s="5">
        <f>df_mep[[#This Row],[volume_D_BA]]*df_mep[[#This Row],[open_D_BA]]</f>
        <v>0</v>
      </c>
      <c r="P6" s="37">
        <f>MIN(1-df_mep[[#This Row],[MEP_compra_ARS]]/MEDIAN(N:N),100%)</f>
        <v>1</v>
      </c>
      <c r="Q6" s="38">
        <f>df_mep[[#This Row],[MEP_compra_USD]]/MEDIAN(O:O)-1</f>
        <v>-1</v>
      </c>
      <c r="R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" s="38">
        <f>ABS(df_mep[[#This Row],[bid_BA]]-df_mep[[#This Row],[ask_BA]])/AVERAGE(df_mep[[#This Row],[bid_BA]:[ask_BA]])</f>
        <v>0.1223723417282338</v>
      </c>
      <c r="T6" s="36" t="e">
        <f>ABS(df_mep[[#This Row],[bid_D_BA]]-df_mep[[#This Row],[ask_D_BA]])/AVERAGE(df_mep[[#This Row],[bid_D_BA]:[ask_D_BA]])</f>
        <v>#DIV/0!</v>
      </c>
    </row>
    <row r="7" spans="1:20" hidden="1" x14ac:dyDescent="0.35">
      <c r="A7" t="s">
        <v>210</v>
      </c>
      <c r="B7" t="s">
        <v>345</v>
      </c>
      <c r="C7" s="4">
        <v>26000</v>
      </c>
      <c r="D7" s="4">
        <v>23103</v>
      </c>
      <c r="E7" s="4">
        <v>26796</v>
      </c>
      <c r="F7" s="34">
        <v>0</v>
      </c>
      <c r="G7" s="34">
        <v>0</v>
      </c>
      <c r="H7" s="34">
        <v>0</v>
      </c>
      <c r="I7" s="5">
        <v>87</v>
      </c>
      <c r="J7" s="5">
        <f>df_mep[[#This Row],[volume_BA]]*df_mep[[#This Row],[open_BA]]</f>
        <v>2262000</v>
      </c>
      <c r="K7" s="5">
        <v>0</v>
      </c>
      <c r="L7" s="5">
        <f>df_mep[[#This Row],[volume_D_BA]]*df_mep[[#This Row],[open_D_BA]]</f>
        <v>0</v>
      </c>
      <c r="P7" s="37">
        <f>MIN(1-df_mep[[#This Row],[MEP_compra_ARS]]/MEDIAN(N:N),100%)</f>
        <v>1</v>
      </c>
      <c r="Q7" s="38">
        <f>df_mep[[#This Row],[MEP_compra_USD]]/MEDIAN(O:O)-1</f>
        <v>-1</v>
      </c>
      <c r="R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" s="38">
        <f>ABS(df_mep[[#This Row],[bid_BA]]-df_mep[[#This Row],[ask_BA]])/AVERAGE(df_mep[[#This Row],[bid_BA]:[ask_BA]])</f>
        <v>0.14801899837672097</v>
      </c>
      <c r="T7" s="36" t="e">
        <f>ABS(df_mep[[#This Row],[bid_D_BA]]-df_mep[[#This Row],[ask_D_BA]])/AVERAGE(df_mep[[#This Row],[bid_D_BA]:[ask_D_BA]])</f>
        <v>#DIV/0!</v>
      </c>
    </row>
    <row r="8" spans="1:20" hidden="1" x14ac:dyDescent="0.35">
      <c r="A8" t="s">
        <v>212</v>
      </c>
      <c r="B8" t="s">
        <v>348</v>
      </c>
      <c r="C8" s="4">
        <v>15395</v>
      </c>
      <c r="D8" s="4">
        <v>14701</v>
      </c>
      <c r="E8" s="4">
        <v>15370</v>
      </c>
      <c r="F8" s="34">
        <v>0</v>
      </c>
      <c r="G8" s="34">
        <v>0</v>
      </c>
      <c r="H8" s="34">
        <v>21.95</v>
      </c>
      <c r="I8" s="5">
        <v>30</v>
      </c>
      <c r="J8" s="5">
        <f>df_mep[[#This Row],[volume_BA]]*df_mep[[#This Row],[open_BA]]</f>
        <v>461850</v>
      </c>
      <c r="K8" s="5">
        <v>0</v>
      </c>
      <c r="L8" s="5">
        <f>df_mep[[#This Row],[volume_D_BA]]*df_mep[[#This Row],[open_D_BA]]</f>
        <v>0</v>
      </c>
      <c r="O8" s="3">
        <v>669.74943052391802</v>
      </c>
      <c r="P8" s="37">
        <f>MIN(1-df_mep[[#This Row],[MEP_compra_ARS]]/MEDIAN(N:N),100%)</f>
        <v>1</v>
      </c>
      <c r="Q8" s="38">
        <f>df_mep[[#This Row],[MEP_compra_USD]]/MEDIAN(O:O)-1</f>
        <v>-0.13811809939578901</v>
      </c>
      <c r="R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" s="38">
        <f>ABS(df_mep[[#This Row],[bid_BA]]-df_mep[[#This Row],[ask_BA]])/AVERAGE(df_mep[[#This Row],[bid_BA]:[ask_BA]])</f>
        <v>4.4494695886402182E-2</v>
      </c>
      <c r="T8" s="36">
        <f>ABS(df_mep[[#This Row],[bid_D_BA]]-df_mep[[#This Row],[ask_D_BA]])/AVERAGE(df_mep[[#This Row],[bid_D_BA]:[ask_D_BA]])</f>
        <v>2</v>
      </c>
    </row>
    <row r="9" spans="1:20" hidden="1" x14ac:dyDescent="0.35">
      <c r="A9" t="s">
        <v>213</v>
      </c>
      <c r="B9" t="s">
        <v>350</v>
      </c>
      <c r="C9" s="4">
        <v>51000</v>
      </c>
      <c r="D9" s="4">
        <v>48000</v>
      </c>
      <c r="E9" s="4">
        <v>53000</v>
      </c>
      <c r="I9" s="5">
        <v>41</v>
      </c>
      <c r="J9" s="5">
        <f>df_mep[[#This Row],[volume_BA]]*df_mep[[#This Row],[open_BA]]</f>
        <v>2091000</v>
      </c>
      <c r="L9" s="5">
        <f>df_mep[[#This Row],[volume_D_BA]]*df_mep[[#This Row],[open_D_BA]]</f>
        <v>0</v>
      </c>
      <c r="P9" s="37">
        <f>MIN(1-df_mep[[#This Row],[MEP_compra_ARS]]/MEDIAN(N:N),100%)</f>
        <v>1</v>
      </c>
      <c r="Q9" s="38">
        <f>df_mep[[#This Row],[MEP_compra_USD]]/MEDIAN(O:O)-1</f>
        <v>-1</v>
      </c>
      <c r="R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" s="38">
        <f>ABS(df_mep[[#This Row],[bid_BA]]-df_mep[[#This Row],[ask_BA]])/AVERAGE(df_mep[[#This Row],[bid_BA]:[ask_BA]])</f>
        <v>9.9009900990099015E-2</v>
      </c>
      <c r="T9" s="36" t="e">
        <f>ABS(df_mep[[#This Row],[bid_D_BA]]-df_mep[[#This Row],[ask_D_BA]])/AVERAGE(df_mep[[#This Row],[bid_D_BA]:[ask_D_BA]])</f>
        <v>#DIV/0!</v>
      </c>
    </row>
    <row r="10" spans="1:20" hidden="1" x14ac:dyDescent="0.35">
      <c r="A10" t="s">
        <v>96</v>
      </c>
      <c r="B10" t="s">
        <v>351</v>
      </c>
      <c r="C10" s="4">
        <v>15825</v>
      </c>
      <c r="D10" s="4">
        <v>16005.5</v>
      </c>
      <c r="E10" s="4">
        <v>16470</v>
      </c>
      <c r="F10" s="34">
        <v>0</v>
      </c>
      <c r="G10" s="34">
        <v>0</v>
      </c>
      <c r="H10" s="34">
        <v>0</v>
      </c>
      <c r="I10" s="5">
        <v>281</v>
      </c>
      <c r="J10" s="5">
        <f>df_mep[[#This Row],[volume_BA]]*df_mep[[#This Row],[open_BA]]</f>
        <v>4446825</v>
      </c>
      <c r="K10" s="5">
        <v>0</v>
      </c>
      <c r="L10" s="5">
        <f>df_mep[[#This Row],[volume_D_BA]]*df_mep[[#This Row],[open_D_BA]]</f>
        <v>0</v>
      </c>
      <c r="P10" s="37">
        <f>MIN(1-df_mep[[#This Row],[MEP_compra_ARS]]/MEDIAN(N:N),100%)</f>
        <v>1</v>
      </c>
      <c r="Q10" s="38">
        <f>df_mep[[#This Row],[MEP_compra_USD]]/MEDIAN(O:O)-1</f>
        <v>-1</v>
      </c>
      <c r="R1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" s="38">
        <f>ABS(df_mep[[#This Row],[bid_BA]]-df_mep[[#This Row],[ask_BA]])/AVERAGE(df_mep[[#This Row],[bid_BA]:[ask_BA]])</f>
        <v>2.8606180043417345E-2</v>
      </c>
      <c r="T10" s="36" t="e">
        <f>ABS(df_mep[[#This Row],[bid_D_BA]]-df_mep[[#This Row],[ask_D_BA]])/AVERAGE(df_mep[[#This Row],[bid_D_BA]:[ask_D_BA]])</f>
        <v>#DIV/0!</v>
      </c>
    </row>
    <row r="11" spans="1:20" hidden="1" x14ac:dyDescent="0.35">
      <c r="A11" t="s">
        <v>215</v>
      </c>
      <c r="B11" t="s">
        <v>352</v>
      </c>
      <c r="C11" s="4">
        <v>10600</v>
      </c>
      <c r="D11" s="4">
        <v>8001</v>
      </c>
      <c r="E11" s="4">
        <v>8211</v>
      </c>
      <c r="I11" s="5">
        <v>10</v>
      </c>
      <c r="J11" s="5">
        <f>df_mep[[#This Row],[volume_BA]]*df_mep[[#This Row],[open_BA]]</f>
        <v>106000</v>
      </c>
      <c r="L11" s="5">
        <f>df_mep[[#This Row],[volume_D_BA]]*df_mep[[#This Row],[open_D_BA]]</f>
        <v>0</v>
      </c>
      <c r="P11" s="37">
        <f>MIN(1-df_mep[[#This Row],[MEP_compra_ARS]]/MEDIAN(N:N),100%)</f>
        <v>1</v>
      </c>
      <c r="Q11" s="38">
        <f>df_mep[[#This Row],[MEP_compra_USD]]/MEDIAN(O:O)-1</f>
        <v>-1</v>
      </c>
      <c r="R1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" s="38">
        <f>ABS(df_mep[[#This Row],[bid_BA]]-df_mep[[#This Row],[ask_BA]])/AVERAGE(df_mep[[#This Row],[bid_BA]:[ask_BA]])</f>
        <v>2.5906735751295335E-2</v>
      </c>
      <c r="T11" s="36" t="e">
        <f>ABS(df_mep[[#This Row],[bid_D_BA]]-df_mep[[#This Row],[ask_D_BA]])/AVERAGE(df_mep[[#This Row],[bid_D_BA]:[ask_D_BA]])</f>
        <v>#DIV/0!</v>
      </c>
    </row>
    <row r="12" spans="1:20" hidden="1" x14ac:dyDescent="0.35">
      <c r="A12" t="s">
        <v>216</v>
      </c>
      <c r="B12" t="s">
        <v>353</v>
      </c>
      <c r="C12" s="4">
        <v>9395</v>
      </c>
      <c r="D12" s="4">
        <v>9560</v>
      </c>
      <c r="E12" s="4">
        <v>9475</v>
      </c>
      <c r="F12" s="34">
        <v>0</v>
      </c>
      <c r="G12" s="34">
        <v>0</v>
      </c>
      <c r="H12" s="34">
        <v>0</v>
      </c>
      <c r="I12" s="5">
        <v>30</v>
      </c>
      <c r="J12" s="5">
        <f>df_mep[[#This Row],[volume_BA]]*df_mep[[#This Row],[open_BA]]</f>
        <v>281850</v>
      </c>
      <c r="K12" s="5">
        <v>0</v>
      </c>
      <c r="L12" s="5">
        <f>df_mep[[#This Row],[volume_D_BA]]*df_mep[[#This Row],[open_D_BA]]</f>
        <v>0</v>
      </c>
      <c r="P12" s="37">
        <f>MIN(1-df_mep[[#This Row],[MEP_compra_ARS]]/MEDIAN(N:N),100%)</f>
        <v>1</v>
      </c>
      <c r="Q12" s="38">
        <f>df_mep[[#This Row],[MEP_compra_USD]]/MEDIAN(O:O)-1</f>
        <v>-1</v>
      </c>
      <c r="R1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" s="38">
        <f>ABS(df_mep[[#This Row],[bid_BA]]-df_mep[[#This Row],[ask_BA]])/AVERAGE(df_mep[[#This Row],[bid_BA]:[ask_BA]])</f>
        <v>8.9309167323351722E-3</v>
      </c>
      <c r="T12" s="36" t="e">
        <f>ABS(df_mep[[#This Row],[bid_D_BA]]-df_mep[[#This Row],[ask_D_BA]])/AVERAGE(df_mep[[#This Row],[bid_D_BA]:[ask_D_BA]])</f>
        <v>#DIV/0!</v>
      </c>
    </row>
    <row r="13" spans="1:20" hidden="1" x14ac:dyDescent="0.35">
      <c r="A13" t="s">
        <v>358</v>
      </c>
      <c r="B13" t="s">
        <v>359</v>
      </c>
      <c r="C13" s="4">
        <v>0</v>
      </c>
      <c r="D13" s="4">
        <v>33.549999999999997</v>
      </c>
      <c r="E13" s="4">
        <v>34.6</v>
      </c>
      <c r="I13" s="5">
        <v>0</v>
      </c>
      <c r="J13" s="5">
        <f>df_mep[[#This Row],[volume_BA]]*df_mep[[#This Row],[open_BA]]</f>
        <v>0</v>
      </c>
      <c r="L13" s="5">
        <f>df_mep[[#This Row],[volume_D_BA]]*df_mep[[#This Row],[open_D_BA]]</f>
        <v>0</v>
      </c>
      <c r="P13" s="37">
        <f>MIN(1-df_mep[[#This Row],[MEP_compra_ARS]]/MEDIAN(N:N),100%)</f>
        <v>1</v>
      </c>
      <c r="Q13" s="38">
        <f>df_mep[[#This Row],[MEP_compra_USD]]/MEDIAN(O:O)-1</f>
        <v>-1</v>
      </c>
      <c r="R1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" s="38">
        <f>ABS(df_mep[[#This Row],[bid_BA]]-df_mep[[#This Row],[ask_BA]])/AVERAGE(df_mep[[#This Row],[bid_BA]:[ask_BA]])</f>
        <v>3.0814380044020664E-2</v>
      </c>
      <c r="T13" s="36" t="e">
        <f>ABS(df_mep[[#This Row],[bid_D_BA]]-df_mep[[#This Row],[ask_D_BA]])/AVERAGE(df_mep[[#This Row],[bid_D_BA]:[ask_D_BA]])</f>
        <v>#DIV/0!</v>
      </c>
    </row>
    <row r="14" spans="1:20" hidden="1" x14ac:dyDescent="0.35">
      <c r="A14" t="s">
        <v>217</v>
      </c>
      <c r="B14" t="s">
        <v>360</v>
      </c>
      <c r="C14" s="4">
        <v>1270</v>
      </c>
      <c r="D14" s="4">
        <v>1216.5</v>
      </c>
      <c r="E14" s="4">
        <v>1279</v>
      </c>
      <c r="I14" s="5">
        <v>20267</v>
      </c>
      <c r="J14" s="5">
        <f>df_mep[[#This Row],[volume_BA]]*df_mep[[#This Row],[open_BA]]</f>
        <v>25739090</v>
      </c>
      <c r="L14" s="5">
        <f>df_mep[[#This Row],[volume_D_BA]]*df_mep[[#This Row],[open_D_BA]]</f>
        <v>0</v>
      </c>
      <c r="P14" s="37">
        <f>MIN(1-df_mep[[#This Row],[MEP_compra_ARS]]/MEDIAN(N:N),100%)</f>
        <v>1</v>
      </c>
      <c r="Q14" s="38">
        <f>df_mep[[#This Row],[MEP_compra_USD]]/MEDIAN(O:O)-1</f>
        <v>-1</v>
      </c>
      <c r="R1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" s="38">
        <f>ABS(df_mep[[#This Row],[bid_BA]]-df_mep[[#This Row],[ask_BA]])/AVERAGE(df_mep[[#This Row],[bid_BA]:[ask_BA]])</f>
        <v>5.0090162292125824E-2</v>
      </c>
      <c r="T14" s="36" t="e">
        <f>ABS(df_mep[[#This Row],[bid_D_BA]]-df_mep[[#This Row],[ask_D_BA]])/AVERAGE(df_mep[[#This Row],[bid_D_BA]:[ask_D_BA]])</f>
        <v>#DIV/0!</v>
      </c>
    </row>
    <row r="15" spans="1:20" hidden="1" x14ac:dyDescent="0.35">
      <c r="A15" t="s">
        <v>218</v>
      </c>
      <c r="B15" t="s">
        <v>363</v>
      </c>
      <c r="C15" s="4">
        <v>6578.5</v>
      </c>
      <c r="D15" s="4">
        <v>6500</v>
      </c>
      <c r="E15" s="4">
        <v>6825</v>
      </c>
      <c r="I15" s="5">
        <v>25</v>
      </c>
      <c r="J15" s="5">
        <f>df_mep[[#This Row],[volume_BA]]*df_mep[[#This Row],[open_BA]]</f>
        <v>164462.5</v>
      </c>
      <c r="L15" s="5">
        <f>df_mep[[#This Row],[volume_D_BA]]*df_mep[[#This Row],[open_D_BA]]</f>
        <v>0</v>
      </c>
      <c r="P15" s="37">
        <f>MIN(1-df_mep[[#This Row],[MEP_compra_ARS]]/MEDIAN(N:N),100%)</f>
        <v>1</v>
      </c>
      <c r="Q15" s="38">
        <f>df_mep[[#This Row],[MEP_compra_USD]]/MEDIAN(O:O)-1</f>
        <v>-1</v>
      </c>
      <c r="R1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" s="38">
        <f>ABS(df_mep[[#This Row],[bid_BA]]-df_mep[[#This Row],[ask_BA]])/AVERAGE(df_mep[[#This Row],[bid_BA]:[ask_BA]])</f>
        <v>4.878048780487805E-2</v>
      </c>
      <c r="T15" s="36" t="e">
        <f>ABS(df_mep[[#This Row],[bid_D_BA]]-df_mep[[#This Row],[ask_D_BA]])/AVERAGE(df_mep[[#This Row],[bid_D_BA]:[ask_D_BA]])</f>
        <v>#DIV/0!</v>
      </c>
    </row>
    <row r="16" spans="1:20" hidden="1" x14ac:dyDescent="0.35">
      <c r="A16" t="s">
        <v>364</v>
      </c>
      <c r="B16" t="s">
        <v>365</v>
      </c>
      <c r="J16" s="5">
        <f>df_mep[[#This Row],[volume_BA]]*df_mep[[#This Row],[open_BA]]</f>
        <v>0</v>
      </c>
      <c r="L16" s="5">
        <f>df_mep[[#This Row],[volume_D_BA]]*df_mep[[#This Row],[open_D_BA]]</f>
        <v>0</v>
      </c>
      <c r="P16" s="37">
        <f>MIN(1-df_mep[[#This Row],[MEP_compra_ARS]]/MEDIAN(N:N),100%)</f>
        <v>1</v>
      </c>
      <c r="Q16" s="38">
        <f>df_mep[[#This Row],[MEP_compra_USD]]/MEDIAN(O:O)-1</f>
        <v>-1</v>
      </c>
      <c r="R1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" s="38" t="e">
        <f>ABS(df_mep[[#This Row],[bid_BA]]-df_mep[[#This Row],[ask_BA]])/AVERAGE(df_mep[[#This Row],[bid_BA]:[ask_BA]])</f>
        <v>#DIV/0!</v>
      </c>
      <c r="T16" s="36" t="e">
        <f>ABS(df_mep[[#This Row],[bid_D_BA]]-df_mep[[#This Row],[ask_D_BA]])/AVERAGE(df_mep[[#This Row],[bid_D_BA]:[ask_D_BA]])</f>
        <v>#DIV/0!</v>
      </c>
    </row>
    <row r="17" spans="1:20" hidden="1" x14ac:dyDescent="0.35">
      <c r="A17" t="s">
        <v>219</v>
      </c>
      <c r="B17" t="s">
        <v>366</v>
      </c>
      <c r="C17" s="4">
        <v>25713</v>
      </c>
      <c r="D17" s="4">
        <v>24140</v>
      </c>
      <c r="E17" s="4">
        <v>25500</v>
      </c>
      <c r="I17" s="5">
        <v>55</v>
      </c>
      <c r="J17" s="5">
        <f>df_mep[[#This Row],[volume_BA]]*df_mep[[#This Row],[open_BA]]</f>
        <v>1414215</v>
      </c>
      <c r="L17" s="5">
        <f>df_mep[[#This Row],[volume_D_BA]]*df_mep[[#This Row],[open_D_BA]]</f>
        <v>0</v>
      </c>
      <c r="P17" s="37">
        <f>MIN(1-df_mep[[#This Row],[MEP_compra_ARS]]/MEDIAN(N:N),100%)</f>
        <v>1</v>
      </c>
      <c r="Q17" s="38">
        <f>df_mep[[#This Row],[MEP_compra_USD]]/MEDIAN(O:O)-1</f>
        <v>-1</v>
      </c>
      <c r="R1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" s="38">
        <f>ABS(df_mep[[#This Row],[bid_BA]]-df_mep[[#This Row],[ask_BA]])/AVERAGE(df_mep[[#This Row],[bid_BA]:[ask_BA]])</f>
        <v>5.4794520547945202E-2</v>
      </c>
      <c r="T17" s="36" t="e">
        <f>ABS(df_mep[[#This Row],[bid_D_BA]]-df_mep[[#This Row],[ask_D_BA]])/AVERAGE(df_mep[[#This Row],[bid_D_BA]:[ask_D_BA]])</f>
        <v>#DIV/0!</v>
      </c>
    </row>
    <row r="18" spans="1:20" hidden="1" x14ac:dyDescent="0.35">
      <c r="A18" t="s">
        <v>220</v>
      </c>
      <c r="B18" t="s">
        <v>368</v>
      </c>
      <c r="C18" s="4">
        <v>17931</v>
      </c>
      <c r="D18" s="4">
        <v>17099</v>
      </c>
      <c r="E18" s="4">
        <v>17928.5</v>
      </c>
      <c r="F18" s="34">
        <v>0</v>
      </c>
      <c r="G18" s="34">
        <v>0</v>
      </c>
      <c r="H18" s="34">
        <v>25.7</v>
      </c>
      <c r="I18" s="5">
        <v>98</v>
      </c>
      <c r="J18" s="5">
        <f>df_mep[[#This Row],[volume_BA]]*df_mep[[#This Row],[open_BA]]</f>
        <v>1757238</v>
      </c>
      <c r="K18" s="5">
        <v>0</v>
      </c>
      <c r="L18" s="5">
        <f>df_mep[[#This Row],[volume_D_BA]]*df_mep[[#This Row],[open_D_BA]]</f>
        <v>0</v>
      </c>
      <c r="O18" s="3">
        <v>665.33073929961097</v>
      </c>
      <c r="P18" s="37">
        <f>MIN(1-df_mep[[#This Row],[MEP_compra_ARS]]/MEDIAN(N:N),100%)</f>
        <v>1</v>
      </c>
      <c r="Q18" s="38">
        <f>df_mep[[#This Row],[MEP_compra_USD]]/MEDIAN(O:O)-1</f>
        <v>-0.14380439014427049</v>
      </c>
      <c r="R1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" s="38">
        <f>ABS(df_mep[[#This Row],[bid_BA]]-df_mep[[#This Row],[ask_BA]])/AVERAGE(df_mep[[#This Row],[bid_BA]:[ask_BA]])</f>
        <v>4.7362786382128326E-2</v>
      </c>
      <c r="T18" s="36">
        <f>ABS(df_mep[[#This Row],[bid_D_BA]]-df_mep[[#This Row],[ask_D_BA]])/AVERAGE(df_mep[[#This Row],[bid_D_BA]:[ask_D_BA]])</f>
        <v>2</v>
      </c>
    </row>
    <row r="19" spans="1:20" hidden="1" x14ac:dyDescent="0.35">
      <c r="A19" t="s">
        <v>221</v>
      </c>
      <c r="B19" t="s">
        <v>370</v>
      </c>
      <c r="C19" s="4">
        <v>18600</v>
      </c>
      <c r="D19" s="4">
        <v>16000</v>
      </c>
      <c r="E19" s="4">
        <v>18642.5</v>
      </c>
      <c r="I19" s="5">
        <v>34</v>
      </c>
      <c r="J19" s="5">
        <f>df_mep[[#This Row],[volume_BA]]*df_mep[[#This Row],[open_BA]]</f>
        <v>632400</v>
      </c>
      <c r="L19" s="5">
        <f>df_mep[[#This Row],[volume_D_BA]]*df_mep[[#This Row],[open_D_BA]]</f>
        <v>0</v>
      </c>
      <c r="P19" s="37">
        <f>MIN(1-df_mep[[#This Row],[MEP_compra_ARS]]/MEDIAN(N:N),100%)</f>
        <v>1</v>
      </c>
      <c r="Q19" s="38">
        <f>df_mep[[#This Row],[MEP_compra_USD]]/MEDIAN(O:O)-1</f>
        <v>-1</v>
      </c>
      <c r="R1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" s="38">
        <f>ABS(df_mep[[#This Row],[bid_BA]]-df_mep[[#This Row],[ask_BA]])/AVERAGE(df_mep[[#This Row],[bid_BA]:[ask_BA]])</f>
        <v>0.15255827379663708</v>
      </c>
      <c r="T19" s="36" t="e">
        <f>ABS(df_mep[[#This Row],[bid_D_BA]]-df_mep[[#This Row],[ask_D_BA]])/AVERAGE(df_mep[[#This Row],[bid_D_BA]:[ask_D_BA]])</f>
        <v>#DIV/0!</v>
      </c>
    </row>
    <row r="20" spans="1:20" hidden="1" x14ac:dyDescent="0.35">
      <c r="A20" t="s">
        <v>222</v>
      </c>
      <c r="B20" t="s">
        <v>371</v>
      </c>
      <c r="C20" s="4">
        <v>17000</v>
      </c>
      <c r="D20" s="4">
        <v>16701</v>
      </c>
      <c r="E20" s="4">
        <v>16749.5</v>
      </c>
      <c r="I20" s="5">
        <v>53</v>
      </c>
      <c r="J20" s="5">
        <f>df_mep[[#This Row],[volume_BA]]*df_mep[[#This Row],[open_BA]]</f>
        <v>901000</v>
      </c>
      <c r="L20" s="5">
        <f>df_mep[[#This Row],[volume_D_BA]]*df_mep[[#This Row],[open_D_BA]]</f>
        <v>0</v>
      </c>
      <c r="P20" s="37">
        <f>MIN(1-df_mep[[#This Row],[MEP_compra_ARS]]/MEDIAN(N:N),100%)</f>
        <v>1</v>
      </c>
      <c r="Q20" s="38">
        <f>df_mep[[#This Row],[MEP_compra_USD]]/MEDIAN(O:O)-1</f>
        <v>-1</v>
      </c>
      <c r="R2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" s="38">
        <f>ABS(df_mep[[#This Row],[bid_BA]]-df_mep[[#This Row],[ask_BA]])/AVERAGE(df_mep[[#This Row],[bid_BA]:[ask_BA]])</f>
        <v>2.8998071777701379E-3</v>
      </c>
      <c r="T20" s="36" t="e">
        <f>ABS(df_mep[[#This Row],[bid_D_BA]]-df_mep[[#This Row],[ask_D_BA]])/AVERAGE(df_mep[[#This Row],[bid_D_BA]:[ask_D_BA]])</f>
        <v>#DIV/0!</v>
      </c>
    </row>
    <row r="21" spans="1:20" hidden="1" x14ac:dyDescent="0.35">
      <c r="A21" t="s">
        <v>224</v>
      </c>
      <c r="B21" t="s">
        <v>373</v>
      </c>
      <c r="C21" s="4">
        <v>5675.5</v>
      </c>
      <c r="D21" s="4">
        <v>5152</v>
      </c>
      <c r="E21" s="4">
        <v>5395.5</v>
      </c>
      <c r="I21" s="5">
        <v>4641</v>
      </c>
      <c r="J21" s="5">
        <f>df_mep[[#This Row],[volume_BA]]*df_mep[[#This Row],[open_BA]]</f>
        <v>26339995.5</v>
      </c>
      <c r="L21" s="5">
        <f>df_mep[[#This Row],[volume_D_BA]]*df_mep[[#This Row],[open_D_BA]]</f>
        <v>0</v>
      </c>
      <c r="P21" s="37">
        <f>MIN(1-df_mep[[#This Row],[MEP_compra_ARS]]/MEDIAN(N:N),100%)</f>
        <v>1</v>
      </c>
      <c r="Q21" s="38">
        <f>df_mep[[#This Row],[MEP_compra_USD]]/MEDIAN(O:O)-1</f>
        <v>-1</v>
      </c>
      <c r="R2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" s="38">
        <f>ABS(df_mep[[#This Row],[bid_BA]]-df_mep[[#This Row],[ask_BA]])/AVERAGE(df_mep[[#This Row],[bid_BA]:[ask_BA]])</f>
        <v>4.6172078691633089E-2</v>
      </c>
      <c r="T21" s="36" t="e">
        <f>ABS(df_mep[[#This Row],[bid_D_BA]]-df_mep[[#This Row],[ask_D_BA]])/AVERAGE(df_mep[[#This Row],[bid_D_BA]:[ask_D_BA]])</f>
        <v>#DIV/0!</v>
      </c>
    </row>
    <row r="22" spans="1:20" hidden="1" x14ac:dyDescent="0.35">
      <c r="A22" t="s">
        <v>374</v>
      </c>
      <c r="B22" t="s">
        <v>375</v>
      </c>
      <c r="J22" s="5">
        <f>df_mep[[#This Row],[volume_BA]]*df_mep[[#This Row],[open_BA]]</f>
        <v>0</v>
      </c>
      <c r="L22" s="5">
        <f>df_mep[[#This Row],[volume_D_BA]]*df_mep[[#This Row],[open_D_BA]]</f>
        <v>0</v>
      </c>
      <c r="P22" s="37">
        <f>MIN(1-df_mep[[#This Row],[MEP_compra_ARS]]/MEDIAN(N:N),100%)</f>
        <v>1</v>
      </c>
      <c r="Q22" s="38">
        <f>df_mep[[#This Row],[MEP_compra_USD]]/MEDIAN(O:O)-1</f>
        <v>-1</v>
      </c>
      <c r="R2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" s="38" t="e">
        <f>ABS(df_mep[[#This Row],[bid_BA]]-df_mep[[#This Row],[ask_BA]])/AVERAGE(df_mep[[#This Row],[bid_BA]:[ask_BA]])</f>
        <v>#DIV/0!</v>
      </c>
      <c r="T22" s="36" t="e">
        <f>ABS(df_mep[[#This Row],[bid_D_BA]]-df_mep[[#This Row],[ask_D_BA]])/AVERAGE(df_mep[[#This Row],[bid_D_BA]:[ask_D_BA]])</f>
        <v>#DIV/0!</v>
      </c>
    </row>
    <row r="23" spans="1:20" hidden="1" x14ac:dyDescent="0.35">
      <c r="A23" t="s">
        <v>225</v>
      </c>
      <c r="B23" t="s">
        <v>376</v>
      </c>
      <c r="C23" s="4">
        <v>4681.5</v>
      </c>
      <c r="D23" s="4">
        <v>4681.5</v>
      </c>
      <c r="E23" s="4">
        <v>4905</v>
      </c>
      <c r="I23" s="5">
        <v>30</v>
      </c>
      <c r="J23" s="5">
        <f>df_mep[[#This Row],[volume_BA]]*df_mep[[#This Row],[open_BA]]</f>
        <v>140445</v>
      </c>
      <c r="L23" s="5">
        <f>df_mep[[#This Row],[volume_D_BA]]*df_mep[[#This Row],[open_D_BA]]</f>
        <v>0</v>
      </c>
      <c r="P23" s="37">
        <f>MIN(1-df_mep[[#This Row],[MEP_compra_ARS]]/MEDIAN(N:N),100%)</f>
        <v>1</v>
      </c>
      <c r="Q23" s="38">
        <f>df_mep[[#This Row],[MEP_compra_USD]]/MEDIAN(O:O)-1</f>
        <v>-1</v>
      </c>
      <c r="R2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" s="38">
        <f>ABS(df_mep[[#This Row],[bid_BA]]-df_mep[[#This Row],[ask_BA]])/AVERAGE(df_mep[[#This Row],[bid_BA]:[ask_BA]])</f>
        <v>4.6628070724456266E-2</v>
      </c>
      <c r="T23" s="36" t="e">
        <f>ABS(df_mep[[#This Row],[bid_D_BA]]-df_mep[[#This Row],[ask_D_BA]])/AVERAGE(df_mep[[#This Row],[bid_D_BA]:[ask_D_BA]])</f>
        <v>#DIV/0!</v>
      </c>
    </row>
    <row r="24" spans="1:20" hidden="1" x14ac:dyDescent="0.35">
      <c r="A24" t="s">
        <v>226</v>
      </c>
      <c r="B24" t="s">
        <v>377</v>
      </c>
      <c r="C24" s="4">
        <v>12000</v>
      </c>
      <c r="D24" s="4">
        <v>11950</v>
      </c>
      <c r="E24" s="4">
        <v>12000</v>
      </c>
      <c r="I24" s="5">
        <v>3984</v>
      </c>
      <c r="J24" s="5">
        <f>df_mep[[#This Row],[volume_BA]]*df_mep[[#This Row],[open_BA]]</f>
        <v>47808000</v>
      </c>
      <c r="L24" s="5">
        <f>df_mep[[#This Row],[volume_D_BA]]*df_mep[[#This Row],[open_D_BA]]</f>
        <v>0</v>
      </c>
      <c r="P24" s="37">
        <f>MIN(1-df_mep[[#This Row],[MEP_compra_ARS]]/MEDIAN(N:N),100%)</f>
        <v>1</v>
      </c>
      <c r="Q24" s="38">
        <f>df_mep[[#This Row],[MEP_compra_USD]]/MEDIAN(O:O)-1</f>
        <v>-1</v>
      </c>
      <c r="R2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" s="38">
        <f>ABS(df_mep[[#This Row],[bid_BA]]-df_mep[[#This Row],[ask_BA]])/AVERAGE(df_mep[[#This Row],[bid_BA]:[ask_BA]])</f>
        <v>4.1753653444676405E-3</v>
      </c>
      <c r="T24" s="36" t="e">
        <f>ABS(df_mep[[#This Row],[bid_D_BA]]-df_mep[[#This Row],[ask_D_BA]])/AVERAGE(df_mep[[#This Row],[bid_D_BA]:[ask_D_BA]])</f>
        <v>#DIV/0!</v>
      </c>
    </row>
    <row r="25" spans="1:20" hidden="1" x14ac:dyDescent="0.35">
      <c r="A25" t="s">
        <v>227</v>
      </c>
      <c r="B25" t="s">
        <v>378</v>
      </c>
      <c r="C25" s="4">
        <v>45124</v>
      </c>
      <c r="D25" s="4">
        <v>43600</v>
      </c>
      <c r="E25" s="4">
        <v>43650</v>
      </c>
      <c r="F25" s="34">
        <v>0</v>
      </c>
      <c r="G25" s="34">
        <v>0</v>
      </c>
      <c r="H25" s="34">
        <v>0</v>
      </c>
      <c r="I25" s="5">
        <v>54</v>
      </c>
      <c r="J25" s="5">
        <f>df_mep[[#This Row],[volume_BA]]*df_mep[[#This Row],[open_BA]]</f>
        <v>2436696</v>
      </c>
      <c r="K25" s="5">
        <v>0</v>
      </c>
      <c r="L25" s="5">
        <f>df_mep[[#This Row],[volume_D_BA]]*df_mep[[#This Row],[open_D_BA]]</f>
        <v>0</v>
      </c>
      <c r="P25" s="37">
        <f>MIN(1-df_mep[[#This Row],[MEP_compra_ARS]]/MEDIAN(N:N),100%)</f>
        <v>1</v>
      </c>
      <c r="Q25" s="38">
        <f>df_mep[[#This Row],[MEP_compra_USD]]/MEDIAN(O:O)-1</f>
        <v>-1</v>
      </c>
      <c r="R2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" s="38">
        <f>ABS(df_mep[[#This Row],[bid_BA]]-df_mep[[#This Row],[ask_BA]])/AVERAGE(df_mep[[#This Row],[bid_BA]:[ask_BA]])</f>
        <v>1.146131805157593E-3</v>
      </c>
      <c r="T25" s="36" t="e">
        <f>ABS(df_mep[[#This Row],[bid_D_BA]]-df_mep[[#This Row],[ask_D_BA]])/AVERAGE(df_mep[[#This Row],[bid_D_BA]:[ask_D_BA]])</f>
        <v>#DIV/0!</v>
      </c>
    </row>
    <row r="26" spans="1:20" hidden="1" x14ac:dyDescent="0.35">
      <c r="A26" t="s">
        <v>229</v>
      </c>
      <c r="B26" t="s">
        <v>380</v>
      </c>
      <c r="C26" s="4">
        <v>6026</v>
      </c>
      <c r="D26" s="4">
        <v>5959</v>
      </c>
      <c r="E26" s="4">
        <v>6100</v>
      </c>
      <c r="I26" s="5">
        <v>204</v>
      </c>
      <c r="J26" s="5">
        <f>df_mep[[#This Row],[volume_BA]]*df_mep[[#This Row],[open_BA]]</f>
        <v>1229304</v>
      </c>
      <c r="L26" s="5">
        <f>df_mep[[#This Row],[volume_D_BA]]*df_mep[[#This Row],[open_D_BA]]</f>
        <v>0</v>
      </c>
      <c r="P26" s="37">
        <f>MIN(1-df_mep[[#This Row],[MEP_compra_ARS]]/MEDIAN(N:N),100%)</f>
        <v>1</v>
      </c>
      <c r="Q26" s="38">
        <f>df_mep[[#This Row],[MEP_compra_USD]]/MEDIAN(O:O)-1</f>
        <v>-1</v>
      </c>
      <c r="R2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" s="38">
        <f>ABS(df_mep[[#This Row],[bid_BA]]-df_mep[[#This Row],[ask_BA]])/AVERAGE(df_mep[[#This Row],[bid_BA]:[ask_BA]])</f>
        <v>2.3385023633800482E-2</v>
      </c>
      <c r="T26" s="36" t="e">
        <f>ABS(df_mep[[#This Row],[bid_D_BA]]-df_mep[[#This Row],[ask_D_BA]])/AVERAGE(df_mep[[#This Row],[bid_D_BA]:[ask_D_BA]])</f>
        <v>#DIV/0!</v>
      </c>
    </row>
    <row r="27" spans="1:20" hidden="1" x14ac:dyDescent="0.35">
      <c r="A27" t="s">
        <v>381</v>
      </c>
      <c r="B27" t="s">
        <v>382</v>
      </c>
      <c r="J27" s="5">
        <f>df_mep[[#This Row],[volume_BA]]*df_mep[[#This Row],[open_BA]]</f>
        <v>0</v>
      </c>
      <c r="L27" s="5">
        <f>df_mep[[#This Row],[volume_D_BA]]*df_mep[[#This Row],[open_D_BA]]</f>
        <v>0</v>
      </c>
      <c r="P27" s="37">
        <f>MIN(1-df_mep[[#This Row],[MEP_compra_ARS]]/MEDIAN(N:N),100%)</f>
        <v>1</v>
      </c>
      <c r="Q27" s="38">
        <f>df_mep[[#This Row],[MEP_compra_USD]]/MEDIAN(O:O)-1</f>
        <v>-1</v>
      </c>
      <c r="R2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" s="38" t="e">
        <f>ABS(df_mep[[#This Row],[bid_BA]]-df_mep[[#This Row],[ask_BA]])/AVERAGE(df_mep[[#This Row],[bid_BA]:[ask_BA]])</f>
        <v>#DIV/0!</v>
      </c>
      <c r="T27" s="36" t="e">
        <f>ABS(df_mep[[#This Row],[bid_D_BA]]-df_mep[[#This Row],[ask_D_BA]])/AVERAGE(df_mep[[#This Row],[bid_D_BA]:[ask_D_BA]])</f>
        <v>#DIV/0!</v>
      </c>
    </row>
    <row r="28" spans="1:20" hidden="1" x14ac:dyDescent="0.35">
      <c r="A28" t="s">
        <v>230</v>
      </c>
      <c r="B28" t="s">
        <v>383</v>
      </c>
      <c r="C28" s="4">
        <v>2050</v>
      </c>
      <c r="D28" s="4">
        <v>1850</v>
      </c>
      <c r="E28" s="4">
        <v>1909.5</v>
      </c>
      <c r="I28" s="5">
        <v>6600</v>
      </c>
      <c r="J28" s="5">
        <f>df_mep[[#This Row],[volume_BA]]*df_mep[[#This Row],[open_BA]]</f>
        <v>13530000</v>
      </c>
      <c r="L28" s="5">
        <f>df_mep[[#This Row],[volume_D_BA]]*df_mep[[#This Row],[open_D_BA]]</f>
        <v>0</v>
      </c>
      <c r="P28" s="37">
        <f>MIN(1-df_mep[[#This Row],[MEP_compra_ARS]]/MEDIAN(N:N),100%)</f>
        <v>1</v>
      </c>
      <c r="Q28" s="38">
        <f>df_mep[[#This Row],[MEP_compra_USD]]/MEDIAN(O:O)-1</f>
        <v>-1</v>
      </c>
      <c r="R2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" s="38">
        <f>ABS(df_mep[[#This Row],[bid_BA]]-df_mep[[#This Row],[ask_BA]])/AVERAGE(df_mep[[#This Row],[bid_BA]:[ask_BA]])</f>
        <v>3.1653145365075144E-2</v>
      </c>
      <c r="T28" s="36" t="e">
        <f>ABS(df_mep[[#This Row],[bid_D_BA]]-df_mep[[#This Row],[ask_D_BA]])/AVERAGE(df_mep[[#This Row],[bid_D_BA]:[ask_D_BA]])</f>
        <v>#DIV/0!</v>
      </c>
    </row>
    <row r="29" spans="1:20" hidden="1" x14ac:dyDescent="0.35">
      <c r="A29" t="s">
        <v>231</v>
      </c>
      <c r="B29" t="s">
        <v>384</v>
      </c>
      <c r="C29" s="4">
        <v>21742.5</v>
      </c>
      <c r="D29" s="4">
        <v>21400</v>
      </c>
      <c r="E29" s="4">
        <v>21626</v>
      </c>
      <c r="F29" s="34">
        <v>0</v>
      </c>
      <c r="G29" s="34">
        <v>0</v>
      </c>
      <c r="H29" s="34">
        <v>0</v>
      </c>
      <c r="I29" s="5">
        <v>27</v>
      </c>
      <c r="J29" s="5">
        <f>df_mep[[#This Row],[volume_BA]]*df_mep[[#This Row],[open_BA]]</f>
        <v>587047.5</v>
      </c>
      <c r="K29" s="5">
        <v>0</v>
      </c>
      <c r="L29" s="5">
        <f>df_mep[[#This Row],[volume_D_BA]]*df_mep[[#This Row],[open_D_BA]]</f>
        <v>0</v>
      </c>
      <c r="P29" s="37">
        <f>MIN(1-df_mep[[#This Row],[MEP_compra_ARS]]/MEDIAN(N:N),100%)</f>
        <v>1</v>
      </c>
      <c r="Q29" s="38">
        <f>df_mep[[#This Row],[MEP_compra_USD]]/MEDIAN(O:O)-1</f>
        <v>-1</v>
      </c>
      <c r="R2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" s="38">
        <f>ABS(df_mep[[#This Row],[bid_BA]]-df_mep[[#This Row],[ask_BA]])/AVERAGE(df_mep[[#This Row],[bid_BA]:[ask_BA]])</f>
        <v>1.0505275879700645E-2</v>
      </c>
      <c r="T29" s="36" t="e">
        <f>ABS(df_mep[[#This Row],[bid_D_BA]]-df_mep[[#This Row],[ask_D_BA]])/AVERAGE(df_mep[[#This Row],[bid_D_BA]:[ask_D_BA]])</f>
        <v>#DIV/0!</v>
      </c>
    </row>
    <row r="30" spans="1:20" hidden="1" x14ac:dyDescent="0.35">
      <c r="A30" t="s">
        <v>233</v>
      </c>
      <c r="B30" t="s">
        <v>390</v>
      </c>
      <c r="C30" s="4">
        <v>5500.5</v>
      </c>
      <c r="D30" s="4">
        <v>5300</v>
      </c>
      <c r="E30" s="4">
        <v>5350</v>
      </c>
      <c r="I30" s="5">
        <v>1469</v>
      </c>
      <c r="J30" s="5">
        <f>df_mep[[#This Row],[volume_BA]]*df_mep[[#This Row],[open_BA]]</f>
        <v>8080234.5</v>
      </c>
      <c r="L30" s="5">
        <f>df_mep[[#This Row],[volume_D_BA]]*df_mep[[#This Row],[open_D_BA]]</f>
        <v>0</v>
      </c>
      <c r="P30" s="37">
        <f>MIN(1-df_mep[[#This Row],[MEP_compra_ARS]]/MEDIAN(N:N),100%)</f>
        <v>1</v>
      </c>
      <c r="Q30" s="38">
        <f>df_mep[[#This Row],[MEP_compra_USD]]/MEDIAN(O:O)-1</f>
        <v>-1</v>
      </c>
      <c r="R3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0" s="38">
        <f>ABS(df_mep[[#This Row],[bid_BA]]-df_mep[[#This Row],[ask_BA]])/AVERAGE(df_mep[[#This Row],[bid_BA]:[ask_BA]])</f>
        <v>9.3896713615023476E-3</v>
      </c>
      <c r="T30" s="36" t="e">
        <f>ABS(df_mep[[#This Row],[bid_D_BA]]-df_mep[[#This Row],[ask_D_BA]])/AVERAGE(df_mep[[#This Row],[bid_D_BA]:[ask_D_BA]])</f>
        <v>#DIV/0!</v>
      </c>
    </row>
    <row r="31" spans="1:20" hidden="1" x14ac:dyDescent="0.35">
      <c r="A31" t="s">
        <v>234</v>
      </c>
      <c r="B31" t="s">
        <v>391</v>
      </c>
      <c r="C31" s="4">
        <v>12794.5</v>
      </c>
      <c r="D31" s="4">
        <v>13431</v>
      </c>
      <c r="E31" s="4">
        <v>13466.5</v>
      </c>
      <c r="F31" s="34">
        <v>0</v>
      </c>
      <c r="I31" s="5">
        <v>10</v>
      </c>
      <c r="J31" s="5">
        <f>df_mep[[#This Row],[volume_BA]]*df_mep[[#This Row],[open_BA]]</f>
        <v>127945</v>
      </c>
      <c r="K31" s="5">
        <v>0</v>
      </c>
      <c r="L31" s="5">
        <f>df_mep[[#This Row],[volume_D_BA]]*df_mep[[#This Row],[open_D_BA]]</f>
        <v>0</v>
      </c>
      <c r="P31" s="37">
        <f>MIN(1-df_mep[[#This Row],[MEP_compra_ARS]]/MEDIAN(N:N),100%)</f>
        <v>1</v>
      </c>
      <c r="Q31" s="38">
        <f>df_mep[[#This Row],[MEP_compra_USD]]/MEDIAN(O:O)-1</f>
        <v>-1</v>
      </c>
      <c r="R3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1" s="38">
        <f>ABS(df_mep[[#This Row],[bid_BA]]-df_mep[[#This Row],[ask_BA]])/AVERAGE(df_mep[[#This Row],[bid_BA]:[ask_BA]])</f>
        <v>2.6396505251417416E-3</v>
      </c>
      <c r="T31" s="36" t="e">
        <f>ABS(df_mep[[#This Row],[bid_D_BA]]-df_mep[[#This Row],[ask_D_BA]])/AVERAGE(df_mep[[#This Row],[bid_D_BA]:[ask_D_BA]])</f>
        <v>#DIV/0!</v>
      </c>
    </row>
    <row r="32" spans="1:20" hidden="1" x14ac:dyDescent="0.35">
      <c r="A32" t="s">
        <v>235</v>
      </c>
      <c r="B32" t="s">
        <v>393</v>
      </c>
      <c r="C32" s="4">
        <v>22896</v>
      </c>
      <c r="D32" s="4">
        <v>21200</v>
      </c>
      <c r="E32" s="4">
        <v>22000</v>
      </c>
      <c r="I32" s="5">
        <v>38</v>
      </c>
      <c r="J32" s="5">
        <f>df_mep[[#This Row],[volume_BA]]*df_mep[[#This Row],[open_BA]]</f>
        <v>870048</v>
      </c>
      <c r="L32" s="5">
        <f>df_mep[[#This Row],[volume_D_BA]]*df_mep[[#This Row],[open_D_BA]]</f>
        <v>0</v>
      </c>
      <c r="P32" s="37">
        <f>MIN(1-df_mep[[#This Row],[MEP_compra_ARS]]/MEDIAN(N:N),100%)</f>
        <v>1</v>
      </c>
      <c r="Q32" s="38">
        <f>df_mep[[#This Row],[MEP_compra_USD]]/MEDIAN(O:O)-1</f>
        <v>-1</v>
      </c>
      <c r="R3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2" s="38">
        <f>ABS(df_mep[[#This Row],[bid_BA]]-df_mep[[#This Row],[ask_BA]])/AVERAGE(df_mep[[#This Row],[bid_BA]:[ask_BA]])</f>
        <v>3.7037037037037035E-2</v>
      </c>
      <c r="T32" s="36" t="e">
        <f>ABS(df_mep[[#This Row],[bid_D_BA]]-df_mep[[#This Row],[ask_D_BA]])/AVERAGE(df_mep[[#This Row],[bid_D_BA]:[ask_D_BA]])</f>
        <v>#DIV/0!</v>
      </c>
    </row>
    <row r="33" spans="1:20" hidden="1" x14ac:dyDescent="0.35">
      <c r="A33" t="s">
        <v>236</v>
      </c>
      <c r="B33" t="s">
        <v>397</v>
      </c>
      <c r="C33" s="4">
        <v>6854.5</v>
      </c>
      <c r="D33" s="4">
        <v>6854.5</v>
      </c>
      <c r="E33" s="4">
        <v>7000</v>
      </c>
      <c r="I33" s="5">
        <v>4</v>
      </c>
      <c r="J33" s="5">
        <f>df_mep[[#This Row],[volume_BA]]*df_mep[[#This Row],[open_BA]]</f>
        <v>27418</v>
      </c>
      <c r="L33" s="5">
        <f>df_mep[[#This Row],[volume_D_BA]]*df_mep[[#This Row],[open_D_BA]]</f>
        <v>0</v>
      </c>
      <c r="P33" s="37">
        <f>MIN(1-df_mep[[#This Row],[MEP_compra_ARS]]/MEDIAN(N:N),100%)</f>
        <v>1</v>
      </c>
      <c r="Q33" s="38">
        <f>df_mep[[#This Row],[MEP_compra_USD]]/MEDIAN(O:O)-1</f>
        <v>-1</v>
      </c>
      <c r="R3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3" s="38">
        <f>ABS(df_mep[[#This Row],[bid_BA]]-df_mep[[#This Row],[ask_BA]])/AVERAGE(df_mep[[#This Row],[bid_BA]:[ask_BA]])</f>
        <v>2.1004005918654589E-2</v>
      </c>
      <c r="T33" s="36" t="e">
        <f>ABS(df_mep[[#This Row],[bid_D_BA]]-df_mep[[#This Row],[ask_D_BA]])/AVERAGE(df_mep[[#This Row],[bid_D_BA]:[ask_D_BA]])</f>
        <v>#DIV/0!</v>
      </c>
    </row>
    <row r="34" spans="1:20" hidden="1" x14ac:dyDescent="0.35">
      <c r="A34" t="s">
        <v>237</v>
      </c>
      <c r="B34" t="s">
        <v>399</v>
      </c>
      <c r="C34" s="4">
        <v>24122.5</v>
      </c>
      <c r="D34" s="4">
        <v>23162</v>
      </c>
      <c r="E34" s="4">
        <v>24400</v>
      </c>
      <c r="I34" s="5">
        <v>59</v>
      </c>
      <c r="J34" s="5">
        <f>df_mep[[#This Row],[volume_BA]]*df_mep[[#This Row],[open_BA]]</f>
        <v>1423227.5</v>
      </c>
      <c r="L34" s="5">
        <f>df_mep[[#This Row],[volume_D_BA]]*df_mep[[#This Row],[open_D_BA]]</f>
        <v>0</v>
      </c>
      <c r="P34" s="37">
        <f>MIN(1-df_mep[[#This Row],[MEP_compra_ARS]]/MEDIAN(N:N),100%)</f>
        <v>1</v>
      </c>
      <c r="Q34" s="38">
        <f>df_mep[[#This Row],[MEP_compra_USD]]/MEDIAN(O:O)-1</f>
        <v>-1</v>
      </c>
      <c r="R3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4" s="38">
        <f>ABS(df_mep[[#This Row],[bid_BA]]-df_mep[[#This Row],[ask_BA]])/AVERAGE(df_mep[[#This Row],[bid_BA]:[ask_BA]])</f>
        <v>5.2058365922375005E-2</v>
      </c>
      <c r="T34" s="36" t="e">
        <f>ABS(df_mep[[#This Row],[bid_D_BA]]-df_mep[[#This Row],[ask_D_BA]])/AVERAGE(df_mep[[#This Row],[bid_D_BA]:[ask_D_BA]])</f>
        <v>#DIV/0!</v>
      </c>
    </row>
    <row r="35" spans="1:20" hidden="1" x14ac:dyDescent="0.35">
      <c r="A35" t="s">
        <v>238</v>
      </c>
      <c r="B35" t="s">
        <v>400</v>
      </c>
      <c r="C35" s="4">
        <v>10024</v>
      </c>
      <c r="D35" s="4">
        <v>9100</v>
      </c>
      <c r="E35" s="4">
        <v>10346</v>
      </c>
      <c r="F35" s="34">
        <v>11.35</v>
      </c>
      <c r="G35" s="34">
        <v>0</v>
      </c>
      <c r="H35" s="34">
        <v>0</v>
      </c>
      <c r="I35" s="5">
        <v>8</v>
      </c>
      <c r="J35" s="5">
        <f>df_mep[[#This Row],[volume_BA]]*df_mep[[#This Row],[open_BA]]</f>
        <v>80192</v>
      </c>
      <c r="K35" s="5">
        <v>1</v>
      </c>
      <c r="L35" s="5">
        <f>df_mep[[#This Row],[volume_D_BA]]*df_mep[[#This Row],[open_D_BA]]</f>
        <v>11.35</v>
      </c>
      <c r="M35" s="3">
        <v>883.17180616740086</v>
      </c>
      <c r="P35" s="37">
        <f>MIN(1-df_mep[[#This Row],[MEP_compra_ARS]]/MEDIAN(N:N),100%)</f>
        <v>1</v>
      </c>
      <c r="Q35" s="38">
        <f>df_mep[[#This Row],[MEP_compra_USD]]/MEDIAN(O:O)-1</f>
        <v>-1</v>
      </c>
      <c r="R3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5" s="38">
        <f>ABS(df_mep[[#This Row],[bid_BA]]-df_mep[[#This Row],[ask_BA]])/AVERAGE(df_mep[[#This Row],[bid_BA]:[ask_BA]])</f>
        <v>0.12814974802015838</v>
      </c>
      <c r="T35" s="36" t="e">
        <f>ABS(df_mep[[#This Row],[bid_D_BA]]-df_mep[[#This Row],[ask_D_BA]])/AVERAGE(df_mep[[#This Row],[bid_D_BA]:[ask_D_BA]])</f>
        <v>#DIV/0!</v>
      </c>
    </row>
    <row r="36" spans="1:20" hidden="1" x14ac:dyDescent="0.35">
      <c r="A36" t="s">
        <v>401</v>
      </c>
      <c r="B36" t="s">
        <v>402</v>
      </c>
      <c r="C36" s="4">
        <v>21500</v>
      </c>
      <c r="D36" s="4">
        <v>20240</v>
      </c>
      <c r="E36" s="4">
        <v>22054</v>
      </c>
      <c r="I36" s="5">
        <v>115</v>
      </c>
      <c r="J36" s="5">
        <f>df_mep[[#This Row],[volume_BA]]*df_mep[[#This Row],[open_BA]]</f>
        <v>2472500</v>
      </c>
      <c r="L36" s="5">
        <f>df_mep[[#This Row],[volume_D_BA]]*df_mep[[#This Row],[open_D_BA]]</f>
        <v>0</v>
      </c>
      <c r="P36" s="37">
        <f>MIN(1-df_mep[[#This Row],[MEP_compra_ARS]]/MEDIAN(N:N),100%)</f>
        <v>1</v>
      </c>
      <c r="Q36" s="38">
        <f>df_mep[[#This Row],[MEP_compra_USD]]/MEDIAN(O:O)-1</f>
        <v>-1</v>
      </c>
      <c r="R3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6" s="38">
        <f>ABS(df_mep[[#This Row],[bid_BA]]-df_mep[[#This Row],[ask_BA]])/AVERAGE(df_mep[[#This Row],[bid_BA]:[ask_BA]])</f>
        <v>8.5780488958244666E-2</v>
      </c>
      <c r="T36" s="36" t="e">
        <f>ABS(df_mep[[#This Row],[bid_D_BA]]-df_mep[[#This Row],[ask_D_BA]])/AVERAGE(df_mep[[#This Row],[bid_D_BA]:[ask_D_BA]])</f>
        <v>#DIV/0!</v>
      </c>
    </row>
    <row r="37" spans="1:20" hidden="1" x14ac:dyDescent="0.35">
      <c r="A37" t="s">
        <v>239</v>
      </c>
      <c r="B37" t="s">
        <v>403</v>
      </c>
      <c r="C37" s="4">
        <v>2190</v>
      </c>
      <c r="D37" s="4">
        <v>1800</v>
      </c>
      <c r="E37" s="4">
        <v>2350</v>
      </c>
      <c r="I37" s="5">
        <v>446</v>
      </c>
      <c r="J37" s="5">
        <f>df_mep[[#This Row],[volume_BA]]*df_mep[[#This Row],[open_BA]]</f>
        <v>976740</v>
      </c>
      <c r="L37" s="5">
        <f>df_mep[[#This Row],[volume_D_BA]]*df_mep[[#This Row],[open_D_BA]]</f>
        <v>0</v>
      </c>
      <c r="P37" s="37">
        <f>MIN(1-df_mep[[#This Row],[MEP_compra_ARS]]/MEDIAN(N:N),100%)</f>
        <v>1</v>
      </c>
      <c r="Q37" s="38">
        <f>df_mep[[#This Row],[MEP_compra_USD]]/MEDIAN(O:O)-1</f>
        <v>-1</v>
      </c>
      <c r="R3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7" s="38">
        <f>ABS(df_mep[[#This Row],[bid_BA]]-df_mep[[#This Row],[ask_BA]])/AVERAGE(df_mep[[#This Row],[bid_BA]:[ask_BA]])</f>
        <v>0.26506024096385544</v>
      </c>
      <c r="T37" s="36" t="e">
        <f>ABS(df_mep[[#This Row],[bid_D_BA]]-df_mep[[#This Row],[ask_D_BA]])/AVERAGE(df_mep[[#This Row],[bid_D_BA]:[ask_D_BA]])</f>
        <v>#DIV/0!</v>
      </c>
    </row>
    <row r="38" spans="1:20" hidden="1" x14ac:dyDescent="0.35">
      <c r="A38" t="s">
        <v>407</v>
      </c>
      <c r="B38" t="s">
        <v>408</v>
      </c>
      <c r="J38" s="5">
        <f>df_mep[[#This Row],[volume_BA]]*df_mep[[#This Row],[open_BA]]</f>
        <v>0</v>
      </c>
      <c r="L38" s="5">
        <f>df_mep[[#This Row],[volume_D_BA]]*df_mep[[#This Row],[open_D_BA]]</f>
        <v>0</v>
      </c>
      <c r="P38" s="37">
        <f>MIN(1-df_mep[[#This Row],[MEP_compra_ARS]]/MEDIAN(N:N),100%)</f>
        <v>1</v>
      </c>
      <c r="Q38" s="38">
        <f>df_mep[[#This Row],[MEP_compra_USD]]/MEDIAN(O:O)-1</f>
        <v>-1</v>
      </c>
      <c r="R3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8" s="38" t="e">
        <f>ABS(df_mep[[#This Row],[bid_BA]]-df_mep[[#This Row],[ask_BA]])/AVERAGE(df_mep[[#This Row],[bid_BA]:[ask_BA]])</f>
        <v>#DIV/0!</v>
      </c>
      <c r="T38" s="36" t="e">
        <f>ABS(df_mep[[#This Row],[bid_D_BA]]-df_mep[[#This Row],[ask_D_BA]])/AVERAGE(df_mep[[#This Row],[bid_D_BA]:[ask_D_BA]])</f>
        <v>#DIV/0!</v>
      </c>
    </row>
    <row r="39" spans="1:20" hidden="1" x14ac:dyDescent="0.35">
      <c r="A39" t="s">
        <v>410</v>
      </c>
      <c r="B39" t="s">
        <v>411</v>
      </c>
      <c r="J39" s="5">
        <f>df_mep[[#This Row],[volume_BA]]*df_mep[[#This Row],[open_BA]]</f>
        <v>0</v>
      </c>
      <c r="L39" s="5">
        <f>df_mep[[#This Row],[volume_D_BA]]*df_mep[[#This Row],[open_D_BA]]</f>
        <v>0</v>
      </c>
      <c r="P39" s="37">
        <f>MIN(1-df_mep[[#This Row],[MEP_compra_ARS]]/MEDIAN(N:N),100%)</f>
        <v>1</v>
      </c>
      <c r="Q39" s="38">
        <f>df_mep[[#This Row],[MEP_compra_USD]]/MEDIAN(O:O)-1</f>
        <v>-1</v>
      </c>
      <c r="R3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9" s="38" t="e">
        <f>ABS(df_mep[[#This Row],[bid_BA]]-df_mep[[#This Row],[ask_BA]])/AVERAGE(df_mep[[#This Row],[bid_BA]:[ask_BA]])</f>
        <v>#DIV/0!</v>
      </c>
      <c r="T39" s="36" t="e">
        <f>ABS(df_mep[[#This Row],[bid_D_BA]]-df_mep[[#This Row],[ask_D_BA]])/AVERAGE(df_mep[[#This Row],[bid_D_BA]:[ask_D_BA]])</f>
        <v>#DIV/0!</v>
      </c>
    </row>
    <row r="40" spans="1:20" hidden="1" x14ac:dyDescent="0.35">
      <c r="A40" t="s">
        <v>241</v>
      </c>
      <c r="B40" t="s">
        <v>412</v>
      </c>
      <c r="C40" s="4">
        <v>45000</v>
      </c>
      <c r="D40" s="4">
        <v>44850</v>
      </c>
      <c r="E40" s="4">
        <v>48000</v>
      </c>
      <c r="I40" s="5">
        <v>97</v>
      </c>
      <c r="J40" s="5">
        <f>df_mep[[#This Row],[volume_BA]]*df_mep[[#This Row],[open_BA]]</f>
        <v>4365000</v>
      </c>
      <c r="L40" s="5">
        <f>df_mep[[#This Row],[volume_D_BA]]*df_mep[[#This Row],[open_D_BA]]</f>
        <v>0</v>
      </c>
      <c r="P40" s="37">
        <f>MIN(1-df_mep[[#This Row],[MEP_compra_ARS]]/MEDIAN(N:N),100%)</f>
        <v>1</v>
      </c>
      <c r="Q40" s="38">
        <f>df_mep[[#This Row],[MEP_compra_USD]]/MEDIAN(O:O)-1</f>
        <v>-1</v>
      </c>
      <c r="R4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0" s="38">
        <f>ABS(df_mep[[#This Row],[bid_BA]]-df_mep[[#This Row],[ask_BA]])/AVERAGE(df_mep[[#This Row],[bid_BA]:[ask_BA]])</f>
        <v>6.7851373182552507E-2</v>
      </c>
      <c r="T40" s="36" t="e">
        <f>ABS(df_mep[[#This Row],[bid_D_BA]]-df_mep[[#This Row],[ask_D_BA]])/AVERAGE(df_mep[[#This Row],[bid_D_BA]:[ask_D_BA]])</f>
        <v>#DIV/0!</v>
      </c>
    </row>
    <row r="41" spans="1:20" hidden="1" x14ac:dyDescent="0.35">
      <c r="A41" t="s">
        <v>242</v>
      </c>
      <c r="B41" t="s">
        <v>414</v>
      </c>
      <c r="C41" s="4">
        <v>9734</v>
      </c>
      <c r="D41" s="4">
        <v>9000</v>
      </c>
      <c r="E41" s="4">
        <v>9999.5</v>
      </c>
      <c r="I41" s="5">
        <v>39</v>
      </c>
      <c r="J41" s="5">
        <f>df_mep[[#This Row],[volume_BA]]*df_mep[[#This Row],[open_BA]]</f>
        <v>379626</v>
      </c>
      <c r="L41" s="5">
        <f>df_mep[[#This Row],[volume_D_BA]]*df_mep[[#This Row],[open_D_BA]]</f>
        <v>0</v>
      </c>
      <c r="P41" s="37">
        <f>MIN(1-df_mep[[#This Row],[MEP_compra_ARS]]/MEDIAN(N:N),100%)</f>
        <v>1</v>
      </c>
      <c r="Q41" s="38">
        <f>df_mep[[#This Row],[MEP_compra_USD]]/MEDIAN(O:O)-1</f>
        <v>-1</v>
      </c>
      <c r="R4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1" s="38">
        <f>ABS(df_mep[[#This Row],[bid_BA]]-df_mep[[#This Row],[ask_BA]])/AVERAGE(df_mep[[#This Row],[bid_BA]:[ask_BA]])</f>
        <v>0.1052132950867128</v>
      </c>
      <c r="T41" s="36" t="e">
        <f>ABS(df_mep[[#This Row],[bid_D_BA]]-df_mep[[#This Row],[ask_D_BA]])/AVERAGE(df_mep[[#This Row],[bid_D_BA]:[ask_D_BA]])</f>
        <v>#DIV/0!</v>
      </c>
    </row>
    <row r="42" spans="1:20" hidden="1" x14ac:dyDescent="0.35">
      <c r="A42" t="s">
        <v>244</v>
      </c>
      <c r="B42" t="s">
        <v>418</v>
      </c>
      <c r="C42" s="4">
        <v>6890</v>
      </c>
      <c r="D42" s="4">
        <v>6000</v>
      </c>
      <c r="E42" s="4">
        <v>6890</v>
      </c>
      <c r="I42" s="5">
        <v>4</v>
      </c>
      <c r="J42" s="5">
        <f>df_mep[[#This Row],[volume_BA]]*df_mep[[#This Row],[open_BA]]</f>
        <v>27560</v>
      </c>
      <c r="L42" s="5">
        <f>df_mep[[#This Row],[volume_D_BA]]*df_mep[[#This Row],[open_D_BA]]</f>
        <v>0</v>
      </c>
      <c r="P42" s="37">
        <f>MIN(1-df_mep[[#This Row],[MEP_compra_ARS]]/MEDIAN(N:N),100%)</f>
        <v>1</v>
      </c>
      <c r="Q42" s="38">
        <f>df_mep[[#This Row],[MEP_compra_USD]]/MEDIAN(O:O)-1</f>
        <v>-1</v>
      </c>
      <c r="R4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2" s="38">
        <f>ABS(df_mep[[#This Row],[bid_BA]]-df_mep[[#This Row],[ask_BA]])/AVERAGE(df_mep[[#This Row],[bid_BA]:[ask_BA]])</f>
        <v>0.13809154383242825</v>
      </c>
      <c r="T42" s="36" t="e">
        <f>ABS(df_mep[[#This Row],[bid_D_BA]]-df_mep[[#This Row],[ask_D_BA]])/AVERAGE(df_mep[[#This Row],[bid_D_BA]:[ask_D_BA]])</f>
        <v>#DIV/0!</v>
      </c>
    </row>
    <row r="43" spans="1:20" hidden="1" x14ac:dyDescent="0.35">
      <c r="A43" t="s">
        <v>179</v>
      </c>
      <c r="B43" t="s">
        <v>180</v>
      </c>
      <c r="C43" s="4">
        <v>8999</v>
      </c>
      <c r="D43" s="4">
        <v>7850</v>
      </c>
      <c r="E43" s="4">
        <v>9000</v>
      </c>
      <c r="F43" s="34">
        <v>0</v>
      </c>
      <c r="G43" s="34">
        <v>0</v>
      </c>
      <c r="H43" s="34">
        <v>10.8</v>
      </c>
      <c r="I43" s="5">
        <v>24</v>
      </c>
      <c r="J43" s="5">
        <f>df_mep[[#This Row],[volume_BA]]*df_mep[[#This Row],[open_BA]]</f>
        <v>215976</v>
      </c>
      <c r="K43" s="5">
        <v>0</v>
      </c>
      <c r="L43" s="5">
        <f>df_mep[[#This Row],[volume_D_BA]]*df_mep[[#This Row],[open_D_BA]]</f>
        <v>0</v>
      </c>
      <c r="O43" s="3">
        <v>726.85185185185185</v>
      </c>
      <c r="P43" s="37">
        <f>MIN(1-df_mep[[#This Row],[MEP_compra_ARS]]/MEDIAN(N:N),100%)</f>
        <v>1</v>
      </c>
      <c r="Q43" s="38">
        <f>df_mep[[#This Row],[MEP_compra_USD]]/MEDIAN(O:O)-1</f>
        <v>-6.463458275476297E-2</v>
      </c>
      <c r="R4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3" s="38">
        <f>ABS(df_mep[[#This Row],[bid_BA]]-df_mep[[#This Row],[ask_BA]])/AVERAGE(df_mep[[#This Row],[bid_BA]:[ask_BA]])</f>
        <v>0.13649851632047477</v>
      </c>
      <c r="T43" s="36">
        <f>ABS(df_mep[[#This Row],[bid_D_BA]]-df_mep[[#This Row],[ask_D_BA]])/AVERAGE(df_mep[[#This Row],[bid_D_BA]:[ask_D_BA]])</f>
        <v>2</v>
      </c>
    </row>
    <row r="44" spans="1:20" hidden="1" x14ac:dyDescent="0.35">
      <c r="A44" t="s">
        <v>245</v>
      </c>
      <c r="B44" t="s">
        <v>422</v>
      </c>
      <c r="C44" s="4">
        <v>31200</v>
      </c>
      <c r="D44" s="4">
        <v>29850.5</v>
      </c>
      <c r="E44" s="4">
        <v>31399.5</v>
      </c>
      <c r="I44" s="5">
        <v>12</v>
      </c>
      <c r="J44" s="5">
        <f>df_mep[[#This Row],[volume_BA]]*df_mep[[#This Row],[open_BA]]</f>
        <v>374400</v>
      </c>
      <c r="L44" s="5">
        <f>df_mep[[#This Row],[volume_D_BA]]*df_mep[[#This Row],[open_D_BA]]</f>
        <v>0</v>
      </c>
      <c r="P44" s="37">
        <f>MIN(1-df_mep[[#This Row],[MEP_compra_ARS]]/MEDIAN(N:N),100%)</f>
        <v>1</v>
      </c>
      <c r="Q44" s="38">
        <f>df_mep[[#This Row],[MEP_compra_USD]]/MEDIAN(O:O)-1</f>
        <v>-1</v>
      </c>
      <c r="R4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4" s="38">
        <f>ABS(df_mep[[#This Row],[bid_BA]]-df_mep[[#This Row],[ask_BA]])/AVERAGE(df_mep[[#This Row],[bid_BA]:[ask_BA]])</f>
        <v>5.0579591836734696E-2</v>
      </c>
      <c r="T44" s="36" t="e">
        <f>ABS(df_mep[[#This Row],[bid_D_BA]]-df_mep[[#This Row],[ask_D_BA]])/AVERAGE(df_mep[[#This Row],[bid_D_BA]:[ask_D_BA]])</f>
        <v>#DIV/0!</v>
      </c>
    </row>
    <row r="45" spans="1:20" hidden="1" x14ac:dyDescent="0.35">
      <c r="A45" t="s">
        <v>182</v>
      </c>
      <c r="B45" t="s">
        <v>424</v>
      </c>
      <c r="C45" s="4">
        <v>8400</v>
      </c>
      <c r="D45" s="4">
        <v>6390</v>
      </c>
      <c r="E45" s="4">
        <v>8365</v>
      </c>
      <c r="F45" s="34">
        <v>0</v>
      </c>
      <c r="G45" s="34">
        <v>0</v>
      </c>
      <c r="H45" s="34">
        <v>0</v>
      </c>
      <c r="I45" s="5">
        <v>77</v>
      </c>
      <c r="J45" s="5">
        <f>df_mep[[#This Row],[volume_BA]]*df_mep[[#This Row],[open_BA]]</f>
        <v>646800</v>
      </c>
      <c r="K45" s="5">
        <v>0</v>
      </c>
      <c r="L45" s="5">
        <f>df_mep[[#This Row],[volume_D_BA]]*df_mep[[#This Row],[open_D_BA]]</f>
        <v>0</v>
      </c>
      <c r="P45" s="37">
        <f>MIN(1-df_mep[[#This Row],[MEP_compra_ARS]]/MEDIAN(N:N),100%)</f>
        <v>1</v>
      </c>
      <c r="Q45" s="38">
        <f>df_mep[[#This Row],[MEP_compra_USD]]/MEDIAN(O:O)-1</f>
        <v>-1</v>
      </c>
      <c r="R4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5" s="38">
        <f>ABS(df_mep[[#This Row],[bid_BA]]-df_mep[[#This Row],[ask_BA]])/AVERAGE(df_mep[[#This Row],[bid_BA]:[ask_BA]])</f>
        <v>0.26770586241951883</v>
      </c>
      <c r="T45" s="36" t="e">
        <f>ABS(df_mep[[#This Row],[bid_D_BA]]-df_mep[[#This Row],[ask_D_BA]])/AVERAGE(df_mep[[#This Row],[bid_D_BA]:[ask_D_BA]])</f>
        <v>#DIV/0!</v>
      </c>
    </row>
    <row r="46" spans="1:20" hidden="1" x14ac:dyDescent="0.35">
      <c r="A46" t="s">
        <v>246</v>
      </c>
      <c r="B46" t="s">
        <v>426</v>
      </c>
      <c r="C46" s="4">
        <v>8453.5</v>
      </c>
      <c r="D46" s="4">
        <v>7500</v>
      </c>
      <c r="E46" s="4">
        <v>8900</v>
      </c>
      <c r="F46" s="34">
        <v>0</v>
      </c>
      <c r="G46" s="34">
        <v>0</v>
      </c>
      <c r="H46" s="34">
        <v>0</v>
      </c>
      <c r="I46" s="5">
        <v>460</v>
      </c>
      <c r="J46" s="5">
        <f>df_mep[[#This Row],[volume_BA]]*df_mep[[#This Row],[open_BA]]</f>
        <v>3888610</v>
      </c>
      <c r="K46" s="5">
        <v>0</v>
      </c>
      <c r="L46" s="5">
        <f>df_mep[[#This Row],[volume_D_BA]]*df_mep[[#This Row],[open_D_BA]]</f>
        <v>0</v>
      </c>
      <c r="P46" s="37">
        <f>MIN(1-df_mep[[#This Row],[MEP_compra_ARS]]/MEDIAN(N:N),100%)</f>
        <v>1</v>
      </c>
      <c r="Q46" s="38">
        <f>df_mep[[#This Row],[MEP_compra_USD]]/MEDIAN(O:O)-1</f>
        <v>-1</v>
      </c>
      <c r="R4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6" s="38">
        <f>ABS(df_mep[[#This Row],[bid_BA]]-df_mep[[#This Row],[ask_BA]])/AVERAGE(df_mep[[#This Row],[bid_BA]:[ask_BA]])</f>
        <v>0.17073170731707318</v>
      </c>
      <c r="T46" s="36" t="e">
        <f>ABS(df_mep[[#This Row],[bid_D_BA]]-df_mep[[#This Row],[ask_D_BA]])/AVERAGE(df_mep[[#This Row],[bid_D_BA]:[ask_D_BA]])</f>
        <v>#DIV/0!</v>
      </c>
    </row>
    <row r="47" spans="1:20" hidden="1" x14ac:dyDescent="0.35">
      <c r="A47" t="s">
        <v>247</v>
      </c>
      <c r="B47" t="s">
        <v>427</v>
      </c>
      <c r="C47" s="4">
        <v>26475.5</v>
      </c>
      <c r="D47" s="4">
        <v>24000</v>
      </c>
      <c r="E47" s="4">
        <v>27253</v>
      </c>
      <c r="I47" s="5">
        <v>4</v>
      </c>
      <c r="J47" s="5">
        <f>df_mep[[#This Row],[volume_BA]]*df_mep[[#This Row],[open_BA]]</f>
        <v>105902</v>
      </c>
      <c r="L47" s="5">
        <f>df_mep[[#This Row],[volume_D_BA]]*df_mep[[#This Row],[open_D_BA]]</f>
        <v>0</v>
      </c>
      <c r="P47" s="37">
        <f>MIN(1-df_mep[[#This Row],[MEP_compra_ARS]]/MEDIAN(N:N),100%)</f>
        <v>1</v>
      </c>
      <c r="Q47" s="38">
        <f>df_mep[[#This Row],[MEP_compra_USD]]/MEDIAN(O:O)-1</f>
        <v>-1</v>
      </c>
      <c r="R4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7" s="38">
        <f>ABS(df_mep[[#This Row],[bid_BA]]-df_mep[[#This Row],[ask_BA]])/AVERAGE(df_mep[[#This Row],[bid_BA]:[ask_BA]])</f>
        <v>0.1269389108930209</v>
      </c>
      <c r="T47" s="36" t="e">
        <f>ABS(df_mep[[#This Row],[bid_D_BA]]-df_mep[[#This Row],[ask_D_BA]])/AVERAGE(df_mep[[#This Row],[bid_D_BA]:[ask_D_BA]])</f>
        <v>#DIV/0!</v>
      </c>
    </row>
    <row r="48" spans="1:20" hidden="1" x14ac:dyDescent="0.35">
      <c r="A48" t="s">
        <v>248</v>
      </c>
      <c r="B48" t="s">
        <v>428</v>
      </c>
      <c r="C48" s="4">
        <v>3200.5</v>
      </c>
      <c r="D48" s="4">
        <v>3370</v>
      </c>
      <c r="E48" s="4">
        <v>3390</v>
      </c>
      <c r="F48" s="34">
        <v>0</v>
      </c>
      <c r="H48" s="34">
        <v>0</v>
      </c>
      <c r="I48" s="5">
        <v>281</v>
      </c>
      <c r="J48" s="5">
        <f>df_mep[[#This Row],[volume_BA]]*df_mep[[#This Row],[open_BA]]</f>
        <v>899340.5</v>
      </c>
      <c r="K48" s="5">
        <v>0</v>
      </c>
      <c r="L48" s="5">
        <f>df_mep[[#This Row],[volume_D_BA]]*df_mep[[#This Row],[open_D_BA]]</f>
        <v>0</v>
      </c>
      <c r="P48" s="37">
        <f>MIN(1-df_mep[[#This Row],[MEP_compra_ARS]]/MEDIAN(N:N),100%)</f>
        <v>1</v>
      </c>
      <c r="Q48" s="38">
        <f>df_mep[[#This Row],[MEP_compra_USD]]/MEDIAN(O:O)-1</f>
        <v>-1</v>
      </c>
      <c r="R4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8" s="38">
        <f>ABS(df_mep[[#This Row],[bid_BA]]-df_mep[[#This Row],[ask_BA]])/AVERAGE(df_mep[[#This Row],[bid_BA]:[ask_BA]])</f>
        <v>5.9171597633136093E-3</v>
      </c>
      <c r="T48" s="36" t="e">
        <f>ABS(df_mep[[#This Row],[bid_D_BA]]-df_mep[[#This Row],[ask_D_BA]])/AVERAGE(df_mep[[#This Row],[bid_D_BA]:[ask_D_BA]])</f>
        <v>#DIV/0!</v>
      </c>
    </row>
    <row r="49" spans="1:20" hidden="1" x14ac:dyDescent="0.35">
      <c r="A49" t="s">
        <v>249</v>
      </c>
      <c r="B49" t="s">
        <v>429</v>
      </c>
      <c r="C49" s="4">
        <v>28323</v>
      </c>
      <c r="D49" s="4">
        <v>28500</v>
      </c>
      <c r="E49" s="4">
        <v>30000</v>
      </c>
      <c r="I49" s="5">
        <v>1</v>
      </c>
      <c r="J49" s="5">
        <f>df_mep[[#This Row],[volume_BA]]*df_mep[[#This Row],[open_BA]]</f>
        <v>28323</v>
      </c>
      <c r="L49" s="5">
        <f>df_mep[[#This Row],[volume_D_BA]]*df_mep[[#This Row],[open_D_BA]]</f>
        <v>0</v>
      </c>
      <c r="P49" s="37">
        <f>MIN(1-df_mep[[#This Row],[MEP_compra_ARS]]/MEDIAN(N:N),100%)</f>
        <v>1</v>
      </c>
      <c r="Q49" s="38">
        <f>df_mep[[#This Row],[MEP_compra_USD]]/MEDIAN(O:O)-1</f>
        <v>-1</v>
      </c>
      <c r="R4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9" s="38">
        <f>ABS(df_mep[[#This Row],[bid_BA]]-df_mep[[#This Row],[ask_BA]])/AVERAGE(df_mep[[#This Row],[bid_BA]:[ask_BA]])</f>
        <v>5.128205128205128E-2</v>
      </c>
      <c r="T49" s="36" t="e">
        <f>ABS(df_mep[[#This Row],[bid_D_BA]]-df_mep[[#This Row],[ask_D_BA]])/AVERAGE(df_mep[[#This Row],[bid_D_BA]:[ask_D_BA]])</f>
        <v>#DIV/0!</v>
      </c>
    </row>
    <row r="50" spans="1:20" hidden="1" x14ac:dyDescent="0.35">
      <c r="A50" t="s">
        <v>250</v>
      </c>
      <c r="B50" t="s">
        <v>431</v>
      </c>
      <c r="C50" s="4">
        <v>9500</v>
      </c>
      <c r="D50" s="4">
        <v>9100</v>
      </c>
      <c r="E50" s="4">
        <v>9500</v>
      </c>
      <c r="I50" s="5">
        <v>39</v>
      </c>
      <c r="J50" s="5">
        <f>df_mep[[#This Row],[volume_BA]]*df_mep[[#This Row],[open_BA]]</f>
        <v>370500</v>
      </c>
      <c r="L50" s="5">
        <f>df_mep[[#This Row],[volume_D_BA]]*df_mep[[#This Row],[open_D_BA]]</f>
        <v>0</v>
      </c>
      <c r="P50" s="37">
        <f>MIN(1-df_mep[[#This Row],[MEP_compra_ARS]]/MEDIAN(N:N),100%)</f>
        <v>1</v>
      </c>
      <c r="Q50" s="38">
        <f>df_mep[[#This Row],[MEP_compra_USD]]/MEDIAN(O:O)-1</f>
        <v>-1</v>
      </c>
      <c r="R5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0" s="38">
        <f>ABS(df_mep[[#This Row],[bid_BA]]-df_mep[[#This Row],[ask_BA]])/AVERAGE(df_mep[[#This Row],[bid_BA]:[ask_BA]])</f>
        <v>4.3010752688172046E-2</v>
      </c>
      <c r="T50" s="36" t="e">
        <f>ABS(df_mep[[#This Row],[bid_D_BA]]-df_mep[[#This Row],[ask_D_BA]])/AVERAGE(df_mep[[#This Row],[bid_D_BA]:[ask_D_BA]])</f>
        <v>#DIV/0!</v>
      </c>
    </row>
    <row r="51" spans="1:20" hidden="1" x14ac:dyDescent="0.35">
      <c r="A51" t="s">
        <v>251</v>
      </c>
      <c r="B51" t="s">
        <v>432</v>
      </c>
      <c r="C51" s="4">
        <v>20950</v>
      </c>
      <c r="D51" s="4">
        <v>20000</v>
      </c>
      <c r="E51" s="4">
        <v>20500</v>
      </c>
      <c r="I51" s="5">
        <v>24</v>
      </c>
      <c r="J51" s="5">
        <f>df_mep[[#This Row],[volume_BA]]*df_mep[[#This Row],[open_BA]]</f>
        <v>502800</v>
      </c>
      <c r="L51" s="5">
        <f>df_mep[[#This Row],[volume_D_BA]]*df_mep[[#This Row],[open_D_BA]]</f>
        <v>0</v>
      </c>
      <c r="P51" s="37">
        <f>MIN(1-df_mep[[#This Row],[MEP_compra_ARS]]/MEDIAN(N:N),100%)</f>
        <v>1</v>
      </c>
      <c r="Q51" s="38">
        <f>df_mep[[#This Row],[MEP_compra_USD]]/MEDIAN(O:O)-1</f>
        <v>-1</v>
      </c>
      <c r="R5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1" s="38">
        <f>ABS(df_mep[[#This Row],[bid_BA]]-df_mep[[#This Row],[ask_BA]])/AVERAGE(df_mep[[#This Row],[bid_BA]:[ask_BA]])</f>
        <v>2.4691358024691357E-2</v>
      </c>
      <c r="T51" s="36" t="e">
        <f>ABS(df_mep[[#This Row],[bid_D_BA]]-df_mep[[#This Row],[ask_D_BA]])/AVERAGE(df_mep[[#This Row],[bid_D_BA]:[ask_D_BA]])</f>
        <v>#DIV/0!</v>
      </c>
    </row>
    <row r="52" spans="1:20" hidden="1" x14ac:dyDescent="0.35">
      <c r="A52" t="s">
        <v>252</v>
      </c>
      <c r="B52" t="s">
        <v>433</v>
      </c>
      <c r="C52" s="4">
        <v>23711</v>
      </c>
      <c r="D52" s="4">
        <v>22122</v>
      </c>
      <c r="E52" s="4">
        <v>23829.5</v>
      </c>
      <c r="I52" s="5">
        <v>158</v>
      </c>
      <c r="J52" s="5">
        <f>df_mep[[#This Row],[volume_BA]]*df_mep[[#This Row],[open_BA]]</f>
        <v>3746338</v>
      </c>
      <c r="L52" s="5">
        <f>df_mep[[#This Row],[volume_D_BA]]*df_mep[[#This Row],[open_D_BA]]</f>
        <v>0</v>
      </c>
      <c r="P52" s="37">
        <f>MIN(1-df_mep[[#This Row],[MEP_compra_ARS]]/MEDIAN(N:N),100%)</f>
        <v>1</v>
      </c>
      <c r="Q52" s="38">
        <f>df_mep[[#This Row],[MEP_compra_USD]]/MEDIAN(O:O)-1</f>
        <v>-1</v>
      </c>
      <c r="R5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2" s="38">
        <f>ABS(df_mep[[#This Row],[bid_BA]]-df_mep[[#This Row],[ask_BA]])/AVERAGE(df_mep[[#This Row],[bid_BA]:[ask_BA]])</f>
        <v>7.4317486915552261E-2</v>
      </c>
      <c r="T52" s="36" t="e">
        <f>ABS(df_mep[[#This Row],[bid_D_BA]]-df_mep[[#This Row],[ask_D_BA]])/AVERAGE(df_mep[[#This Row],[bid_D_BA]:[ask_D_BA]])</f>
        <v>#DIV/0!</v>
      </c>
    </row>
    <row r="53" spans="1:20" hidden="1" x14ac:dyDescent="0.35">
      <c r="A53" t="s">
        <v>253</v>
      </c>
      <c r="B53" t="s">
        <v>434</v>
      </c>
      <c r="C53" s="4">
        <v>17554</v>
      </c>
      <c r="D53" s="4">
        <v>70</v>
      </c>
      <c r="E53" s="4">
        <v>18430</v>
      </c>
      <c r="I53" s="5">
        <v>116</v>
      </c>
      <c r="J53" s="5">
        <f>df_mep[[#This Row],[volume_BA]]*df_mep[[#This Row],[open_BA]]</f>
        <v>2036264</v>
      </c>
      <c r="L53" s="5">
        <f>df_mep[[#This Row],[volume_D_BA]]*df_mep[[#This Row],[open_D_BA]]</f>
        <v>0</v>
      </c>
      <c r="P53" s="37">
        <f>MIN(1-df_mep[[#This Row],[MEP_compra_ARS]]/MEDIAN(N:N),100%)</f>
        <v>1</v>
      </c>
      <c r="Q53" s="38">
        <f>df_mep[[#This Row],[MEP_compra_USD]]/MEDIAN(O:O)-1</f>
        <v>-1</v>
      </c>
      <c r="R5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3" s="38">
        <f>ABS(df_mep[[#This Row],[bid_BA]]-df_mep[[#This Row],[ask_BA]])/AVERAGE(df_mep[[#This Row],[bid_BA]:[ask_BA]])</f>
        <v>1.9848648648648648</v>
      </c>
      <c r="T53" s="36" t="e">
        <f>ABS(df_mep[[#This Row],[bid_D_BA]]-df_mep[[#This Row],[ask_D_BA]])/AVERAGE(df_mep[[#This Row],[bid_D_BA]:[ask_D_BA]])</f>
        <v>#DIV/0!</v>
      </c>
    </row>
    <row r="54" spans="1:20" hidden="1" x14ac:dyDescent="0.35">
      <c r="A54" t="s">
        <v>438</v>
      </c>
      <c r="B54" t="s">
        <v>439</v>
      </c>
      <c r="C54" s="4">
        <v>19993.5</v>
      </c>
      <c r="D54" s="4">
        <v>20633</v>
      </c>
      <c r="E54" s="4">
        <v>21045.5</v>
      </c>
      <c r="I54" s="5">
        <v>1</v>
      </c>
      <c r="J54" s="5">
        <f>df_mep[[#This Row],[volume_BA]]*df_mep[[#This Row],[open_BA]]</f>
        <v>19993.5</v>
      </c>
      <c r="L54" s="5">
        <f>df_mep[[#This Row],[volume_D_BA]]*df_mep[[#This Row],[open_D_BA]]</f>
        <v>0</v>
      </c>
      <c r="P54" s="37">
        <f>MIN(1-df_mep[[#This Row],[MEP_compra_ARS]]/MEDIAN(N:N),100%)</f>
        <v>1</v>
      </c>
      <c r="Q54" s="38">
        <f>df_mep[[#This Row],[MEP_compra_USD]]/MEDIAN(O:O)-1</f>
        <v>-1</v>
      </c>
      <c r="R5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4" s="38">
        <f>ABS(df_mep[[#This Row],[bid_BA]]-df_mep[[#This Row],[ask_BA]])/AVERAGE(df_mep[[#This Row],[bid_BA]:[ask_BA]])</f>
        <v>1.9794378396535382E-2</v>
      </c>
      <c r="T54" s="36" t="e">
        <f>ABS(df_mep[[#This Row],[bid_D_BA]]-df_mep[[#This Row],[ask_D_BA]])/AVERAGE(df_mep[[#This Row],[bid_D_BA]:[ask_D_BA]])</f>
        <v>#DIV/0!</v>
      </c>
    </row>
    <row r="55" spans="1:20" hidden="1" x14ac:dyDescent="0.35">
      <c r="A55" t="s">
        <v>256</v>
      </c>
      <c r="B55" t="s">
        <v>440</v>
      </c>
      <c r="C55" s="4">
        <v>4997</v>
      </c>
      <c r="D55" s="4">
        <v>4879</v>
      </c>
      <c r="E55" s="4">
        <v>5100</v>
      </c>
      <c r="I55" s="5">
        <v>2</v>
      </c>
      <c r="J55" s="5">
        <f>df_mep[[#This Row],[volume_BA]]*df_mep[[#This Row],[open_BA]]</f>
        <v>9994</v>
      </c>
      <c r="L55" s="5">
        <f>df_mep[[#This Row],[volume_D_BA]]*df_mep[[#This Row],[open_D_BA]]</f>
        <v>0</v>
      </c>
      <c r="P55" s="37">
        <f>MIN(1-df_mep[[#This Row],[MEP_compra_ARS]]/MEDIAN(N:N),100%)</f>
        <v>1</v>
      </c>
      <c r="Q55" s="38">
        <f>df_mep[[#This Row],[MEP_compra_USD]]/MEDIAN(O:O)-1</f>
        <v>-1</v>
      </c>
      <c r="R5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5" s="38">
        <f>ABS(df_mep[[#This Row],[bid_BA]]-df_mep[[#This Row],[ask_BA]])/AVERAGE(df_mep[[#This Row],[bid_BA]:[ask_BA]])</f>
        <v>4.4293015332197615E-2</v>
      </c>
      <c r="T55" s="36" t="e">
        <f>ABS(df_mep[[#This Row],[bid_D_BA]]-df_mep[[#This Row],[ask_D_BA]])/AVERAGE(df_mep[[#This Row],[bid_D_BA]:[ask_D_BA]])</f>
        <v>#DIV/0!</v>
      </c>
    </row>
    <row r="56" spans="1:20" hidden="1" x14ac:dyDescent="0.35">
      <c r="A56" t="s">
        <v>257</v>
      </c>
      <c r="B56" t="s">
        <v>441</v>
      </c>
      <c r="C56" s="4">
        <v>15841</v>
      </c>
      <c r="D56" s="4">
        <v>16110</v>
      </c>
      <c r="E56" s="4">
        <v>16200</v>
      </c>
      <c r="I56" s="5">
        <v>84</v>
      </c>
      <c r="J56" s="5">
        <f>df_mep[[#This Row],[volume_BA]]*df_mep[[#This Row],[open_BA]]</f>
        <v>1330644</v>
      </c>
      <c r="L56" s="5">
        <f>df_mep[[#This Row],[volume_D_BA]]*df_mep[[#This Row],[open_D_BA]]</f>
        <v>0</v>
      </c>
      <c r="P56" s="37">
        <f>MIN(1-df_mep[[#This Row],[MEP_compra_ARS]]/MEDIAN(N:N),100%)</f>
        <v>1</v>
      </c>
      <c r="Q56" s="38">
        <f>df_mep[[#This Row],[MEP_compra_USD]]/MEDIAN(O:O)-1</f>
        <v>-1</v>
      </c>
      <c r="R5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6" s="38">
        <f>ABS(df_mep[[#This Row],[bid_BA]]-df_mep[[#This Row],[ask_BA]])/AVERAGE(df_mep[[#This Row],[bid_BA]:[ask_BA]])</f>
        <v>5.5710306406685237E-3</v>
      </c>
      <c r="T56" s="36" t="e">
        <f>ABS(df_mep[[#This Row],[bid_D_BA]]-df_mep[[#This Row],[ask_D_BA]])/AVERAGE(df_mep[[#This Row],[bid_D_BA]:[ask_D_BA]])</f>
        <v>#DIV/0!</v>
      </c>
    </row>
    <row r="57" spans="1:20" hidden="1" x14ac:dyDescent="0.35">
      <c r="A57" t="s">
        <v>258</v>
      </c>
      <c r="B57" t="s">
        <v>442</v>
      </c>
      <c r="C57" s="4">
        <v>3880</v>
      </c>
      <c r="D57" s="4">
        <v>3350</v>
      </c>
      <c r="E57" s="4">
        <v>4290</v>
      </c>
      <c r="I57" s="5">
        <v>3</v>
      </c>
      <c r="J57" s="5">
        <f>df_mep[[#This Row],[volume_BA]]*df_mep[[#This Row],[open_BA]]</f>
        <v>11640</v>
      </c>
      <c r="L57" s="5">
        <f>df_mep[[#This Row],[volume_D_BA]]*df_mep[[#This Row],[open_D_BA]]</f>
        <v>0</v>
      </c>
      <c r="P57" s="37">
        <f>MIN(1-df_mep[[#This Row],[MEP_compra_ARS]]/MEDIAN(N:N),100%)</f>
        <v>1</v>
      </c>
      <c r="Q57" s="38">
        <f>df_mep[[#This Row],[MEP_compra_USD]]/MEDIAN(O:O)-1</f>
        <v>-1</v>
      </c>
      <c r="R5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7" s="38">
        <f>ABS(df_mep[[#This Row],[bid_BA]]-df_mep[[#This Row],[ask_BA]])/AVERAGE(df_mep[[#This Row],[bid_BA]:[ask_BA]])</f>
        <v>0.24607329842931938</v>
      </c>
      <c r="T57" s="36" t="e">
        <f>ABS(df_mep[[#This Row],[bid_D_BA]]-df_mep[[#This Row],[ask_D_BA]])/AVERAGE(df_mep[[#This Row],[bid_D_BA]:[ask_D_BA]])</f>
        <v>#DIV/0!</v>
      </c>
    </row>
    <row r="58" spans="1:20" hidden="1" x14ac:dyDescent="0.35">
      <c r="A58" t="s">
        <v>259</v>
      </c>
      <c r="B58" t="s">
        <v>444</v>
      </c>
      <c r="C58" s="4">
        <v>8050</v>
      </c>
      <c r="D58" s="4">
        <v>6800</v>
      </c>
      <c r="E58" s="4">
        <v>11000</v>
      </c>
      <c r="I58" s="5">
        <v>8</v>
      </c>
      <c r="J58" s="5">
        <f>df_mep[[#This Row],[volume_BA]]*df_mep[[#This Row],[open_BA]]</f>
        <v>64400</v>
      </c>
      <c r="L58" s="5">
        <f>df_mep[[#This Row],[volume_D_BA]]*df_mep[[#This Row],[open_D_BA]]</f>
        <v>0</v>
      </c>
      <c r="P58" s="37">
        <f>MIN(1-df_mep[[#This Row],[MEP_compra_ARS]]/MEDIAN(N:N),100%)</f>
        <v>1</v>
      </c>
      <c r="Q58" s="38">
        <f>df_mep[[#This Row],[MEP_compra_USD]]/MEDIAN(O:O)-1</f>
        <v>-1</v>
      </c>
      <c r="R5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8" s="38">
        <f>ABS(df_mep[[#This Row],[bid_BA]]-df_mep[[#This Row],[ask_BA]])/AVERAGE(df_mep[[#This Row],[bid_BA]:[ask_BA]])</f>
        <v>0.47191011235955055</v>
      </c>
      <c r="T58" s="36" t="e">
        <f>ABS(df_mep[[#This Row],[bid_D_BA]]-df_mep[[#This Row],[ask_D_BA]])/AVERAGE(df_mep[[#This Row],[bid_D_BA]:[ask_D_BA]])</f>
        <v>#DIV/0!</v>
      </c>
    </row>
    <row r="59" spans="1:20" hidden="1" x14ac:dyDescent="0.35">
      <c r="A59" t="s">
        <v>446</v>
      </c>
      <c r="B59" t="s">
        <v>447</v>
      </c>
      <c r="C59" s="4">
        <v>0</v>
      </c>
      <c r="D59" s="4">
        <v>11276.5</v>
      </c>
      <c r="E59" s="4">
        <v>11332</v>
      </c>
      <c r="I59" s="5">
        <v>0</v>
      </c>
      <c r="J59" s="5">
        <f>df_mep[[#This Row],[volume_BA]]*df_mep[[#This Row],[open_BA]]</f>
        <v>0</v>
      </c>
      <c r="L59" s="5">
        <f>df_mep[[#This Row],[volume_D_BA]]*df_mep[[#This Row],[open_D_BA]]</f>
        <v>0</v>
      </c>
      <c r="P59" s="37">
        <f>MIN(1-df_mep[[#This Row],[MEP_compra_ARS]]/MEDIAN(N:N),100%)</f>
        <v>1</v>
      </c>
      <c r="Q59" s="38">
        <f>df_mep[[#This Row],[MEP_compra_USD]]/MEDIAN(O:O)-1</f>
        <v>-1</v>
      </c>
      <c r="R5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9" s="38">
        <f>ABS(df_mep[[#This Row],[bid_BA]]-df_mep[[#This Row],[ask_BA]])/AVERAGE(df_mep[[#This Row],[bid_BA]:[ask_BA]])</f>
        <v>4.9096578720392772E-3</v>
      </c>
      <c r="T59" s="36" t="e">
        <f>ABS(df_mep[[#This Row],[bid_D_BA]]-df_mep[[#This Row],[ask_D_BA]])/AVERAGE(df_mep[[#This Row],[bid_D_BA]:[ask_D_BA]])</f>
        <v>#DIV/0!</v>
      </c>
    </row>
    <row r="60" spans="1:20" hidden="1" x14ac:dyDescent="0.35">
      <c r="A60" t="s">
        <v>451</v>
      </c>
      <c r="B60" t="s">
        <v>452</v>
      </c>
      <c r="C60" s="4">
        <v>17135.5</v>
      </c>
      <c r="D60" s="4">
        <v>18112.5</v>
      </c>
      <c r="E60" s="4">
        <v>18474.5</v>
      </c>
      <c r="I60" s="5">
        <v>1</v>
      </c>
      <c r="J60" s="5">
        <f>df_mep[[#This Row],[volume_BA]]*df_mep[[#This Row],[open_BA]]</f>
        <v>17135.5</v>
      </c>
      <c r="L60" s="5">
        <f>df_mep[[#This Row],[volume_D_BA]]*df_mep[[#This Row],[open_D_BA]]</f>
        <v>0</v>
      </c>
      <c r="P60" s="37">
        <f>MIN(1-df_mep[[#This Row],[MEP_compra_ARS]]/MEDIAN(N:N),100%)</f>
        <v>1</v>
      </c>
      <c r="Q60" s="38">
        <f>df_mep[[#This Row],[MEP_compra_USD]]/MEDIAN(O:O)-1</f>
        <v>-1</v>
      </c>
      <c r="R6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0" s="38">
        <f>ABS(df_mep[[#This Row],[bid_BA]]-df_mep[[#This Row],[ask_BA]])/AVERAGE(df_mep[[#This Row],[bid_BA]:[ask_BA]])</f>
        <v>1.9788449449257933E-2</v>
      </c>
      <c r="T60" s="36" t="e">
        <f>ABS(df_mep[[#This Row],[bid_D_BA]]-df_mep[[#This Row],[ask_D_BA]])/AVERAGE(df_mep[[#This Row],[bid_D_BA]:[ask_D_BA]])</f>
        <v>#DIV/0!</v>
      </c>
    </row>
    <row r="61" spans="1:20" hidden="1" x14ac:dyDescent="0.35">
      <c r="A61" t="s">
        <v>453</v>
      </c>
      <c r="B61" t="s">
        <v>454</v>
      </c>
      <c r="C61" s="4">
        <v>5249</v>
      </c>
      <c r="D61" s="4">
        <v>5769.5</v>
      </c>
      <c r="E61" s="4">
        <v>5884</v>
      </c>
      <c r="I61" s="5">
        <v>2</v>
      </c>
      <c r="J61" s="5">
        <f>df_mep[[#This Row],[volume_BA]]*df_mep[[#This Row],[open_BA]]</f>
        <v>10498</v>
      </c>
      <c r="L61" s="5">
        <f>df_mep[[#This Row],[volume_D_BA]]*df_mep[[#This Row],[open_D_BA]]</f>
        <v>0</v>
      </c>
      <c r="P61" s="37">
        <f>MIN(1-df_mep[[#This Row],[MEP_compra_ARS]]/MEDIAN(N:N),100%)</f>
        <v>1</v>
      </c>
      <c r="Q61" s="38">
        <f>df_mep[[#This Row],[MEP_compra_USD]]/MEDIAN(O:O)-1</f>
        <v>-1</v>
      </c>
      <c r="R6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1" s="38">
        <f>ABS(df_mep[[#This Row],[bid_BA]]-df_mep[[#This Row],[ask_BA]])/AVERAGE(df_mep[[#This Row],[bid_BA]:[ask_BA]])</f>
        <v>1.9650748702106664E-2</v>
      </c>
      <c r="T61" s="36" t="e">
        <f>ABS(df_mep[[#This Row],[bid_D_BA]]-df_mep[[#This Row],[ask_D_BA]])/AVERAGE(df_mep[[#This Row],[bid_D_BA]:[ask_D_BA]])</f>
        <v>#DIV/0!</v>
      </c>
    </row>
    <row r="62" spans="1:20" hidden="1" x14ac:dyDescent="0.35">
      <c r="A62" t="s">
        <v>455</v>
      </c>
      <c r="B62" t="s">
        <v>456</v>
      </c>
      <c r="C62" s="4">
        <v>4020</v>
      </c>
      <c r="D62" s="4">
        <v>3000</v>
      </c>
      <c r="E62" s="4">
        <v>4485</v>
      </c>
      <c r="I62" s="5">
        <v>6</v>
      </c>
      <c r="J62" s="5">
        <f>df_mep[[#This Row],[volume_BA]]*df_mep[[#This Row],[open_BA]]</f>
        <v>24120</v>
      </c>
      <c r="L62" s="5">
        <f>df_mep[[#This Row],[volume_D_BA]]*df_mep[[#This Row],[open_D_BA]]</f>
        <v>0</v>
      </c>
      <c r="P62" s="37">
        <f>MIN(1-df_mep[[#This Row],[MEP_compra_ARS]]/MEDIAN(N:N),100%)</f>
        <v>1</v>
      </c>
      <c r="Q62" s="38">
        <f>df_mep[[#This Row],[MEP_compra_USD]]/MEDIAN(O:O)-1</f>
        <v>-1</v>
      </c>
      <c r="R6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2" s="38">
        <f>ABS(df_mep[[#This Row],[bid_BA]]-df_mep[[#This Row],[ask_BA]])/AVERAGE(df_mep[[#This Row],[bid_BA]:[ask_BA]])</f>
        <v>0.39679358717434871</v>
      </c>
      <c r="T62" s="36" t="e">
        <f>ABS(df_mep[[#This Row],[bid_D_BA]]-df_mep[[#This Row],[ask_D_BA]])/AVERAGE(df_mep[[#This Row],[bid_D_BA]:[ask_D_BA]])</f>
        <v>#DIV/0!</v>
      </c>
    </row>
    <row r="63" spans="1:20" hidden="1" x14ac:dyDescent="0.35">
      <c r="A63" t="s">
        <v>261</v>
      </c>
      <c r="B63" t="s">
        <v>459</v>
      </c>
      <c r="C63" s="4">
        <v>35099</v>
      </c>
      <c r="D63" s="4">
        <v>35045.5</v>
      </c>
      <c r="E63" s="4">
        <v>35050</v>
      </c>
      <c r="I63" s="5">
        <v>26</v>
      </c>
      <c r="J63" s="5">
        <f>df_mep[[#This Row],[volume_BA]]*df_mep[[#This Row],[open_BA]]</f>
        <v>912574</v>
      </c>
      <c r="L63" s="5">
        <f>df_mep[[#This Row],[volume_D_BA]]*df_mep[[#This Row],[open_D_BA]]</f>
        <v>0</v>
      </c>
      <c r="P63" s="37">
        <f>MIN(1-df_mep[[#This Row],[MEP_compra_ARS]]/MEDIAN(N:N),100%)</f>
        <v>1</v>
      </c>
      <c r="Q63" s="38">
        <f>df_mep[[#This Row],[MEP_compra_USD]]/MEDIAN(O:O)-1</f>
        <v>-1</v>
      </c>
      <c r="R6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3" s="38">
        <f>ABS(df_mep[[#This Row],[bid_BA]]-df_mep[[#This Row],[ask_BA]])/AVERAGE(df_mep[[#This Row],[bid_BA]:[ask_BA]])</f>
        <v>1.2839625938897647E-4</v>
      </c>
      <c r="T63" s="36" t="e">
        <f>ABS(df_mep[[#This Row],[bid_D_BA]]-df_mep[[#This Row],[ask_D_BA]])/AVERAGE(df_mep[[#This Row],[bid_D_BA]:[ask_D_BA]])</f>
        <v>#DIV/0!</v>
      </c>
    </row>
    <row r="64" spans="1:20" hidden="1" x14ac:dyDescent="0.35">
      <c r="A64" t="s">
        <v>262</v>
      </c>
      <c r="B64" t="s">
        <v>462</v>
      </c>
      <c r="C64" s="4">
        <v>10400</v>
      </c>
      <c r="D64" s="4">
        <v>10274</v>
      </c>
      <c r="E64" s="4">
        <v>10420</v>
      </c>
      <c r="I64" s="5">
        <v>63</v>
      </c>
      <c r="J64" s="5">
        <f>df_mep[[#This Row],[volume_BA]]*df_mep[[#This Row],[open_BA]]</f>
        <v>655200</v>
      </c>
      <c r="L64" s="5">
        <f>df_mep[[#This Row],[volume_D_BA]]*df_mep[[#This Row],[open_D_BA]]</f>
        <v>0</v>
      </c>
      <c r="P64" s="37">
        <f>MIN(1-df_mep[[#This Row],[MEP_compra_ARS]]/MEDIAN(N:N),100%)</f>
        <v>1</v>
      </c>
      <c r="Q64" s="38">
        <f>df_mep[[#This Row],[MEP_compra_USD]]/MEDIAN(O:O)-1</f>
        <v>-1</v>
      </c>
      <c r="R6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4" s="38">
        <f>ABS(df_mep[[#This Row],[bid_BA]]-df_mep[[#This Row],[ask_BA]])/AVERAGE(df_mep[[#This Row],[bid_BA]:[ask_BA]])</f>
        <v>1.4110370155600658E-2</v>
      </c>
      <c r="T64" s="36" t="e">
        <f>ABS(df_mep[[#This Row],[bid_D_BA]]-df_mep[[#This Row],[ask_D_BA]])/AVERAGE(df_mep[[#This Row],[bid_D_BA]:[ask_D_BA]])</f>
        <v>#DIV/0!</v>
      </c>
    </row>
    <row r="65" spans="1:20" hidden="1" x14ac:dyDescent="0.35">
      <c r="A65" t="s">
        <v>263</v>
      </c>
      <c r="B65" t="s">
        <v>463</v>
      </c>
      <c r="C65" s="4">
        <v>19800</v>
      </c>
      <c r="D65" s="4">
        <v>17500</v>
      </c>
      <c r="E65" s="4">
        <v>20412</v>
      </c>
      <c r="I65" s="5">
        <v>2</v>
      </c>
      <c r="J65" s="5">
        <f>df_mep[[#This Row],[volume_BA]]*df_mep[[#This Row],[open_BA]]</f>
        <v>39600</v>
      </c>
      <c r="L65" s="5">
        <f>df_mep[[#This Row],[volume_D_BA]]*df_mep[[#This Row],[open_D_BA]]</f>
        <v>0</v>
      </c>
      <c r="P65" s="37">
        <f>MIN(1-df_mep[[#This Row],[MEP_compra_ARS]]/MEDIAN(N:N),100%)</f>
        <v>1</v>
      </c>
      <c r="Q65" s="38">
        <f>df_mep[[#This Row],[MEP_compra_USD]]/MEDIAN(O:O)-1</f>
        <v>-1</v>
      </c>
      <c r="R6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5" s="38">
        <f>ABS(df_mep[[#This Row],[bid_BA]]-df_mep[[#This Row],[ask_BA]])/AVERAGE(df_mep[[#This Row],[bid_BA]:[ask_BA]])</f>
        <v>0.15361890694239291</v>
      </c>
      <c r="T65" s="36" t="e">
        <f>ABS(df_mep[[#This Row],[bid_D_BA]]-df_mep[[#This Row],[ask_D_BA]])/AVERAGE(df_mep[[#This Row],[bid_D_BA]:[ask_D_BA]])</f>
        <v>#DIV/0!</v>
      </c>
    </row>
    <row r="66" spans="1:20" hidden="1" x14ac:dyDescent="0.35">
      <c r="A66" t="s">
        <v>264</v>
      </c>
      <c r="B66" t="s">
        <v>464</v>
      </c>
      <c r="C66" s="4">
        <v>920</v>
      </c>
      <c r="D66" s="4">
        <v>938</v>
      </c>
      <c r="E66" s="4">
        <v>920</v>
      </c>
      <c r="I66" s="5">
        <v>741</v>
      </c>
      <c r="J66" s="5">
        <f>df_mep[[#This Row],[volume_BA]]*df_mep[[#This Row],[open_BA]]</f>
        <v>681720</v>
      </c>
      <c r="L66" s="5">
        <f>df_mep[[#This Row],[volume_D_BA]]*df_mep[[#This Row],[open_D_BA]]</f>
        <v>0</v>
      </c>
      <c r="P66" s="37">
        <f>MIN(1-df_mep[[#This Row],[MEP_compra_ARS]]/MEDIAN(N:N),100%)</f>
        <v>1</v>
      </c>
      <c r="Q66" s="38">
        <f>df_mep[[#This Row],[MEP_compra_USD]]/MEDIAN(O:O)-1</f>
        <v>-1</v>
      </c>
      <c r="R6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6" s="38">
        <f>ABS(df_mep[[#This Row],[bid_BA]]-df_mep[[#This Row],[ask_BA]])/AVERAGE(df_mep[[#This Row],[bid_BA]:[ask_BA]])</f>
        <v>1.9375672766415501E-2</v>
      </c>
      <c r="T66" s="36" t="e">
        <f>ABS(df_mep[[#This Row],[bid_D_BA]]-df_mep[[#This Row],[ask_D_BA]])/AVERAGE(df_mep[[#This Row],[bid_D_BA]:[ask_D_BA]])</f>
        <v>#DIV/0!</v>
      </c>
    </row>
    <row r="67" spans="1:20" hidden="1" x14ac:dyDescent="0.35">
      <c r="A67" t="s">
        <v>265</v>
      </c>
      <c r="B67" t="s">
        <v>467</v>
      </c>
      <c r="C67" s="4">
        <v>17547</v>
      </c>
      <c r="D67" s="4">
        <v>16846</v>
      </c>
      <c r="E67" s="4">
        <v>17400</v>
      </c>
      <c r="I67" s="5">
        <v>323</v>
      </c>
      <c r="J67" s="5">
        <f>df_mep[[#This Row],[volume_BA]]*df_mep[[#This Row],[open_BA]]</f>
        <v>5667681</v>
      </c>
      <c r="L67" s="5">
        <f>df_mep[[#This Row],[volume_D_BA]]*df_mep[[#This Row],[open_D_BA]]</f>
        <v>0</v>
      </c>
      <c r="P67" s="37">
        <f>MIN(1-df_mep[[#This Row],[MEP_compra_ARS]]/MEDIAN(N:N),100%)</f>
        <v>1</v>
      </c>
      <c r="Q67" s="38">
        <f>df_mep[[#This Row],[MEP_compra_USD]]/MEDIAN(O:O)-1</f>
        <v>-1</v>
      </c>
      <c r="R6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7" s="38">
        <f>ABS(df_mep[[#This Row],[bid_BA]]-df_mep[[#This Row],[ask_BA]])/AVERAGE(df_mep[[#This Row],[bid_BA]:[ask_BA]])</f>
        <v>3.2354143549611636E-2</v>
      </c>
      <c r="T67" s="36" t="e">
        <f>ABS(df_mep[[#This Row],[bid_D_BA]]-df_mep[[#This Row],[ask_D_BA]])/AVERAGE(df_mep[[#This Row],[bid_D_BA]:[ask_D_BA]])</f>
        <v>#DIV/0!</v>
      </c>
    </row>
    <row r="68" spans="1:20" hidden="1" x14ac:dyDescent="0.35">
      <c r="A68" t="s">
        <v>470</v>
      </c>
      <c r="B68" t="s">
        <v>471</v>
      </c>
      <c r="C68" s="4">
        <v>3000</v>
      </c>
      <c r="D68" s="4">
        <v>2950</v>
      </c>
      <c r="E68" s="4">
        <v>3123</v>
      </c>
      <c r="I68" s="5">
        <v>10</v>
      </c>
      <c r="J68" s="5">
        <f>df_mep[[#This Row],[volume_BA]]*df_mep[[#This Row],[open_BA]]</f>
        <v>30000</v>
      </c>
      <c r="L68" s="5">
        <f>df_mep[[#This Row],[volume_D_BA]]*df_mep[[#This Row],[open_D_BA]]</f>
        <v>0</v>
      </c>
      <c r="P68" s="37">
        <f>MIN(1-df_mep[[#This Row],[MEP_compra_ARS]]/MEDIAN(N:N),100%)</f>
        <v>1</v>
      </c>
      <c r="Q68" s="38">
        <f>df_mep[[#This Row],[MEP_compra_USD]]/MEDIAN(O:O)-1</f>
        <v>-1</v>
      </c>
      <c r="R6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8" s="38">
        <f>ABS(df_mep[[#This Row],[bid_BA]]-df_mep[[#This Row],[ask_BA]])/AVERAGE(df_mep[[#This Row],[bid_BA]:[ask_BA]])</f>
        <v>5.6973489214556229E-2</v>
      </c>
      <c r="T68" s="36" t="e">
        <f>ABS(df_mep[[#This Row],[bid_D_BA]]-df_mep[[#This Row],[ask_D_BA]])/AVERAGE(df_mep[[#This Row],[bid_D_BA]:[ask_D_BA]])</f>
        <v>#DIV/0!</v>
      </c>
    </row>
    <row r="69" spans="1:20" hidden="1" x14ac:dyDescent="0.35">
      <c r="A69" t="s">
        <v>266</v>
      </c>
      <c r="B69" t="s">
        <v>472</v>
      </c>
      <c r="C69" s="4">
        <v>10150</v>
      </c>
      <c r="D69" s="4">
        <v>10150</v>
      </c>
      <c r="E69" s="4">
        <v>11100</v>
      </c>
      <c r="I69" s="5">
        <v>1</v>
      </c>
      <c r="J69" s="5">
        <f>df_mep[[#This Row],[volume_BA]]*df_mep[[#This Row],[open_BA]]</f>
        <v>10150</v>
      </c>
      <c r="L69" s="5">
        <f>df_mep[[#This Row],[volume_D_BA]]*df_mep[[#This Row],[open_D_BA]]</f>
        <v>0</v>
      </c>
      <c r="P69" s="37">
        <f>MIN(1-df_mep[[#This Row],[MEP_compra_ARS]]/MEDIAN(N:N),100%)</f>
        <v>1</v>
      </c>
      <c r="Q69" s="38">
        <f>df_mep[[#This Row],[MEP_compra_USD]]/MEDIAN(O:O)-1</f>
        <v>-1</v>
      </c>
      <c r="R6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9" s="38">
        <f>ABS(df_mep[[#This Row],[bid_BA]]-df_mep[[#This Row],[ask_BA]])/AVERAGE(df_mep[[#This Row],[bid_BA]:[ask_BA]])</f>
        <v>8.9411764705882357E-2</v>
      </c>
      <c r="T69" s="36" t="e">
        <f>ABS(df_mep[[#This Row],[bid_D_BA]]-df_mep[[#This Row],[ask_D_BA]])/AVERAGE(df_mep[[#This Row],[bid_D_BA]:[ask_D_BA]])</f>
        <v>#DIV/0!</v>
      </c>
    </row>
    <row r="70" spans="1:20" hidden="1" x14ac:dyDescent="0.35">
      <c r="A70" t="s">
        <v>267</v>
      </c>
      <c r="B70" t="s">
        <v>475</v>
      </c>
      <c r="C70" s="4">
        <v>6122</v>
      </c>
      <c r="D70" s="4">
        <v>5826</v>
      </c>
      <c r="E70" s="4">
        <v>6230</v>
      </c>
      <c r="F70" s="34">
        <v>0</v>
      </c>
      <c r="G70" s="34">
        <v>0</v>
      </c>
      <c r="H70" s="34">
        <v>8.5</v>
      </c>
      <c r="I70" s="5">
        <v>25</v>
      </c>
      <c r="J70" s="5">
        <f>df_mep[[#This Row],[volume_BA]]*df_mep[[#This Row],[open_BA]]</f>
        <v>153050</v>
      </c>
      <c r="K70" s="5">
        <v>0</v>
      </c>
      <c r="L70" s="5">
        <f>df_mep[[#This Row],[volume_D_BA]]*df_mep[[#This Row],[open_D_BA]]</f>
        <v>0</v>
      </c>
      <c r="O70" s="3">
        <v>685.41176470588232</v>
      </c>
      <c r="P70" s="37">
        <f>MIN(1-df_mep[[#This Row],[MEP_compra_ARS]]/MEDIAN(N:N),100%)</f>
        <v>1</v>
      </c>
      <c r="Q70" s="38">
        <f>df_mep[[#This Row],[MEP_compra_USD]]/MEDIAN(O:O)-1</f>
        <v>-0.11796267747614675</v>
      </c>
      <c r="R7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0" s="38">
        <f>ABS(df_mep[[#This Row],[bid_BA]]-df_mep[[#This Row],[ask_BA]])/AVERAGE(df_mep[[#This Row],[bid_BA]:[ask_BA]])</f>
        <v>6.7020570670205712E-2</v>
      </c>
      <c r="T70" s="36">
        <f>ABS(df_mep[[#This Row],[bid_D_BA]]-df_mep[[#This Row],[ask_D_BA]])/AVERAGE(df_mep[[#This Row],[bid_D_BA]:[ask_D_BA]])</f>
        <v>2</v>
      </c>
    </row>
    <row r="71" spans="1:20" hidden="1" x14ac:dyDescent="0.35">
      <c r="A71" t="s">
        <v>268</v>
      </c>
      <c r="B71" t="s">
        <v>478</v>
      </c>
      <c r="C71" s="4">
        <v>12389</v>
      </c>
      <c r="D71" s="4">
        <v>11200.5</v>
      </c>
      <c r="E71" s="4">
        <v>12395.5</v>
      </c>
      <c r="I71" s="5">
        <v>57</v>
      </c>
      <c r="J71" s="5">
        <f>df_mep[[#This Row],[volume_BA]]*df_mep[[#This Row],[open_BA]]</f>
        <v>706173</v>
      </c>
      <c r="L71" s="5">
        <f>df_mep[[#This Row],[volume_D_BA]]*df_mep[[#This Row],[open_D_BA]]</f>
        <v>0</v>
      </c>
      <c r="P71" s="37">
        <f>MIN(1-df_mep[[#This Row],[MEP_compra_ARS]]/MEDIAN(N:N),100%)</f>
        <v>1</v>
      </c>
      <c r="Q71" s="38">
        <f>df_mep[[#This Row],[MEP_compra_USD]]/MEDIAN(O:O)-1</f>
        <v>-1</v>
      </c>
      <c r="R7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1" s="38">
        <f>ABS(df_mep[[#This Row],[bid_BA]]-df_mep[[#This Row],[ask_BA]])/AVERAGE(df_mep[[#This Row],[bid_BA]:[ask_BA]])</f>
        <v>0.10128835395829802</v>
      </c>
      <c r="T71" s="36" t="e">
        <f>ABS(df_mep[[#This Row],[bid_D_BA]]-df_mep[[#This Row],[ask_D_BA]])/AVERAGE(df_mep[[#This Row],[bid_D_BA]:[ask_D_BA]])</f>
        <v>#DIV/0!</v>
      </c>
    </row>
    <row r="72" spans="1:20" hidden="1" x14ac:dyDescent="0.35">
      <c r="A72" t="s">
        <v>480</v>
      </c>
      <c r="B72" t="s">
        <v>481</v>
      </c>
      <c r="C72" s="4">
        <v>7111.5</v>
      </c>
      <c r="D72" s="4">
        <v>7534.5</v>
      </c>
      <c r="E72" s="4">
        <v>7760</v>
      </c>
      <c r="F72" s="34">
        <v>0</v>
      </c>
      <c r="I72" s="5">
        <v>49</v>
      </c>
      <c r="J72" s="5">
        <f>df_mep[[#This Row],[volume_BA]]*df_mep[[#This Row],[open_BA]]</f>
        <v>348463.5</v>
      </c>
      <c r="K72" s="5">
        <v>0</v>
      </c>
      <c r="L72" s="5">
        <f>df_mep[[#This Row],[volume_D_BA]]*df_mep[[#This Row],[open_D_BA]]</f>
        <v>0</v>
      </c>
      <c r="P72" s="37">
        <f>MIN(1-df_mep[[#This Row],[MEP_compra_ARS]]/MEDIAN(N:N),100%)</f>
        <v>1</v>
      </c>
      <c r="Q72" s="38">
        <f>df_mep[[#This Row],[MEP_compra_USD]]/MEDIAN(O:O)-1</f>
        <v>-1</v>
      </c>
      <c r="R7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2" s="38">
        <f>ABS(df_mep[[#This Row],[bid_BA]]-df_mep[[#This Row],[ask_BA]])/AVERAGE(df_mep[[#This Row],[bid_BA]:[ask_BA]])</f>
        <v>2.9487724345352906E-2</v>
      </c>
      <c r="T72" s="36" t="e">
        <f>ABS(df_mep[[#This Row],[bid_D_BA]]-df_mep[[#This Row],[ask_D_BA]])/AVERAGE(df_mep[[#This Row],[bid_D_BA]:[ask_D_BA]])</f>
        <v>#DIV/0!</v>
      </c>
    </row>
    <row r="73" spans="1:20" hidden="1" x14ac:dyDescent="0.35">
      <c r="A73" t="s">
        <v>132</v>
      </c>
      <c r="B73" t="s">
        <v>482</v>
      </c>
      <c r="C73" s="4">
        <v>11075.5</v>
      </c>
      <c r="D73" s="4">
        <v>10750</v>
      </c>
      <c r="E73" s="4">
        <v>11100</v>
      </c>
      <c r="F73" s="34">
        <v>0</v>
      </c>
      <c r="G73" s="34">
        <v>0</v>
      </c>
      <c r="H73" s="34">
        <v>0</v>
      </c>
      <c r="I73" s="5">
        <v>255</v>
      </c>
      <c r="J73" s="5">
        <f>df_mep[[#This Row],[volume_BA]]*df_mep[[#This Row],[open_BA]]</f>
        <v>2824252.5</v>
      </c>
      <c r="K73" s="5">
        <v>0</v>
      </c>
      <c r="L73" s="5">
        <f>df_mep[[#This Row],[volume_D_BA]]*df_mep[[#This Row],[open_D_BA]]</f>
        <v>0</v>
      </c>
      <c r="P73" s="37">
        <f>MIN(1-df_mep[[#This Row],[MEP_compra_ARS]]/MEDIAN(N:N),100%)</f>
        <v>1</v>
      </c>
      <c r="Q73" s="38">
        <f>df_mep[[#This Row],[MEP_compra_USD]]/MEDIAN(O:O)-1</f>
        <v>-1</v>
      </c>
      <c r="R7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3" s="38">
        <f>ABS(df_mep[[#This Row],[bid_BA]]-df_mep[[#This Row],[ask_BA]])/AVERAGE(df_mep[[#This Row],[bid_BA]:[ask_BA]])</f>
        <v>3.2036613272311214E-2</v>
      </c>
      <c r="T73" s="36" t="e">
        <f>ABS(df_mep[[#This Row],[bid_D_BA]]-df_mep[[#This Row],[ask_D_BA]])/AVERAGE(df_mep[[#This Row],[bid_D_BA]:[ask_D_BA]])</f>
        <v>#DIV/0!</v>
      </c>
    </row>
    <row r="74" spans="1:20" hidden="1" x14ac:dyDescent="0.35">
      <c r="A74" t="s">
        <v>484</v>
      </c>
      <c r="B74" t="s">
        <v>485</v>
      </c>
      <c r="C74" s="4">
        <v>12274.5</v>
      </c>
      <c r="D74" s="4">
        <v>12177</v>
      </c>
      <c r="E74" s="4">
        <v>12420</v>
      </c>
      <c r="I74" s="5">
        <v>5</v>
      </c>
      <c r="J74" s="5">
        <f>df_mep[[#This Row],[volume_BA]]*df_mep[[#This Row],[open_BA]]</f>
        <v>61372.5</v>
      </c>
      <c r="L74" s="5">
        <f>df_mep[[#This Row],[volume_D_BA]]*df_mep[[#This Row],[open_D_BA]]</f>
        <v>0</v>
      </c>
      <c r="P74" s="37">
        <f>MIN(1-df_mep[[#This Row],[MEP_compra_ARS]]/MEDIAN(N:N),100%)</f>
        <v>1</v>
      </c>
      <c r="Q74" s="38">
        <f>df_mep[[#This Row],[MEP_compra_USD]]/MEDIAN(O:O)-1</f>
        <v>-1</v>
      </c>
      <c r="R7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4" s="38">
        <f>ABS(df_mep[[#This Row],[bid_BA]]-df_mep[[#This Row],[ask_BA]])/AVERAGE(df_mep[[#This Row],[bid_BA]:[ask_BA]])</f>
        <v>1.9758507135016465E-2</v>
      </c>
      <c r="T74" s="36" t="e">
        <f>ABS(df_mep[[#This Row],[bid_D_BA]]-df_mep[[#This Row],[ask_D_BA]])/AVERAGE(df_mep[[#This Row],[bid_D_BA]:[ask_D_BA]])</f>
        <v>#DIV/0!</v>
      </c>
    </row>
    <row r="75" spans="1:20" hidden="1" x14ac:dyDescent="0.35">
      <c r="A75" t="s">
        <v>269</v>
      </c>
      <c r="B75" t="s">
        <v>486</v>
      </c>
      <c r="C75" s="4">
        <v>25144</v>
      </c>
      <c r="D75" s="4">
        <v>25119</v>
      </c>
      <c r="E75" s="4">
        <v>27025.5</v>
      </c>
      <c r="I75" s="5">
        <v>786</v>
      </c>
      <c r="J75" s="5">
        <f>df_mep[[#This Row],[volume_BA]]*df_mep[[#This Row],[open_BA]]</f>
        <v>19763184</v>
      </c>
      <c r="L75" s="5">
        <f>df_mep[[#This Row],[volume_D_BA]]*df_mep[[#This Row],[open_D_BA]]</f>
        <v>0</v>
      </c>
      <c r="P75" s="37">
        <f>MIN(1-df_mep[[#This Row],[MEP_compra_ARS]]/MEDIAN(N:N),100%)</f>
        <v>1</v>
      </c>
      <c r="Q75" s="38">
        <f>df_mep[[#This Row],[MEP_compra_USD]]/MEDIAN(O:O)-1</f>
        <v>-1</v>
      </c>
      <c r="R7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5" s="38">
        <f>ABS(df_mep[[#This Row],[bid_BA]]-df_mep[[#This Row],[ask_BA]])/AVERAGE(df_mep[[#This Row],[bid_BA]:[ask_BA]])</f>
        <v>7.3123723499122634E-2</v>
      </c>
      <c r="T75" s="36" t="e">
        <f>ABS(df_mep[[#This Row],[bid_D_BA]]-df_mep[[#This Row],[ask_D_BA]])/AVERAGE(df_mep[[#This Row],[bid_D_BA]:[ask_D_BA]])</f>
        <v>#DIV/0!</v>
      </c>
    </row>
    <row r="76" spans="1:20" hidden="1" x14ac:dyDescent="0.35">
      <c r="A76" t="s">
        <v>489</v>
      </c>
      <c r="B76" t="s">
        <v>490</v>
      </c>
      <c r="C76" s="4">
        <v>3435</v>
      </c>
      <c r="D76" s="4">
        <v>3607.5</v>
      </c>
      <c r="E76" s="4">
        <v>10305</v>
      </c>
      <c r="I76" s="5">
        <v>1</v>
      </c>
      <c r="J76" s="5">
        <f>df_mep[[#This Row],[volume_BA]]*df_mep[[#This Row],[open_BA]]</f>
        <v>3435</v>
      </c>
      <c r="L76" s="5">
        <f>df_mep[[#This Row],[volume_D_BA]]*df_mep[[#This Row],[open_D_BA]]</f>
        <v>0</v>
      </c>
      <c r="P76" s="37">
        <f>MIN(1-df_mep[[#This Row],[MEP_compra_ARS]]/MEDIAN(N:N),100%)</f>
        <v>1</v>
      </c>
      <c r="Q76" s="38">
        <f>df_mep[[#This Row],[MEP_compra_USD]]/MEDIAN(O:O)-1</f>
        <v>-1</v>
      </c>
      <c r="R7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6" s="38">
        <f>ABS(df_mep[[#This Row],[bid_BA]]-df_mep[[#This Row],[ask_BA]])/AVERAGE(df_mep[[#This Row],[bid_BA]:[ask_BA]])</f>
        <v>0.96280323450134775</v>
      </c>
      <c r="T76" s="36" t="e">
        <f>ABS(df_mep[[#This Row],[bid_D_BA]]-df_mep[[#This Row],[ask_D_BA]])/AVERAGE(df_mep[[#This Row],[bid_D_BA]:[ask_D_BA]])</f>
        <v>#DIV/0!</v>
      </c>
    </row>
    <row r="77" spans="1:20" hidden="1" x14ac:dyDescent="0.35">
      <c r="A77" t="s">
        <v>491</v>
      </c>
      <c r="B77" t="s">
        <v>492</v>
      </c>
      <c r="J77" s="5">
        <f>df_mep[[#This Row],[volume_BA]]*df_mep[[#This Row],[open_BA]]</f>
        <v>0</v>
      </c>
      <c r="L77" s="5">
        <f>df_mep[[#This Row],[volume_D_BA]]*df_mep[[#This Row],[open_D_BA]]</f>
        <v>0</v>
      </c>
      <c r="P77" s="37">
        <f>MIN(1-df_mep[[#This Row],[MEP_compra_ARS]]/MEDIAN(N:N),100%)</f>
        <v>1</v>
      </c>
      <c r="Q77" s="38">
        <f>df_mep[[#This Row],[MEP_compra_USD]]/MEDIAN(O:O)-1</f>
        <v>-1</v>
      </c>
      <c r="R7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7" s="38" t="e">
        <f>ABS(df_mep[[#This Row],[bid_BA]]-df_mep[[#This Row],[ask_BA]])/AVERAGE(df_mep[[#This Row],[bid_BA]:[ask_BA]])</f>
        <v>#DIV/0!</v>
      </c>
      <c r="T77" s="36" t="e">
        <f>ABS(df_mep[[#This Row],[bid_D_BA]]-df_mep[[#This Row],[ask_D_BA]])/AVERAGE(df_mep[[#This Row],[bid_D_BA]:[ask_D_BA]])</f>
        <v>#DIV/0!</v>
      </c>
    </row>
    <row r="78" spans="1:20" hidden="1" x14ac:dyDescent="0.35">
      <c r="A78" t="s">
        <v>493</v>
      </c>
      <c r="B78" t="s">
        <v>494</v>
      </c>
      <c r="J78" s="5">
        <f>df_mep[[#This Row],[volume_BA]]*df_mep[[#This Row],[open_BA]]</f>
        <v>0</v>
      </c>
      <c r="L78" s="5">
        <f>df_mep[[#This Row],[volume_D_BA]]*df_mep[[#This Row],[open_D_BA]]</f>
        <v>0</v>
      </c>
      <c r="P78" s="37">
        <f>MIN(1-df_mep[[#This Row],[MEP_compra_ARS]]/MEDIAN(N:N),100%)</f>
        <v>1</v>
      </c>
      <c r="Q78" s="38">
        <f>df_mep[[#This Row],[MEP_compra_USD]]/MEDIAN(O:O)-1</f>
        <v>-1</v>
      </c>
      <c r="R7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8" s="38" t="e">
        <f>ABS(df_mep[[#This Row],[bid_BA]]-df_mep[[#This Row],[ask_BA]])/AVERAGE(df_mep[[#This Row],[bid_BA]:[ask_BA]])</f>
        <v>#DIV/0!</v>
      </c>
      <c r="T78" s="36" t="e">
        <f>ABS(df_mep[[#This Row],[bid_D_BA]]-df_mep[[#This Row],[ask_D_BA]])/AVERAGE(df_mep[[#This Row],[bid_D_BA]:[ask_D_BA]])</f>
        <v>#DIV/0!</v>
      </c>
    </row>
    <row r="79" spans="1:20" hidden="1" x14ac:dyDescent="0.35">
      <c r="A79" t="s">
        <v>271</v>
      </c>
      <c r="B79" t="s">
        <v>495</v>
      </c>
      <c r="C79" s="4">
        <v>5095</v>
      </c>
      <c r="D79" s="4">
        <v>4190</v>
      </c>
      <c r="E79" s="4">
        <v>5181</v>
      </c>
      <c r="I79" s="5">
        <v>89</v>
      </c>
      <c r="J79" s="5">
        <f>df_mep[[#This Row],[volume_BA]]*df_mep[[#This Row],[open_BA]]</f>
        <v>453455</v>
      </c>
      <c r="L79" s="5">
        <f>df_mep[[#This Row],[volume_D_BA]]*df_mep[[#This Row],[open_D_BA]]</f>
        <v>0</v>
      </c>
      <c r="P79" s="37">
        <f>MIN(1-df_mep[[#This Row],[MEP_compra_ARS]]/MEDIAN(N:N),100%)</f>
        <v>1</v>
      </c>
      <c r="Q79" s="38">
        <f>df_mep[[#This Row],[MEP_compra_USD]]/MEDIAN(O:O)-1</f>
        <v>-1</v>
      </c>
      <c r="R7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9" s="38">
        <f>ABS(df_mep[[#This Row],[bid_BA]]-df_mep[[#This Row],[ask_BA]])/AVERAGE(df_mep[[#This Row],[bid_BA]:[ask_BA]])</f>
        <v>0.21150357485860635</v>
      </c>
      <c r="T79" s="36" t="e">
        <f>ABS(df_mep[[#This Row],[bid_D_BA]]-df_mep[[#This Row],[ask_D_BA]])/AVERAGE(df_mep[[#This Row],[bid_D_BA]:[ask_D_BA]])</f>
        <v>#DIV/0!</v>
      </c>
    </row>
    <row r="80" spans="1:20" hidden="1" x14ac:dyDescent="0.35">
      <c r="A80" t="s">
        <v>272</v>
      </c>
      <c r="B80" t="s">
        <v>496</v>
      </c>
      <c r="C80" s="4">
        <v>6060.5</v>
      </c>
      <c r="D80" s="4">
        <v>6015</v>
      </c>
      <c r="E80" s="4">
        <v>6434.5</v>
      </c>
      <c r="I80" s="5">
        <v>43</v>
      </c>
      <c r="J80" s="5">
        <f>df_mep[[#This Row],[volume_BA]]*df_mep[[#This Row],[open_BA]]</f>
        <v>260601.5</v>
      </c>
      <c r="L80" s="5">
        <f>df_mep[[#This Row],[volume_D_BA]]*df_mep[[#This Row],[open_D_BA]]</f>
        <v>0</v>
      </c>
      <c r="P80" s="37">
        <f>MIN(1-df_mep[[#This Row],[MEP_compra_ARS]]/MEDIAN(N:N),100%)</f>
        <v>1</v>
      </c>
      <c r="Q80" s="38">
        <f>df_mep[[#This Row],[MEP_compra_USD]]/MEDIAN(O:O)-1</f>
        <v>-1</v>
      </c>
      <c r="R8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0" s="38">
        <f>ABS(df_mep[[#This Row],[bid_BA]]-df_mep[[#This Row],[ask_BA]])/AVERAGE(df_mep[[#This Row],[bid_BA]:[ask_BA]])</f>
        <v>6.7392264749588343E-2</v>
      </c>
      <c r="T80" s="36" t="e">
        <f>ABS(df_mep[[#This Row],[bid_D_BA]]-df_mep[[#This Row],[ask_D_BA]])/AVERAGE(df_mep[[#This Row],[bid_D_BA]:[ask_D_BA]])</f>
        <v>#DIV/0!</v>
      </c>
    </row>
    <row r="81" spans="1:20" hidden="1" x14ac:dyDescent="0.35">
      <c r="A81" t="s">
        <v>273</v>
      </c>
      <c r="B81" t="s">
        <v>497</v>
      </c>
      <c r="C81" s="4">
        <v>8957</v>
      </c>
      <c r="D81" s="4">
        <v>9200</v>
      </c>
      <c r="E81" s="4">
        <v>9125</v>
      </c>
      <c r="I81" s="5">
        <v>75</v>
      </c>
      <c r="J81" s="5">
        <f>df_mep[[#This Row],[volume_BA]]*df_mep[[#This Row],[open_BA]]</f>
        <v>671775</v>
      </c>
      <c r="L81" s="5">
        <f>df_mep[[#This Row],[volume_D_BA]]*df_mep[[#This Row],[open_D_BA]]</f>
        <v>0</v>
      </c>
      <c r="P81" s="37">
        <f>MIN(1-df_mep[[#This Row],[MEP_compra_ARS]]/MEDIAN(N:N),100%)</f>
        <v>1</v>
      </c>
      <c r="Q81" s="38">
        <f>df_mep[[#This Row],[MEP_compra_USD]]/MEDIAN(O:O)-1</f>
        <v>-1</v>
      </c>
      <c r="R8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1" s="38">
        <f>ABS(df_mep[[#This Row],[bid_BA]]-df_mep[[#This Row],[ask_BA]])/AVERAGE(df_mep[[#This Row],[bid_BA]:[ask_BA]])</f>
        <v>8.1855388813096858E-3</v>
      </c>
      <c r="T81" s="36" t="e">
        <f>ABS(df_mep[[#This Row],[bid_D_BA]]-df_mep[[#This Row],[ask_D_BA]])/AVERAGE(df_mep[[#This Row],[bid_D_BA]:[ask_D_BA]])</f>
        <v>#DIV/0!</v>
      </c>
    </row>
    <row r="82" spans="1:20" hidden="1" x14ac:dyDescent="0.35">
      <c r="A82" t="s">
        <v>190</v>
      </c>
      <c r="B82" t="s">
        <v>191</v>
      </c>
      <c r="C82" s="4">
        <v>22000</v>
      </c>
      <c r="D82" s="4">
        <v>23200</v>
      </c>
      <c r="E82" s="4">
        <v>23800</v>
      </c>
      <c r="F82" s="34">
        <v>0</v>
      </c>
      <c r="G82" s="34">
        <v>0</v>
      </c>
      <c r="H82" s="34">
        <v>30</v>
      </c>
      <c r="I82" s="5">
        <v>14</v>
      </c>
      <c r="J82" s="5">
        <f>df_mep[[#This Row],[volume_BA]]*df_mep[[#This Row],[open_BA]]</f>
        <v>308000</v>
      </c>
      <c r="K82" s="5">
        <v>0</v>
      </c>
      <c r="L82" s="5">
        <f>df_mep[[#This Row],[volume_D_BA]]*df_mep[[#This Row],[open_D_BA]]</f>
        <v>0</v>
      </c>
      <c r="O82" s="3">
        <v>773.33333333333337</v>
      </c>
      <c r="P82" s="37">
        <f>MIN(1-df_mep[[#This Row],[MEP_compra_ARS]]/MEDIAN(N:N),100%)</f>
        <v>1</v>
      </c>
      <c r="Q82" s="38">
        <f>df_mep[[#This Row],[MEP_compra_USD]]/MEDIAN(O:O)-1</f>
        <v>-4.8188579831566214E-3</v>
      </c>
      <c r="R8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2" s="38">
        <f>ABS(df_mep[[#This Row],[bid_BA]]-df_mep[[#This Row],[ask_BA]])/AVERAGE(df_mep[[#This Row],[bid_BA]:[ask_BA]])</f>
        <v>2.553191489361702E-2</v>
      </c>
      <c r="T82" s="36">
        <f>ABS(df_mep[[#This Row],[bid_D_BA]]-df_mep[[#This Row],[ask_D_BA]])/AVERAGE(df_mep[[#This Row],[bid_D_BA]:[ask_D_BA]])</f>
        <v>2</v>
      </c>
    </row>
    <row r="83" spans="1:20" hidden="1" x14ac:dyDescent="0.35">
      <c r="A83" t="s">
        <v>274</v>
      </c>
      <c r="B83" t="s">
        <v>499</v>
      </c>
      <c r="C83" s="4">
        <v>10409</v>
      </c>
      <c r="D83" s="4">
        <v>10371</v>
      </c>
      <c r="E83" s="4">
        <v>10670.5</v>
      </c>
      <c r="I83" s="5">
        <v>88</v>
      </c>
      <c r="J83" s="5">
        <f>df_mep[[#This Row],[volume_BA]]*df_mep[[#This Row],[open_BA]]</f>
        <v>915992</v>
      </c>
      <c r="L83" s="5">
        <f>df_mep[[#This Row],[volume_D_BA]]*df_mep[[#This Row],[open_D_BA]]</f>
        <v>0</v>
      </c>
      <c r="P83" s="37">
        <f>MIN(1-df_mep[[#This Row],[MEP_compra_ARS]]/MEDIAN(N:N),100%)</f>
        <v>1</v>
      </c>
      <c r="Q83" s="38">
        <f>df_mep[[#This Row],[MEP_compra_USD]]/MEDIAN(O:O)-1</f>
        <v>-1</v>
      </c>
      <c r="R8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3" s="38">
        <f>ABS(df_mep[[#This Row],[bid_BA]]-df_mep[[#This Row],[ask_BA]])/AVERAGE(df_mep[[#This Row],[bid_BA]:[ask_BA]])</f>
        <v>2.8467552218235392E-2</v>
      </c>
      <c r="T83" s="36" t="e">
        <f>ABS(df_mep[[#This Row],[bid_D_BA]]-df_mep[[#This Row],[ask_D_BA]])/AVERAGE(df_mep[[#This Row],[bid_D_BA]:[ask_D_BA]])</f>
        <v>#DIV/0!</v>
      </c>
    </row>
    <row r="84" spans="1:20" hidden="1" x14ac:dyDescent="0.35">
      <c r="A84" t="s">
        <v>275</v>
      </c>
      <c r="B84" t="s">
        <v>500</v>
      </c>
      <c r="C84" s="4">
        <v>32967.5</v>
      </c>
      <c r="D84" s="4">
        <v>32430</v>
      </c>
      <c r="E84" s="4">
        <v>32590</v>
      </c>
      <c r="F84" s="34">
        <v>0</v>
      </c>
      <c r="G84" s="34">
        <v>0</v>
      </c>
      <c r="H84" s="34">
        <v>38</v>
      </c>
      <c r="I84" s="5">
        <v>461</v>
      </c>
      <c r="J84" s="5">
        <f>df_mep[[#This Row],[volume_BA]]*df_mep[[#This Row],[open_BA]]</f>
        <v>15198017.5</v>
      </c>
      <c r="K84" s="5">
        <v>0</v>
      </c>
      <c r="L84" s="5">
        <f>df_mep[[#This Row],[volume_D_BA]]*df_mep[[#This Row],[open_D_BA]]</f>
        <v>0</v>
      </c>
      <c r="O84" s="3">
        <v>853.42105263157896</v>
      </c>
      <c r="P84" s="37">
        <f>MIN(1-df_mep[[#This Row],[MEP_compra_ARS]]/MEDIAN(N:N),100%)</f>
        <v>1</v>
      </c>
      <c r="Q84" s="38">
        <f>df_mep[[#This Row],[MEP_compra_USD]]/MEDIAN(O:O)-1</f>
        <v>9.8243798852299058E-2</v>
      </c>
      <c r="R8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4" s="38">
        <f>ABS(df_mep[[#This Row],[bid_BA]]-df_mep[[#This Row],[ask_BA]])/AVERAGE(df_mep[[#This Row],[bid_BA]:[ask_BA]])</f>
        <v>4.9215625961242697E-3</v>
      </c>
      <c r="T84" s="36">
        <f>ABS(df_mep[[#This Row],[bid_D_BA]]-df_mep[[#This Row],[ask_D_BA]])/AVERAGE(df_mep[[#This Row],[bid_D_BA]:[ask_D_BA]])</f>
        <v>2</v>
      </c>
    </row>
    <row r="85" spans="1:20" hidden="1" x14ac:dyDescent="0.35">
      <c r="A85" t="s">
        <v>502</v>
      </c>
      <c r="B85" t="s">
        <v>503</v>
      </c>
      <c r="C85" s="4">
        <v>7000</v>
      </c>
      <c r="D85" s="4">
        <v>7000</v>
      </c>
      <c r="E85" s="4">
        <v>8350</v>
      </c>
      <c r="I85" s="5">
        <v>9</v>
      </c>
      <c r="J85" s="5">
        <f>df_mep[[#This Row],[volume_BA]]*df_mep[[#This Row],[open_BA]]</f>
        <v>63000</v>
      </c>
      <c r="L85" s="5">
        <f>df_mep[[#This Row],[volume_D_BA]]*df_mep[[#This Row],[open_D_BA]]</f>
        <v>0</v>
      </c>
      <c r="P85" s="37">
        <f>MIN(1-df_mep[[#This Row],[MEP_compra_ARS]]/MEDIAN(N:N),100%)</f>
        <v>1</v>
      </c>
      <c r="Q85" s="38">
        <f>df_mep[[#This Row],[MEP_compra_USD]]/MEDIAN(O:O)-1</f>
        <v>-1</v>
      </c>
      <c r="R8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5" s="38">
        <f>ABS(df_mep[[#This Row],[bid_BA]]-df_mep[[#This Row],[ask_BA]])/AVERAGE(df_mep[[#This Row],[bid_BA]:[ask_BA]])</f>
        <v>0.1758957654723127</v>
      </c>
      <c r="T85" s="36" t="e">
        <f>ABS(df_mep[[#This Row],[bid_D_BA]]-df_mep[[#This Row],[ask_D_BA]])/AVERAGE(df_mep[[#This Row],[bid_D_BA]:[ask_D_BA]])</f>
        <v>#DIV/0!</v>
      </c>
    </row>
    <row r="86" spans="1:20" hidden="1" x14ac:dyDescent="0.35">
      <c r="A86" t="s">
        <v>276</v>
      </c>
      <c r="B86" t="s">
        <v>504</v>
      </c>
      <c r="C86" s="4">
        <v>3172</v>
      </c>
      <c r="D86" s="4">
        <v>3015</v>
      </c>
      <c r="E86" s="4">
        <v>3165.5</v>
      </c>
      <c r="I86" s="5">
        <v>342</v>
      </c>
      <c r="J86" s="5">
        <f>df_mep[[#This Row],[volume_BA]]*df_mep[[#This Row],[open_BA]]</f>
        <v>1084824</v>
      </c>
      <c r="L86" s="5">
        <f>df_mep[[#This Row],[volume_D_BA]]*df_mep[[#This Row],[open_D_BA]]</f>
        <v>0</v>
      </c>
      <c r="P86" s="37">
        <f>MIN(1-df_mep[[#This Row],[MEP_compra_ARS]]/MEDIAN(N:N),100%)</f>
        <v>1</v>
      </c>
      <c r="Q86" s="38">
        <f>df_mep[[#This Row],[MEP_compra_USD]]/MEDIAN(O:O)-1</f>
        <v>-1</v>
      </c>
      <c r="R8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6" s="38">
        <f>ABS(df_mep[[#This Row],[bid_BA]]-df_mep[[#This Row],[ask_BA]])/AVERAGE(df_mep[[#This Row],[bid_BA]:[ask_BA]])</f>
        <v>4.8701561362349322E-2</v>
      </c>
      <c r="T86" s="36" t="e">
        <f>ABS(df_mep[[#This Row],[bid_D_BA]]-df_mep[[#This Row],[ask_D_BA]])/AVERAGE(df_mep[[#This Row],[bid_D_BA]:[ask_D_BA]])</f>
        <v>#DIV/0!</v>
      </c>
    </row>
    <row r="87" spans="1:20" hidden="1" x14ac:dyDescent="0.35">
      <c r="A87" t="s">
        <v>506</v>
      </c>
      <c r="B87" t="s">
        <v>507</v>
      </c>
      <c r="J87" s="5">
        <f>df_mep[[#This Row],[volume_BA]]*df_mep[[#This Row],[open_BA]]</f>
        <v>0</v>
      </c>
      <c r="L87" s="5">
        <f>df_mep[[#This Row],[volume_D_BA]]*df_mep[[#This Row],[open_D_BA]]</f>
        <v>0</v>
      </c>
      <c r="P87" s="37">
        <f>MIN(1-df_mep[[#This Row],[MEP_compra_ARS]]/MEDIAN(N:N),100%)</f>
        <v>1</v>
      </c>
      <c r="Q87" s="38">
        <f>df_mep[[#This Row],[MEP_compra_USD]]/MEDIAN(O:O)-1</f>
        <v>-1</v>
      </c>
      <c r="R8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7" s="38" t="e">
        <f>ABS(df_mep[[#This Row],[bid_BA]]-df_mep[[#This Row],[ask_BA]])/AVERAGE(df_mep[[#This Row],[bid_BA]:[ask_BA]])</f>
        <v>#DIV/0!</v>
      </c>
      <c r="T87" s="36" t="e">
        <f>ABS(df_mep[[#This Row],[bid_D_BA]]-df_mep[[#This Row],[ask_D_BA]])/AVERAGE(df_mep[[#This Row],[bid_D_BA]:[ask_D_BA]])</f>
        <v>#DIV/0!</v>
      </c>
    </row>
    <row r="88" spans="1:20" hidden="1" x14ac:dyDescent="0.35">
      <c r="A88" t="s">
        <v>277</v>
      </c>
      <c r="B88" t="s">
        <v>511</v>
      </c>
      <c r="C88" s="4">
        <v>3350</v>
      </c>
      <c r="D88" s="4">
        <v>3600</v>
      </c>
      <c r="E88" s="4">
        <v>3700</v>
      </c>
      <c r="I88" s="5">
        <v>58</v>
      </c>
      <c r="J88" s="5">
        <f>df_mep[[#This Row],[volume_BA]]*df_mep[[#This Row],[open_BA]]</f>
        <v>194300</v>
      </c>
      <c r="L88" s="5">
        <f>df_mep[[#This Row],[volume_D_BA]]*df_mep[[#This Row],[open_D_BA]]</f>
        <v>0</v>
      </c>
      <c r="P88" s="37">
        <f>MIN(1-df_mep[[#This Row],[MEP_compra_ARS]]/MEDIAN(N:N),100%)</f>
        <v>1</v>
      </c>
      <c r="Q88" s="38">
        <f>df_mep[[#This Row],[MEP_compra_USD]]/MEDIAN(O:O)-1</f>
        <v>-1</v>
      </c>
      <c r="R8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8" s="38">
        <f>ABS(df_mep[[#This Row],[bid_BA]]-df_mep[[#This Row],[ask_BA]])/AVERAGE(df_mep[[#This Row],[bid_BA]:[ask_BA]])</f>
        <v>2.7397260273972601E-2</v>
      </c>
      <c r="T88" s="36" t="e">
        <f>ABS(df_mep[[#This Row],[bid_D_BA]]-df_mep[[#This Row],[ask_D_BA]])/AVERAGE(df_mep[[#This Row],[bid_D_BA]:[ask_D_BA]])</f>
        <v>#DIV/0!</v>
      </c>
    </row>
    <row r="89" spans="1:20" hidden="1" x14ac:dyDescent="0.35">
      <c r="A89" t="s">
        <v>512</v>
      </c>
      <c r="B89" t="s">
        <v>513</v>
      </c>
      <c r="J89" s="5">
        <f>df_mep[[#This Row],[volume_BA]]*df_mep[[#This Row],[open_BA]]</f>
        <v>0</v>
      </c>
      <c r="L89" s="5">
        <f>df_mep[[#This Row],[volume_D_BA]]*df_mep[[#This Row],[open_D_BA]]</f>
        <v>0</v>
      </c>
      <c r="P89" s="37">
        <f>MIN(1-df_mep[[#This Row],[MEP_compra_ARS]]/MEDIAN(N:N),100%)</f>
        <v>1</v>
      </c>
      <c r="Q89" s="38">
        <f>df_mep[[#This Row],[MEP_compra_USD]]/MEDIAN(O:O)-1</f>
        <v>-1</v>
      </c>
      <c r="R8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9" s="38" t="e">
        <f>ABS(df_mep[[#This Row],[bid_BA]]-df_mep[[#This Row],[ask_BA]])/AVERAGE(df_mep[[#This Row],[bid_BA]:[ask_BA]])</f>
        <v>#DIV/0!</v>
      </c>
      <c r="T89" s="36" t="e">
        <f>ABS(df_mep[[#This Row],[bid_D_BA]]-df_mep[[#This Row],[ask_D_BA]])/AVERAGE(df_mep[[#This Row],[bid_D_BA]:[ask_D_BA]])</f>
        <v>#DIV/0!</v>
      </c>
    </row>
    <row r="90" spans="1:20" hidden="1" x14ac:dyDescent="0.35">
      <c r="A90" t="s">
        <v>514</v>
      </c>
      <c r="B90" t="s">
        <v>515</v>
      </c>
      <c r="J90" s="5">
        <f>df_mep[[#This Row],[volume_BA]]*df_mep[[#This Row],[open_BA]]</f>
        <v>0</v>
      </c>
      <c r="L90" s="5">
        <f>df_mep[[#This Row],[volume_D_BA]]*df_mep[[#This Row],[open_D_BA]]</f>
        <v>0</v>
      </c>
      <c r="P90" s="37">
        <f>MIN(1-df_mep[[#This Row],[MEP_compra_ARS]]/MEDIAN(N:N),100%)</f>
        <v>1</v>
      </c>
      <c r="Q90" s="38">
        <f>df_mep[[#This Row],[MEP_compra_USD]]/MEDIAN(O:O)-1</f>
        <v>-1</v>
      </c>
      <c r="R9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0" s="38" t="e">
        <f>ABS(df_mep[[#This Row],[bid_BA]]-df_mep[[#This Row],[ask_BA]])/AVERAGE(df_mep[[#This Row],[bid_BA]:[ask_BA]])</f>
        <v>#DIV/0!</v>
      </c>
      <c r="T90" s="36" t="e">
        <f>ABS(df_mep[[#This Row],[bid_D_BA]]-df_mep[[#This Row],[ask_D_BA]])/AVERAGE(df_mep[[#This Row],[bid_D_BA]:[ask_D_BA]])</f>
        <v>#DIV/0!</v>
      </c>
    </row>
    <row r="91" spans="1:20" hidden="1" x14ac:dyDescent="0.35">
      <c r="A91" t="s">
        <v>279</v>
      </c>
      <c r="B91" t="s">
        <v>308</v>
      </c>
      <c r="C91" s="4">
        <v>17000</v>
      </c>
      <c r="D91" s="4">
        <v>16500</v>
      </c>
      <c r="E91" s="4">
        <v>17230</v>
      </c>
      <c r="F91" s="34">
        <v>0</v>
      </c>
      <c r="G91" s="34">
        <v>0</v>
      </c>
      <c r="H91" s="34">
        <v>0</v>
      </c>
      <c r="I91" s="5">
        <v>40</v>
      </c>
      <c r="J91" s="5">
        <f>df_mep[[#This Row],[volume_BA]]*df_mep[[#This Row],[open_BA]]</f>
        <v>680000</v>
      </c>
      <c r="K91" s="5">
        <v>0</v>
      </c>
      <c r="L91" s="5">
        <f>df_mep[[#This Row],[volume_D_BA]]*df_mep[[#This Row],[open_D_BA]]</f>
        <v>0</v>
      </c>
      <c r="P91" s="37">
        <f>MIN(1-df_mep[[#This Row],[MEP_compra_ARS]]/MEDIAN(N:N),100%)</f>
        <v>1</v>
      </c>
      <c r="Q91" s="38">
        <f>df_mep[[#This Row],[MEP_compra_USD]]/MEDIAN(O:O)-1</f>
        <v>-1</v>
      </c>
      <c r="R9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1" s="38">
        <f>ABS(df_mep[[#This Row],[bid_BA]]-df_mep[[#This Row],[ask_BA]])/AVERAGE(df_mep[[#This Row],[bid_BA]:[ask_BA]])</f>
        <v>4.3284909576045062E-2</v>
      </c>
      <c r="T91" s="36" t="e">
        <f>ABS(df_mep[[#This Row],[bid_D_BA]]-df_mep[[#This Row],[ask_D_BA]])/AVERAGE(df_mep[[#This Row],[bid_D_BA]:[ask_D_BA]])</f>
        <v>#DIV/0!</v>
      </c>
    </row>
    <row r="92" spans="1:20" hidden="1" x14ac:dyDescent="0.35">
      <c r="A92" t="s">
        <v>519</v>
      </c>
      <c r="B92" t="s">
        <v>520</v>
      </c>
      <c r="C92" s="4">
        <v>24359</v>
      </c>
      <c r="D92" s="4">
        <v>25100.5</v>
      </c>
      <c r="E92" s="4">
        <v>25880.5</v>
      </c>
      <c r="I92" s="5">
        <v>12</v>
      </c>
      <c r="J92" s="5">
        <f>df_mep[[#This Row],[volume_BA]]*df_mep[[#This Row],[open_BA]]</f>
        <v>292308</v>
      </c>
      <c r="L92" s="5">
        <f>df_mep[[#This Row],[volume_D_BA]]*df_mep[[#This Row],[open_D_BA]]</f>
        <v>0</v>
      </c>
      <c r="P92" s="37">
        <f>MIN(1-df_mep[[#This Row],[MEP_compra_ARS]]/MEDIAN(N:N),100%)</f>
        <v>1</v>
      </c>
      <c r="Q92" s="38">
        <f>df_mep[[#This Row],[MEP_compra_USD]]/MEDIAN(O:O)-1</f>
        <v>-1</v>
      </c>
      <c r="R9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2" s="38">
        <f>ABS(df_mep[[#This Row],[bid_BA]]-df_mep[[#This Row],[ask_BA]])/AVERAGE(df_mep[[#This Row],[bid_BA]:[ask_BA]])</f>
        <v>3.0599635158196192E-2</v>
      </c>
      <c r="T92" s="36" t="e">
        <f>ABS(df_mep[[#This Row],[bid_D_BA]]-df_mep[[#This Row],[ask_D_BA]])/AVERAGE(df_mep[[#This Row],[bid_D_BA]:[ask_D_BA]])</f>
        <v>#DIV/0!</v>
      </c>
    </row>
    <row r="93" spans="1:20" hidden="1" x14ac:dyDescent="0.35">
      <c r="A93" t="s">
        <v>141</v>
      </c>
      <c r="B93" t="s">
        <v>521</v>
      </c>
      <c r="C93" s="4">
        <v>13114</v>
      </c>
      <c r="D93" s="4">
        <v>12600</v>
      </c>
      <c r="E93" s="4">
        <v>13000</v>
      </c>
      <c r="F93" s="34">
        <v>0</v>
      </c>
      <c r="G93" s="34">
        <v>0</v>
      </c>
      <c r="H93" s="34">
        <v>16.5</v>
      </c>
      <c r="I93" s="5">
        <v>128</v>
      </c>
      <c r="J93" s="5">
        <f>df_mep[[#This Row],[volume_BA]]*df_mep[[#This Row],[open_BA]]</f>
        <v>1678592</v>
      </c>
      <c r="K93" s="5">
        <v>0</v>
      </c>
      <c r="L93" s="5">
        <f>df_mep[[#This Row],[volume_D_BA]]*df_mep[[#This Row],[open_D_BA]]</f>
        <v>0</v>
      </c>
      <c r="O93" s="3">
        <v>763.63636363636363</v>
      </c>
      <c r="P93" s="37">
        <f>MIN(1-df_mep[[#This Row],[MEP_compra_ARS]]/MEDIAN(N:N),100%)</f>
        <v>1</v>
      </c>
      <c r="Q93" s="38">
        <f>df_mep[[#This Row],[MEP_compra_USD]]/MEDIAN(O:O)-1</f>
        <v>-1.7297618384621849E-2</v>
      </c>
      <c r="R9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3" s="38">
        <f>ABS(df_mep[[#This Row],[bid_BA]]-df_mep[[#This Row],[ask_BA]])/AVERAGE(df_mep[[#This Row],[bid_BA]:[ask_BA]])</f>
        <v>3.125E-2</v>
      </c>
      <c r="T93" s="36">
        <f>ABS(df_mep[[#This Row],[bid_D_BA]]-df_mep[[#This Row],[ask_D_BA]])/AVERAGE(df_mep[[#This Row],[bid_D_BA]:[ask_D_BA]])</f>
        <v>2</v>
      </c>
    </row>
    <row r="94" spans="1:20" hidden="1" x14ac:dyDescent="0.35">
      <c r="A94" t="s">
        <v>281</v>
      </c>
      <c r="B94" t="s">
        <v>522</v>
      </c>
      <c r="C94" s="4">
        <v>13769</v>
      </c>
      <c r="D94" s="4">
        <v>14404</v>
      </c>
      <c r="E94" s="4">
        <v>14404</v>
      </c>
      <c r="I94" s="5">
        <v>71</v>
      </c>
      <c r="J94" s="5">
        <f>df_mep[[#This Row],[volume_BA]]*df_mep[[#This Row],[open_BA]]</f>
        <v>977599</v>
      </c>
      <c r="L94" s="5">
        <f>df_mep[[#This Row],[volume_D_BA]]*df_mep[[#This Row],[open_D_BA]]</f>
        <v>0</v>
      </c>
      <c r="P94" s="37">
        <f>MIN(1-df_mep[[#This Row],[MEP_compra_ARS]]/MEDIAN(N:N),100%)</f>
        <v>1</v>
      </c>
      <c r="Q94" s="38">
        <f>df_mep[[#This Row],[MEP_compra_USD]]/MEDIAN(O:O)-1</f>
        <v>-1</v>
      </c>
      <c r="R9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4" s="38">
        <f>ABS(df_mep[[#This Row],[bid_BA]]-df_mep[[#This Row],[ask_BA]])/AVERAGE(df_mep[[#This Row],[bid_BA]:[ask_BA]])</f>
        <v>0</v>
      </c>
      <c r="T94" s="36" t="e">
        <f>ABS(df_mep[[#This Row],[bid_D_BA]]-df_mep[[#This Row],[ask_D_BA]])/AVERAGE(df_mep[[#This Row],[bid_D_BA]:[ask_D_BA]])</f>
        <v>#DIV/0!</v>
      </c>
    </row>
    <row r="95" spans="1:20" hidden="1" x14ac:dyDescent="0.35">
      <c r="A95" t="s">
        <v>282</v>
      </c>
      <c r="B95" t="s">
        <v>523</v>
      </c>
      <c r="C95" s="4">
        <v>19700</v>
      </c>
      <c r="D95" s="4">
        <v>17500</v>
      </c>
      <c r="E95" s="4">
        <v>20400</v>
      </c>
      <c r="F95" s="34">
        <v>0</v>
      </c>
      <c r="G95" s="34">
        <v>0</v>
      </c>
      <c r="H95" s="34">
        <v>0</v>
      </c>
      <c r="I95" s="5">
        <v>4</v>
      </c>
      <c r="J95" s="5">
        <f>df_mep[[#This Row],[volume_BA]]*df_mep[[#This Row],[open_BA]]</f>
        <v>78800</v>
      </c>
      <c r="K95" s="5">
        <v>0</v>
      </c>
      <c r="L95" s="5">
        <f>df_mep[[#This Row],[volume_D_BA]]*df_mep[[#This Row],[open_D_BA]]</f>
        <v>0</v>
      </c>
      <c r="P95" s="37">
        <f>MIN(1-df_mep[[#This Row],[MEP_compra_ARS]]/MEDIAN(N:N),100%)</f>
        <v>1</v>
      </c>
      <c r="Q95" s="38">
        <f>df_mep[[#This Row],[MEP_compra_USD]]/MEDIAN(O:O)-1</f>
        <v>-1</v>
      </c>
      <c r="R9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5" s="38">
        <f>ABS(df_mep[[#This Row],[bid_BA]]-df_mep[[#This Row],[ask_BA]])/AVERAGE(df_mep[[#This Row],[bid_BA]:[ask_BA]])</f>
        <v>0.15303430079155672</v>
      </c>
      <c r="T95" s="36" t="e">
        <f>ABS(df_mep[[#This Row],[bid_D_BA]]-df_mep[[#This Row],[ask_D_BA]])/AVERAGE(df_mep[[#This Row],[bid_D_BA]:[ask_D_BA]])</f>
        <v>#DIV/0!</v>
      </c>
    </row>
    <row r="96" spans="1:20" hidden="1" x14ac:dyDescent="0.35">
      <c r="A96" t="s">
        <v>283</v>
      </c>
      <c r="B96" t="s">
        <v>524</v>
      </c>
      <c r="C96" s="4">
        <v>21511</v>
      </c>
      <c r="D96" s="4">
        <v>21089.5</v>
      </c>
      <c r="E96" s="4">
        <v>21511</v>
      </c>
      <c r="I96" s="5">
        <v>1</v>
      </c>
      <c r="J96" s="5">
        <f>df_mep[[#This Row],[volume_BA]]*df_mep[[#This Row],[open_BA]]</f>
        <v>21511</v>
      </c>
      <c r="L96" s="5">
        <f>df_mep[[#This Row],[volume_D_BA]]*df_mep[[#This Row],[open_D_BA]]</f>
        <v>0</v>
      </c>
      <c r="P96" s="37">
        <f>MIN(1-df_mep[[#This Row],[MEP_compra_ARS]]/MEDIAN(N:N),100%)</f>
        <v>1</v>
      </c>
      <c r="Q96" s="38">
        <f>df_mep[[#This Row],[MEP_compra_USD]]/MEDIAN(O:O)-1</f>
        <v>-1</v>
      </c>
      <c r="R9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6" s="38">
        <f>ABS(df_mep[[#This Row],[bid_BA]]-df_mep[[#This Row],[ask_BA]])/AVERAGE(df_mep[[#This Row],[bid_BA]:[ask_BA]])</f>
        <v>1.9788500134974941E-2</v>
      </c>
      <c r="T96" s="36" t="e">
        <f>ABS(df_mep[[#This Row],[bid_D_BA]]-df_mep[[#This Row],[ask_D_BA]])/AVERAGE(df_mep[[#This Row],[bid_D_BA]:[ask_D_BA]])</f>
        <v>#DIV/0!</v>
      </c>
    </row>
    <row r="97" spans="1:20" hidden="1" x14ac:dyDescent="0.35">
      <c r="A97" t="s">
        <v>285</v>
      </c>
      <c r="B97" t="s">
        <v>526</v>
      </c>
      <c r="C97" s="4">
        <v>32998</v>
      </c>
      <c r="D97" s="4">
        <v>30000</v>
      </c>
      <c r="E97" s="4">
        <v>33558.5</v>
      </c>
      <c r="I97" s="5">
        <v>8</v>
      </c>
      <c r="J97" s="5">
        <f>df_mep[[#This Row],[volume_BA]]*df_mep[[#This Row],[open_BA]]</f>
        <v>263984</v>
      </c>
      <c r="L97" s="5">
        <f>df_mep[[#This Row],[volume_D_BA]]*df_mep[[#This Row],[open_D_BA]]</f>
        <v>0</v>
      </c>
      <c r="P97" s="37">
        <f>MIN(1-df_mep[[#This Row],[MEP_compra_ARS]]/MEDIAN(N:N),100%)</f>
        <v>1</v>
      </c>
      <c r="Q97" s="38">
        <f>df_mep[[#This Row],[MEP_compra_USD]]/MEDIAN(O:O)-1</f>
        <v>-1</v>
      </c>
      <c r="R9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7" s="38">
        <f>ABS(df_mep[[#This Row],[bid_BA]]-df_mep[[#This Row],[ask_BA]])/AVERAGE(df_mep[[#This Row],[bid_BA]:[ask_BA]])</f>
        <v>0.11197558155085473</v>
      </c>
      <c r="T97" s="36" t="e">
        <f>ABS(df_mep[[#This Row],[bid_D_BA]]-df_mep[[#This Row],[ask_D_BA]])/AVERAGE(df_mep[[#This Row],[bid_D_BA]:[ask_D_BA]])</f>
        <v>#DIV/0!</v>
      </c>
    </row>
    <row r="98" spans="1:20" hidden="1" x14ac:dyDescent="0.35">
      <c r="A98" t="s">
        <v>195</v>
      </c>
      <c r="B98" t="s">
        <v>529</v>
      </c>
      <c r="C98" s="4">
        <v>16030</v>
      </c>
      <c r="D98" s="4">
        <v>15000</v>
      </c>
      <c r="E98" s="4">
        <v>16272</v>
      </c>
      <c r="I98" s="5">
        <v>221</v>
      </c>
      <c r="J98" s="5">
        <f>df_mep[[#This Row],[volume_BA]]*df_mep[[#This Row],[open_BA]]</f>
        <v>3542630</v>
      </c>
      <c r="L98" s="5">
        <f>df_mep[[#This Row],[volume_D_BA]]*df_mep[[#This Row],[open_D_BA]]</f>
        <v>0</v>
      </c>
      <c r="P98" s="37">
        <f>MIN(1-df_mep[[#This Row],[MEP_compra_ARS]]/MEDIAN(N:N),100%)</f>
        <v>1</v>
      </c>
      <c r="Q98" s="38">
        <f>df_mep[[#This Row],[MEP_compra_USD]]/MEDIAN(O:O)-1</f>
        <v>-1</v>
      </c>
      <c r="R9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8" s="38">
        <f>ABS(df_mep[[#This Row],[bid_BA]]-df_mep[[#This Row],[ask_BA]])/AVERAGE(df_mep[[#This Row],[bid_BA]:[ask_BA]])</f>
        <v>8.1350729086722945E-2</v>
      </c>
      <c r="T98" s="36" t="e">
        <f>ABS(df_mep[[#This Row],[bid_D_BA]]-df_mep[[#This Row],[ask_D_BA]])/AVERAGE(df_mep[[#This Row],[bid_D_BA]:[ask_D_BA]])</f>
        <v>#DIV/0!</v>
      </c>
    </row>
    <row r="99" spans="1:20" hidden="1" x14ac:dyDescent="0.35">
      <c r="A99" t="s">
        <v>530</v>
      </c>
      <c r="B99" t="s">
        <v>531</v>
      </c>
      <c r="C99" s="4">
        <v>0</v>
      </c>
      <c r="D99" s="4">
        <v>8050</v>
      </c>
      <c r="E99" s="4">
        <v>0</v>
      </c>
      <c r="I99" s="5">
        <v>0</v>
      </c>
      <c r="J99" s="5">
        <f>df_mep[[#This Row],[volume_BA]]*df_mep[[#This Row],[open_BA]]</f>
        <v>0</v>
      </c>
      <c r="L99" s="5">
        <f>df_mep[[#This Row],[volume_D_BA]]*df_mep[[#This Row],[open_D_BA]]</f>
        <v>0</v>
      </c>
      <c r="P99" s="37">
        <f>MIN(1-df_mep[[#This Row],[MEP_compra_ARS]]/MEDIAN(N:N),100%)</f>
        <v>1</v>
      </c>
      <c r="Q99" s="38">
        <f>df_mep[[#This Row],[MEP_compra_USD]]/MEDIAN(O:O)-1</f>
        <v>-1</v>
      </c>
      <c r="R9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9" s="38">
        <f>ABS(df_mep[[#This Row],[bid_BA]]-df_mep[[#This Row],[ask_BA]])/AVERAGE(df_mep[[#This Row],[bid_BA]:[ask_BA]])</f>
        <v>2</v>
      </c>
      <c r="T99" s="36" t="e">
        <f>ABS(df_mep[[#This Row],[bid_D_BA]]-df_mep[[#This Row],[ask_D_BA]])/AVERAGE(df_mep[[#This Row],[bid_D_BA]:[ask_D_BA]])</f>
        <v>#DIV/0!</v>
      </c>
    </row>
    <row r="100" spans="1:20" hidden="1" x14ac:dyDescent="0.35">
      <c r="A100" t="s">
        <v>286</v>
      </c>
      <c r="B100" t="s">
        <v>532</v>
      </c>
      <c r="C100" s="4">
        <v>16820</v>
      </c>
      <c r="D100" s="4">
        <v>14500</v>
      </c>
      <c r="E100" s="4">
        <v>17274</v>
      </c>
      <c r="F100" s="34">
        <v>0</v>
      </c>
      <c r="G100" s="34">
        <v>0</v>
      </c>
      <c r="H100" s="34">
        <v>0</v>
      </c>
      <c r="I100" s="5">
        <v>33</v>
      </c>
      <c r="J100" s="5">
        <f>df_mep[[#This Row],[volume_BA]]*df_mep[[#This Row],[open_BA]]</f>
        <v>555060</v>
      </c>
      <c r="K100" s="5">
        <v>0</v>
      </c>
      <c r="L100" s="5">
        <f>df_mep[[#This Row],[volume_D_BA]]*df_mep[[#This Row],[open_D_BA]]</f>
        <v>0</v>
      </c>
      <c r="P100" s="37">
        <f>MIN(1-df_mep[[#This Row],[MEP_compra_ARS]]/MEDIAN(N:N),100%)</f>
        <v>1</v>
      </c>
      <c r="Q100" s="38">
        <f>df_mep[[#This Row],[MEP_compra_USD]]/MEDIAN(O:O)-1</f>
        <v>-1</v>
      </c>
      <c r="R10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0" s="38">
        <f>ABS(df_mep[[#This Row],[bid_BA]]-df_mep[[#This Row],[ask_BA]])/AVERAGE(df_mep[[#This Row],[bid_BA]:[ask_BA]])</f>
        <v>0.17460817020205199</v>
      </c>
      <c r="T100" s="36" t="e">
        <f>ABS(df_mep[[#This Row],[bid_D_BA]]-df_mep[[#This Row],[ask_D_BA]])/AVERAGE(df_mep[[#This Row],[bid_D_BA]:[ask_D_BA]])</f>
        <v>#DIV/0!</v>
      </c>
    </row>
    <row r="101" spans="1:20" hidden="1" x14ac:dyDescent="0.35">
      <c r="A101" t="s">
        <v>287</v>
      </c>
      <c r="B101" t="s">
        <v>533</v>
      </c>
      <c r="C101" s="4">
        <v>38500</v>
      </c>
      <c r="D101" s="4">
        <v>34000</v>
      </c>
      <c r="E101" s="4">
        <v>39852</v>
      </c>
      <c r="I101" s="5">
        <v>2</v>
      </c>
      <c r="J101" s="5">
        <f>df_mep[[#This Row],[volume_BA]]*df_mep[[#This Row],[open_BA]]</f>
        <v>77000</v>
      </c>
      <c r="L101" s="5">
        <f>df_mep[[#This Row],[volume_D_BA]]*df_mep[[#This Row],[open_D_BA]]</f>
        <v>0</v>
      </c>
      <c r="P101" s="37">
        <f>MIN(1-df_mep[[#This Row],[MEP_compra_ARS]]/MEDIAN(N:N),100%)</f>
        <v>1</v>
      </c>
      <c r="Q101" s="38">
        <f>df_mep[[#This Row],[MEP_compra_USD]]/MEDIAN(O:O)-1</f>
        <v>-1</v>
      </c>
      <c r="R10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1" s="38">
        <f>ABS(df_mep[[#This Row],[bid_BA]]-df_mep[[#This Row],[ask_BA]])/AVERAGE(df_mep[[#This Row],[bid_BA]:[ask_BA]])</f>
        <v>0.1584791204029681</v>
      </c>
      <c r="T101" s="36" t="e">
        <f>ABS(df_mep[[#This Row],[bid_D_BA]]-df_mep[[#This Row],[ask_D_BA]])/AVERAGE(df_mep[[#This Row],[bid_D_BA]:[ask_D_BA]])</f>
        <v>#DIV/0!</v>
      </c>
    </row>
    <row r="102" spans="1:20" hidden="1" x14ac:dyDescent="0.35">
      <c r="A102" t="s">
        <v>288</v>
      </c>
      <c r="B102" t="s">
        <v>534</v>
      </c>
      <c r="C102" s="4">
        <v>7900</v>
      </c>
      <c r="D102" s="4">
        <v>7505</v>
      </c>
      <c r="E102" s="4">
        <v>7778.5</v>
      </c>
      <c r="F102" s="34">
        <v>0</v>
      </c>
      <c r="G102" s="34">
        <v>0</v>
      </c>
      <c r="H102" s="34">
        <v>13.5</v>
      </c>
      <c r="I102" s="5">
        <v>319</v>
      </c>
      <c r="J102" s="5">
        <f>df_mep[[#This Row],[volume_BA]]*df_mep[[#This Row],[open_BA]]</f>
        <v>2520100</v>
      </c>
      <c r="K102" s="5">
        <v>0</v>
      </c>
      <c r="L102" s="5">
        <f>df_mep[[#This Row],[volume_D_BA]]*df_mep[[#This Row],[open_D_BA]]</f>
        <v>0</v>
      </c>
      <c r="O102" s="3">
        <v>555.92592592592598</v>
      </c>
      <c r="P102" s="37">
        <f>MIN(1-df_mep[[#This Row],[MEP_compra_ARS]]/MEDIAN(N:N),100%)</f>
        <v>1</v>
      </c>
      <c r="Q102" s="38">
        <f>df_mep[[#This Row],[MEP_compra_USD]]/MEDIAN(O:O)-1</f>
        <v>-0.2845943993451715</v>
      </c>
      <c r="R10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2" s="38">
        <f>ABS(df_mep[[#This Row],[bid_BA]]-df_mep[[#This Row],[ask_BA]])/AVERAGE(df_mep[[#This Row],[bid_BA]:[ask_BA]])</f>
        <v>3.5790231295187623E-2</v>
      </c>
      <c r="T102" s="36">
        <f>ABS(df_mep[[#This Row],[bid_D_BA]]-df_mep[[#This Row],[ask_D_BA]])/AVERAGE(df_mep[[#This Row],[bid_D_BA]:[ask_D_BA]])</f>
        <v>2</v>
      </c>
    </row>
    <row r="103" spans="1:20" hidden="1" x14ac:dyDescent="0.35">
      <c r="A103" t="s">
        <v>290</v>
      </c>
      <c r="B103" t="s">
        <v>538</v>
      </c>
      <c r="C103" s="4">
        <v>9300</v>
      </c>
      <c r="D103" s="4">
        <v>9200</v>
      </c>
      <c r="E103" s="4">
        <v>9668</v>
      </c>
      <c r="I103" s="5">
        <v>7</v>
      </c>
      <c r="J103" s="5">
        <f>df_mep[[#This Row],[volume_BA]]*df_mep[[#This Row],[open_BA]]</f>
        <v>65100</v>
      </c>
      <c r="L103" s="5">
        <f>df_mep[[#This Row],[volume_D_BA]]*df_mep[[#This Row],[open_D_BA]]</f>
        <v>0</v>
      </c>
      <c r="P103" s="37">
        <f>MIN(1-df_mep[[#This Row],[MEP_compra_ARS]]/MEDIAN(N:N),100%)</f>
        <v>1</v>
      </c>
      <c r="Q103" s="38">
        <f>df_mep[[#This Row],[MEP_compra_USD]]/MEDIAN(O:O)-1</f>
        <v>-1</v>
      </c>
      <c r="R10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3" s="38">
        <f>ABS(df_mep[[#This Row],[bid_BA]]-df_mep[[#This Row],[ask_BA]])/AVERAGE(df_mep[[#This Row],[bid_BA]:[ask_BA]])</f>
        <v>4.9607801568793727E-2</v>
      </c>
      <c r="T103" s="36" t="e">
        <f>ABS(df_mep[[#This Row],[bid_D_BA]]-df_mep[[#This Row],[ask_D_BA]])/AVERAGE(df_mep[[#This Row],[bid_D_BA]:[ask_D_BA]])</f>
        <v>#DIV/0!</v>
      </c>
    </row>
    <row r="104" spans="1:20" hidden="1" x14ac:dyDescent="0.35">
      <c r="A104" t="s">
        <v>291</v>
      </c>
      <c r="B104" t="s">
        <v>539</v>
      </c>
      <c r="C104" s="4">
        <v>7577.5</v>
      </c>
      <c r="D104" s="4">
        <v>7380</v>
      </c>
      <c r="E104" s="4">
        <v>7380</v>
      </c>
      <c r="I104" s="5">
        <v>13</v>
      </c>
      <c r="J104" s="5">
        <f>df_mep[[#This Row],[volume_BA]]*df_mep[[#This Row],[open_BA]]</f>
        <v>98507.5</v>
      </c>
      <c r="L104" s="5">
        <f>df_mep[[#This Row],[volume_D_BA]]*df_mep[[#This Row],[open_D_BA]]</f>
        <v>0</v>
      </c>
      <c r="P104" s="37">
        <f>MIN(1-df_mep[[#This Row],[MEP_compra_ARS]]/MEDIAN(N:N),100%)</f>
        <v>1</v>
      </c>
      <c r="Q104" s="38">
        <f>df_mep[[#This Row],[MEP_compra_USD]]/MEDIAN(O:O)-1</f>
        <v>-1</v>
      </c>
      <c r="R10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4" s="38">
        <f>ABS(df_mep[[#This Row],[bid_BA]]-df_mep[[#This Row],[ask_BA]])/AVERAGE(df_mep[[#This Row],[bid_BA]:[ask_BA]])</f>
        <v>0</v>
      </c>
      <c r="T104" s="36" t="e">
        <f>ABS(df_mep[[#This Row],[bid_D_BA]]-df_mep[[#This Row],[ask_D_BA]])/AVERAGE(df_mep[[#This Row],[bid_D_BA]:[ask_D_BA]])</f>
        <v>#DIV/0!</v>
      </c>
    </row>
    <row r="105" spans="1:20" hidden="1" x14ac:dyDescent="0.35">
      <c r="A105" t="s">
        <v>292</v>
      </c>
      <c r="B105" t="s">
        <v>541</v>
      </c>
      <c r="C105" s="4">
        <v>14701.5</v>
      </c>
      <c r="D105" s="4">
        <v>14925</v>
      </c>
      <c r="E105" s="4">
        <v>15223</v>
      </c>
      <c r="I105" s="5">
        <v>110</v>
      </c>
      <c r="J105" s="5">
        <f>df_mep[[#This Row],[volume_BA]]*df_mep[[#This Row],[open_BA]]</f>
        <v>1617165</v>
      </c>
      <c r="L105" s="5">
        <f>df_mep[[#This Row],[volume_D_BA]]*df_mep[[#This Row],[open_D_BA]]</f>
        <v>0</v>
      </c>
      <c r="P105" s="37">
        <f>MIN(1-df_mep[[#This Row],[MEP_compra_ARS]]/MEDIAN(N:N),100%)</f>
        <v>1</v>
      </c>
      <c r="Q105" s="38">
        <f>df_mep[[#This Row],[MEP_compra_USD]]/MEDIAN(O:O)-1</f>
        <v>-1</v>
      </c>
      <c r="R10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5" s="38">
        <f>ABS(df_mep[[#This Row],[bid_BA]]-df_mep[[#This Row],[ask_BA]])/AVERAGE(df_mep[[#This Row],[bid_BA]:[ask_BA]])</f>
        <v>1.9769138914687543E-2</v>
      </c>
      <c r="T105" s="36" t="e">
        <f>ABS(df_mep[[#This Row],[bid_D_BA]]-df_mep[[#This Row],[ask_D_BA]])/AVERAGE(df_mep[[#This Row],[bid_D_BA]:[ask_D_BA]])</f>
        <v>#DIV/0!</v>
      </c>
    </row>
    <row r="106" spans="1:20" hidden="1" x14ac:dyDescent="0.35">
      <c r="A106" t="s">
        <v>542</v>
      </c>
      <c r="B106" t="s">
        <v>543</v>
      </c>
      <c r="J106" s="5">
        <f>df_mep[[#This Row],[volume_BA]]*df_mep[[#This Row],[open_BA]]</f>
        <v>0</v>
      </c>
      <c r="L106" s="5">
        <f>df_mep[[#This Row],[volume_D_BA]]*df_mep[[#This Row],[open_D_BA]]</f>
        <v>0</v>
      </c>
      <c r="P106" s="37">
        <f>MIN(1-df_mep[[#This Row],[MEP_compra_ARS]]/MEDIAN(N:N),100%)</f>
        <v>1</v>
      </c>
      <c r="Q106" s="38">
        <f>df_mep[[#This Row],[MEP_compra_USD]]/MEDIAN(O:O)-1</f>
        <v>-1</v>
      </c>
      <c r="R10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6" s="38" t="e">
        <f>ABS(df_mep[[#This Row],[bid_BA]]-df_mep[[#This Row],[ask_BA]])/AVERAGE(df_mep[[#This Row],[bid_BA]:[ask_BA]])</f>
        <v>#DIV/0!</v>
      </c>
      <c r="T106" s="36" t="e">
        <f>ABS(df_mep[[#This Row],[bid_D_BA]]-df_mep[[#This Row],[ask_D_BA]])/AVERAGE(df_mep[[#This Row],[bid_D_BA]:[ask_D_BA]])</f>
        <v>#DIV/0!</v>
      </c>
    </row>
    <row r="107" spans="1:20" hidden="1" x14ac:dyDescent="0.35">
      <c r="A107" t="s">
        <v>293</v>
      </c>
      <c r="B107" t="s">
        <v>544</v>
      </c>
      <c r="C107" s="4">
        <v>440</v>
      </c>
      <c r="D107" s="4">
        <v>525</v>
      </c>
      <c r="E107" s="4">
        <v>531</v>
      </c>
      <c r="I107" s="5">
        <v>10960</v>
      </c>
      <c r="J107" s="5">
        <f>df_mep[[#This Row],[volume_BA]]*df_mep[[#This Row],[open_BA]]</f>
        <v>4822400</v>
      </c>
      <c r="L107" s="5">
        <f>df_mep[[#This Row],[volume_D_BA]]*df_mep[[#This Row],[open_D_BA]]</f>
        <v>0</v>
      </c>
      <c r="P107" s="37">
        <f>MIN(1-df_mep[[#This Row],[MEP_compra_ARS]]/MEDIAN(N:N),100%)</f>
        <v>1</v>
      </c>
      <c r="Q107" s="38">
        <f>df_mep[[#This Row],[MEP_compra_USD]]/MEDIAN(O:O)-1</f>
        <v>-1</v>
      </c>
      <c r="R10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7" s="38">
        <f>ABS(df_mep[[#This Row],[bid_BA]]-df_mep[[#This Row],[ask_BA]])/AVERAGE(df_mep[[#This Row],[bid_BA]:[ask_BA]])</f>
        <v>1.1363636363636364E-2</v>
      </c>
      <c r="T107" s="36" t="e">
        <f>ABS(df_mep[[#This Row],[bid_D_BA]]-df_mep[[#This Row],[ask_D_BA]])/AVERAGE(df_mep[[#This Row],[bid_D_BA]:[ask_D_BA]])</f>
        <v>#DIV/0!</v>
      </c>
    </row>
    <row r="108" spans="1:20" hidden="1" x14ac:dyDescent="0.35">
      <c r="A108" t="s">
        <v>546</v>
      </c>
      <c r="B108" t="s">
        <v>547</v>
      </c>
      <c r="J108" s="5">
        <f>df_mep[[#This Row],[volume_BA]]*df_mep[[#This Row],[open_BA]]</f>
        <v>0</v>
      </c>
      <c r="L108" s="5">
        <f>df_mep[[#This Row],[volume_D_BA]]*df_mep[[#This Row],[open_D_BA]]</f>
        <v>0</v>
      </c>
      <c r="P108" s="37">
        <f>MIN(1-df_mep[[#This Row],[MEP_compra_ARS]]/MEDIAN(N:N),100%)</f>
        <v>1</v>
      </c>
      <c r="Q108" s="38">
        <f>df_mep[[#This Row],[MEP_compra_USD]]/MEDIAN(O:O)-1</f>
        <v>-1</v>
      </c>
      <c r="R10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8" s="38" t="e">
        <f>ABS(df_mep[[#This Row],[bid_BA]]-df_mep[[#This Row],[ask_BA]])/AVERAGE(df_mep[[#This Row],[bid_BA]:[ask_BA]])</f>
        <v>#DIV/0!</v>
      </c>
      <c r="T108" s="36" t="e">
        <f>ABS(df_mep[[#This Row],[bid_D_BA]]-df_mep[[#This Row],[ask_D_BA]])/AVERAGE(df_mep[[#This Row],[bid_D_BA]:[ask_D_BA]])</f>
        <v>#DIV/0!</v>
      </c>
    </row>
    <row r="109" spans="1:20" hidden="1" x14ac:dyDescent="0.35">
      <c r="A109" t="s">
        <v>294</v>
      </c>
      <c r="B109" t="s">
        <v>548</v>
      </c>
      <c r="C109" s="4">
        <v>13096</v>
      </c>
      <c r="D109" s="4">
        <v>12100</v>
      </c>
      <c r="E109" s="4">
        <v>13096</v>
      </c>
      <c r="F109" s="34">
        <v>0</v>
      </c>
      <c r="H109" s="34">
        <v>0</v>
      </c>
      <c r="I109" s="5">
        <v>1</v>
      </c>
      <c r="J109" s="5">
        <f>df_mep[[#This Row],[volume_BA]]*df_mep[[#This Row],[open_BA]]</f>
        <v>13096</v>
      </c>
      <c r="K109" s="5">
        <v>0</v>
      </c>
      <c r="L109" s="5">
        <f>df_mep[[#This Row],[volume_D_BA]]*df_mep[[#This Row],[open_D_BA]]</f>
        <v>0</v>
      </c>
      <c r="P109" s="37">
        <f>MIN(1-df_mep[[#This Row],[MEP_compra_ARS]]/MEDIAN(N:N),100%)</f>
        <v>1</v>
      </c>
      <c r="Q109" s="38">
        <f>df_mep[[#This Row],[MEP_compra_USD]]/MEDIAN(O:O)-1</f>
        <v>-1</v>
      </c>
      <c r="R10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9" s="38">
        <f>ABS(df_mep[[#This Row],[bid_BA]]-df_mep[[#This Row],[ask_BA]])/AVERAGE(df_mep[[#This Row],[bid_BA]:[ask_BA]])</f>
        <v>7.906016828067948E-2</v>
      </c>
      <c r="T109" s="36" t="e">
        <f>ABS(df_mep[[#This Row],[bid_D_BA]]-df_mep[[#This Row],[ask_D_BA]])/AVERAGE(df_mep[[#This Row],[bid_D_BA]:[ask_D_BA]])</f>
        <v>#DIV/0!</v>
      </c>
    </row>
    <row r="110" spans="1:20" hidden="1" x14ac:dyDescent="0.35">
      <c r="A110" t="s">
        <v>295</v>
      </c>
      <c r="B110" t="s">
        <v>550</v>
      </c>
      <c r="C110" s="4">
        <v>20327.5</v>
      </c>
      <c r="D110" s="4">
        <v>19200</v>
      </c>
      <c r="E110" s="4">
        <v>20543</v>
      </c>
      <c r="F110" s="34">
        <v>0</v>
      </c>
      <c r="H110" s="34">
        <v>0</v>
      </c>
      <c r="I110" s="5">
        <v>55</v>
      </c>
      <c r="J110" s="5">
        <f>df_mep[[#This Row],[volume_BA]]*df_mep[[#This Row],[open_BA]]</f>
        <v>1118012.5</v>
      </c>
      <c r="K110" s="5">
        <v>0</v>
      </c>
      <c r="L110" s="5">
        <f>df_mep[[#This Row],[volume_D_BA]]*df_mep[[#This Row],[open_D_BA]]</f>
        <v>0</v>
      </c>
      <c r="P110" s="37">
        <f>MIN(1-df_mep[[#This Row],[MEP_compra_ARS]]/MEDIAN(N:N),100%)</f>
        <v>1</v>
      </c>
      <c r="Q110" s="38">
        <f>df_mep[[#This Row],[MEP_compra_USD]]/MEDIAN(O:O)-1</f>
        <v>-1</v>
      </c>
      <c r="R11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0" s="38">
        <f>ABS(df_mep[[#This Row],[bid_BA]]-df_mep[[#This Row],[ask_BA]])/AVERAGE(df_mep[[#This Row],[bid_BA]:[ask_BA]])</f>
        <v>6.7584228669199609E-2</v>
      </c>
      <c r="T110" s="36" t="e">
        <f>ABS(df_mep[[#This Row],[bid_D_BA]]-df_mep[[#This Row],[ask_D_BA]])/AVERAGE(df_mep[[#This Row],[bid_D_BA]:[ask_D_BA]])</f>
        <v>#DIV/0!</v>
      </c>
    </row>
    <row r="111" spans="1:20" hidden="1" x14ac:dyDescent="0.35">
      <c r="A111" t="s">
        <v>296</v>
      </c>
      <c r="B111" t="s">
        <v>551</v>
      </c>
      <c r="C111" s="4">
        <v>7500</v>
      </c>
      <c r="D111" s="4">
        <v>7000</v>
      </c>
      <c r="E111" s="4">
        <v>7298</v>
      </c>
      <c r="F111" s="34">
        <v>0</v>
      </c>
      <c r="G111" s="34">
        <v>0</v>
      </c>
      <c r="H111" s="34">
        <v>0</v>
      </c>
      <c r="I111" s="5">
        <v>194</v>
      </c>
      <c r="J111" s="5">
        <f>df_mep[[#This Row],[volume_BA]]*df_mep[[#This Row],[open_BA]]</f>
        <v>1455000</v>
      </c>
      <c r="K111" s="5">
        <v>0</v>
      </c>
      <c r="L111" s="5">
        <f>df_mep[[#This Row],[volume_D_BA]]*df_mep[[#This Row],[open_D_BA]]</f>
        <v>0</v>
      </c>
      <c r="P111" s="37">
        <f>MIN(1-df_mep[[#This Row],[MEP_compra_ARS]]/MEDIAN(N:N),100%)</f>
        <v>1</v>
      </c>
      <c r="Q111" s="38">
        <f>df_mep[[#This Row],[MEP_compra_USD]]/MEDIAN(O:O)-1</f>
        <v>-1</v>
      </c>
      <c r="R11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1" s="38">
        <f>ABS(df_mep[[#This Row],[bid_BA]]-df_mep[[#This Row],[ask_BA]])/AVERAGE(df_mep[[#This Row],[bid_BA]:[ask_BA]])</f>
        <v>4.1684151629598543E-2</v>
      </c>
      <c r="T111" s="36" t="e">
        <f>ABS(df_mep[[#This Row],[bid_D_BA]]-df_mep[[#This Row],[ask_D_BA]])/AVERAGE(df_mep[[#This Row],[bid_D_BA]:[ask_D_BA]])</f>
        <v>#DIV/0!</v>
      </c>
    </row>
    <row r="112" spans="1:20" hidden="1" x14ac:dyDescent="0.35">
      <c r="A112" t="s">
        <v>552</v>
      </c>
      <c r="B112" t="s">
        <v>553</v>
      </c>
      <c r="J112" s="5">
        <f>df_mep[[#This Row],[volume_BA]]*df_mep[[#This Row],[open_BA]]</f>
        <v>0</v>
      </c>
      <c r="L112" s="5">
        <f>df_mep[[#This Row],[volume_D_BA]]*df_mep[[#This Row],[open_D_BA]]</f>
        <v>0</v>
      </c>
      <c r="P112" s="37">
        <f>MIN(1-df_mep[[#This Row],[MEP_compra_ARS]]/MEDIAN(N:N),100%)</f>
        <v>1</v>
      </c>
      <c r="Q112" s="38">
        <f>df_mep[[#This Row],[MEP_compra_USD]]/MEDIAN(O:O)-1</f>
        <v>-1</v>
      </c>
      <c r="R11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2" s="38" t="e">
        <f>ABS(df_mep[[#This Row],[bid_BA]]-df_mep[[#This Row],[ask_BA]])/AVERAGE(df_mep[[#This Row],[bid_BA]:[ask_BA]])</f>
        <v>#DIV/0!</v>
      </c>
      <c r="T112" s="36" t="e">
        <f>ABS(df_mep[[#This Row],[bid_D_BA]]-df_mep[[#This Row],[ask_D_BA]])/AVERAGE(df_mep[[#This Row],[bid_D_BA]:[ask_D_BA]])</f>
        <v>#DIV/0!</v>
      </c>
    </row>
    <row r="113" spans="1:20" hidden="1" x14ac:dyDescent="0.35">
      <c r="A113" t="s">
        <v>554</v>
      </c>
      <c r="B113" t="s">
        <v>555</v>
      </c>
      <c r="J113" s="5">
        <f>df_mep[[#This Row],[volume_BA]]*df_mep[[#This Row],[open_BA]]</f>
        <v>0</v>
      </c>
      <c r="L113" s="5">
        <f>df_mep[[#This Row],[volume_D_BA]]*df_mep[[#This Row],[open_D_BA]]</f>
        <v>0</v>
      </c>
      <c r="P113" s="37">
        <f>MIN(1-df_mep[[#This Row],[MEP_compra_ARS]]/MEDIAN(N:N),100%)</f>
        <v>1</v>
      </c>
      <c r="Q113" s="38">
        <f>df_mep[[#This Row],[MEP_compra_USD]]/MEDIAN(O:O)-1</f>
        <v>-1</v>
      </c>
      <c r="R11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3" s="38" t="e">
        <f>ABS(df_mep[[#This Row],[bid_BA]]-df_mep[[#This Row],[ask_BA]])/AVERAGE(df_mep[[#This Row],[bid_BA]:[ask_BA]])</f>
        <v>#DIV/0!</v>
      </c>
      <c r="T113" s="36" t="e">
        <f>ABS(df_mep[[#This Row],[bid_D_BA]]-df_mep[[#This Row],[ask_D_BA]])/AVERAGE(df_mep[[#This Row],[bid_D_BA]:[ask_D_BA]])</f>
        <v>#DIV/0!</v>
      </c>
    </row>
    <row r="114" spans="1:20" hidden="1" x14ac:dyDescent="0.35">
      <c r="A114" t="s">
        <v>297</v>
      </c>
      <c r="B114" t="s">
        <v>558</v>
      </c>
      <c r="C114" s="4">
        <v>18950</v>
      </c>
      <c r="D114" s="4">
        <v>19500</v>
      </c>
      <c r="E114" s="4">
        <v>20000</v>
      </c>
      <c r="F114" s="34">
        <v>0</v>
      </c>
      <c r="G114" s="34">
        <v>0</v>
      </c>
      <c r="I114" s="5">
        <v>16</v>
      </c>
      <c r="J114" s="5">
        <f>df_mep[[#This Row],[volume_BA]]*df_mep[[#This Row],[open_BA]]</f>
        <v>303200</v>
      </c>
      <c r="K114" s="5">
        <v>0</v>
      </c>
      <c r="L114" s="5">
        <f>df_mep[[#This Row],[volume_D_BA]]*df_mep[[#This Row],[open_D_BA]]</f>
        <v>0</v>
      </c>
      <c r="P114" s="37">
        <f>MIN(1-df_mep[[#This Row],[MEP_compra_ARS]]/MEDIAN(N:N),100%)</f>
        <v>1</v>
      </c>
      <c r="Q114" s="38">
        <f>df_mep[[#This Row],[MEP_compra_USD]]/MEDIAN(O:O)-1</f>
        <v>-1</v>
      </c>
      <c r="R11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4" s="38">
        <f>ABS(df_mep[[#This Row],[bid_BA]]-df_mep[[#This Row],[ask_BA]])/AVERAGE(df_mep[[#This Row],[bid_BA]:[ask_BA]])</f>
        <v>2.5316455696202531E-2</v>
      </c>
      <c r="T114" s="36" t="e">
        <f>ABS(df_mep[[#This Row],[bid_D_BA]]-df_mep[[#This Row],[ask_D_BA]])/AVERAGE(df_mep[[#This Row],[bid_D_BA]:[ask_D_BA]])</f>
        <v>#DIV/0!</v>
      </c>
    </row>
    <row r="115" spans="1:20" hidden="1" x14ac:dyDescent="0.35">
      <c r="A115" t="s">
        <v>298</v>
      </c>
      <c r="B115" t="s">
        <v>559</v>
      </c>
      <c r="C115" s="4">
        <v>874</v>
      </c>
      <c r="D115" s="4">
        <v>830</v>
      </c>
      <c r="E115" s="4">
        <v>889</v>
      </c>
      <c r="I115" s="5">
        <v>249</v>
      </c>
      <c r="J115" s="5">
        <f>df_mep[[#This Row],[volume_BA]]*df_mep[[#This Row],[open_BA]]</f>
        <v>217626</v>
      </c>
      <c r="L115" s="5">
        <f>df_mep[[#This Row],[volume_D_BA]]*df_mep[[#This Row],[open_D_BA]]</f>
        <v>0</v>
      </c>
      <c r="P115" s="37">
        <f>MIN(1-df_mep[[#This Row],[MEP_compra_ARS]]/MEDIAN(N:N),100%)</f>
        <v>1</v>
      </c>
      <c r="Q115" s="38">
        <f>df_mep[[#This Row],[MEP_compra_USD]]/MEDIAN(O:O)-1</f>
        <v>-1</v>
      </c>
      <c r="R11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5" s="38">
        <f>ABS(df_mep[[#This Row],[bid_BA]]-df_mep[[#This Row],[ask_BA]])/AVERAGE(df_mep[[#This Row],[bid_BA]:[ask_BA]])</f>
        <v>6.8644560791157647E-2</v>
      </c>
      <c r="T115" s="36" t="e">
        <f>ABS(df_mep[[#This Row],[bid_D_BA]]-df_mep[[#This Row],[ask_D_BA]])/AVERAGE(df_mep[[#This Row],[bid_D_BA]:[ask_D_BA]])</f>
        <v>#DIV/0!</v>
      </c>
    </row>
    <row r="116" spans="1:20" hidden="1" x14ac:dyDescent="0.35">
      <c r="A116" t="s">
        <v>197</v>
      </c>
      <c r="B116" t="s">
        <v>198</v>
      </c>
      <c r="C116" s="4">
        <v>1400</v>
      </c>
      <c r="D116" s="4">
        <v>1350</v>
      </c>
      <c r="E116" s="4">
        <v>1408</v>
      </c>
      <c r="I116" s="5">
        <v>638</v>
      </c>
      <c r="J116" s="5">
        <f>df_mep[[#This Row],[volume_BA]]*df_mep[[#This Row],[open_BA]]</f>
        <v>893200</v>
      </c>
      <c r="L116" s="5">
        <f>df_mep[[#This Row],[volume_D_BA]]*df_mep[[#This Row],[open_D_BA]]</f>
        <v>0</v>
      </c>
      <c r="P116" s="37">
        <f>MIN(1-df_mep[[#This Row],[MEP_compra_ARS]]/MEDIAN(N:N),100%)</f>
        <v>1</v>
      </c>
      <c r="Q116" s="38">
        <f>df_mep[[#This Row],[MEP_compra_USD]]/MEDIAN(O:O)-1</f>
        <v>-1</v>
      </c>
      <c r="R11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6" s="38">
        <f>ABS(df_mep[[#This Row],[bid_BA]]-df_mep[[#This Row],[ask_BA]])/AVERAGE(df_mep[[#This Row],[bid_BA]:[ask_BA]])</f>
        <v>4.2059463379260337E-2</v>
      </c>
      <c r="T116" s="36" t="e">
        <f>ABS(df_mep[[#This Row],[bid_D_BA]]-df_mep[[#This Row],[ask_D_BA]])/AVERAGE(df_mep[[#This Row],[bid_D_BA]:[ask_D_BA]])</f>
        <v>#DIV/0!</v>
      </c>
    </row>
    <row r="117" spans="1:20" hidden="1" x14ac:dyDescent="0.35">
      <c r="A117" t="s">
        <v>560</v>
      </c>
      <c r="B117" t="s">
        <v>561</v>
      </c>
      <c r="J117" s="5">
        <f>df_mep[[#This Row],[volume_BA]]*df_mep[[#This Row],[open_BA]]</f>
        <v>0</v>
      </c>
      <c r="L117" s="5">
        <f>df_mep[[#This Row],[volume_D_BA]]*df_mep[[#This Row],[open_D_BA]]</f>
        <v>0</v>
      </c>
      <c r="P117" s="37">
        <f>MIN(1-df_mep[[#This Row],[MEP_compra_ARS]]/MEDIAN(N:N),100%)</f>
        <v>1</v>
      </c>
      <c r="Q117" s="38">
        <f>df_mep[[#This Row],[MEP_compra_USD]]/MEDIAN(O:O)-1</f>
        <v>-1</v>
      </c>
      <c r="R11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7" s="38" t="e">
        <f>ABS(df_mep[[#This Row],[bid_BA]]-df_mep[[#This Row],[ask_BA]])/AVERAGE(df_mep[[#This Row],[bid_BA]:[ask_BA]])</f>
        <v>#DIV/0!</v>
      </c>
      <c r="T117" s="36" t="e">
        <f>ABS(df_mep[[#This Row],[bid_D_BA]]-df_mep[[#This Row],[ask_D_BA]])/AVERAGE(df_mep[[#This Row],[bid_D_BA]:[ask_D_BA]])</f>
        <v>#DIV/0!</v>
      </c>
    </row>
    <row r="118" spans="1:20" hidden="1" x14ac:dyDescent="0.35">
      <c r="A118" t="s">
        <v>155</v>
      </c>
      <c r="B118" t="s">
        <v>564</v>
      </c>
      <c r="C118" s="4">
        <v>14904.5</v>
      </c>
      <c r="D118" s="4">
        <v>15250</v>
      </c>
      <c r="E118" s="4">
        <v>15350</v>
      </c>
      <c r="F118" s="34">
        <v>0</v>
      </c>
      <c r="G118" s="34">
        <v>0</v>
      </c>
      <c r="H118" s="34">
        <v>17.8</v>
      </c>
      <c r="I118" s="5">
        <v>305</v>
      </c>
      <c r="J118" s="5">
        <f>df_mep[[#This Row],[volume_BA]]*df_mep[[#This Row],[open_BA]]</f>
        <v>4545872.5</v>
      </c>
      <c r="K118" s="5">
        <v>0</v>
      </c>
      <c r="L118" s="5">
        <f>df_mep[[#This Row],[volume_D_BA]]*df_mep[[#This Row],[open_D_BA]]</f>
        <v>0</v>
      </c>
      <c r="O118" s="3">
        <v>856.74157303370782</v>
      </c>
      <c r="P118" s="37">
        <f>MIN(1-df_mep[[#This Row],[MEP_compra_ARS]]/MEDIAN(N:N),100%)</f>
        <v>1</v>
      </c>
      <c r="Q118" s="38">
        <f>df_mep[[#This Row],[MEP_compra_USD]]/MEDIAN(O:O)-1</f>
        <v>0.10251688413576576</v>
      </c>
      <c r="R11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8" s="38">
        <f>ABS(df_mep[[#This Row],[bid_BA]]-df_mep[[#This Row],[ask_BA]])/AVERAGE(df_mep[[#This Row],[bid_BA]:[ask_BA]])</f>
        <v>6.5359477124183009E-3</v>
      </c>
      <c r="T118" s="36">
        <f>ABS(df_mep[[#This Row],[bid_D_BA]]-df_mep[[#This Row],[ask_D_BA]])/AVERAGE(df_mep[[#This Row],[bid_D_BA]:[ask_D_BA]])</f>
        <v>2</v>
      </c>
    </row>
    <row r="119" spans="1:20" hidden="1" x14ac:dyDescent="0.35">
      <c r="A119" t="s">
        <v>567</v>
      </c>
      <c r="B119" t="s">
        <v>568</v>
      </c>
      <c r="C119" s="4">
        <v>13919</v>
      </c>
      <c r="D119" s="4">
        <v>14101</v>
      </c>
      <c r="E119" s="4">
        <v>14524</v>
      </c>
      <c r="I119" s="5">
        <v>66</v>
      </c>
      <c r="J119" s="5">
        <f>df_mep[[#This Row],[volume_BA]]*df_mep[[#This Row],[open_BA]]</f>
        <v>918654</v>
      </c>
      <c r="L119" s="5">
        <f>df_mep[[#This Row],[volume_D_BA]]*df_mep[[#This Row],[open_D_BA]]</f>
        <v>0</v>
      </c>
      <c r="P119" s="37">
        <f>MIN(1-df_mep[[#This Row],[MEP_compra_ARS]]/MEDIAN(N:N),100%)</f>
        <v>1</v>
      </c>
      <c r="Q119" s="38">
        <f>df_mep[[#This Row],[MEP_compra_USD]]/MEDIAN(O:O)-1</f>
        <v>-1</v>
      </c>
      <c r="R11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9" s="38">
        <f>ABS(df_mep[[#This Row],[bid_BA]]-df_mep[[#This Row],[ask_BA]])/AVERAGE(df_mep[[#This Row],[bid_BA]:[ask_BA]])</f>
        <v>2.9554585152838427E-2</v>
      </c>
      <c r="T119" s="36" t="e">
        <f>ABS(df_mep[[#This Row],[bid_D_BA]]-df_mep[[#This Row],[ask_D_BA]])/AVERAGE(df_mep[[#This Row],[bid_D_BA]:[ask_D_BA]])</f>
        <v>#DIV/0!</v>
      </c>
    </row>
    <row r="120" spans="1:20" hidden="1" x14ac:dyDescent="0.35">
      <c r="A120" t="s">
        <v>300</v>
      </c>
      <c r="B120" t="s">
        <v>569</v>
      </c>
      <c r="C120" s="4">
        <v>5744</v>
      </c>
      <c r="D120" s="4">
        <v>5510</v>
      </c>
      <c r="E120" s="4">
        <v>5900</v>
      </c>
      <c r="I120" s="5">
        <v>156</v>
      </c>
      <c r="J120" s="5">
        <f>df_mep[[#This Row],[volume_BA]]*df_mep[[#This Row],[open_BA]]</f>
        <v>896064</v>
      </c>
      <c r="L120" s="5">
        <f>df_mep[[#This Row],[volume_D_BA]]*df_mep[[#This Row],[open_D_BA]]</f>
        <v>0</v>
      </c>
      <c r="P120" s="37">
        <f>MIN(1-df_mep[[#This Row],[MEP_compra_ARS]]/MEDIAN(N:N),100%)</f>
        <v>1</v>
      </c>
      <c r="Q120" s="38">
        <f>df_mep[[#This Row],[MEP_compra_USD]]/MEDIAN(O:O)-1</f>
        <v>-1</v>
      </c>
      <c r="R12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0" s="38">
        <f>ABS(df_mep[[#This Row],[bid_BA]]-df_mep[[#This Row],[ask_BA]])/AVERAGE(df_mep[[#This Row],[bid_BA]:[ask_BA]])</f>
        <v>6.8361086765994741E-2</v>
      </c>
      <c r="T120" s="36" t="e">
        <f>ABS(df_mep[[#This Row],[bid_D_BA]]-df_mep[[#This Row],[ask_D_BA]])/AVERAGE(df_mep[[#This Row],[bid_D_BA]:[ask_D_BA]])</f>
        <v>#DIV/0!</v>
      </c>
    </row>
    <row r="121" spans="1:20" hidden="1" x14ac:dyDescent="0.35">
      <c r="A121" t="s">
        <v>301</v>
      </c>
      <c r="B121" t="s">
        <v>573</v>
      </c>
      <c r="C121" s="4">
        <v>8096</v>
      </c>
      <c r="D121" s="4">
        <v>7369</v>
      </c>
      <c r="E121" s="4">
        <v>7886</v>
      </c>
      <c r="I121" s="5">
        <v>16</v>
      </c>
      <c r="J121" s="5">
        <f>df_mep[[#This Row],[volume_BA]]*df_mep[[#This Row],[open_BA]]</f>
        <v>129536</v>
      </c>
      <c r="L121" s="5">
        <f>df_mep[[#This Row],[volume_D_BA]]*df_mep[[#This Row],[open_D_BA]]</f>
        <v>0</v>
      </c>
      <c r="P121" s="37">
        <f>MIN(1-df_mep[[#This Row],[MEP_compra_ARS]]/MEDIAN(N:N),100%)</f>
        <v>1</v>
      </c>
      <c r="Q121" s="38">
        <f>df_mep[[#This Row],[MEP_compra_USD]]/MEDIAN(O:O)-1</f>
        <v>-1</v>
      </c>
      <c r="R12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1" s="38">
        <f>ABS(df_mep[[#This Row],[bid_BA]]-df_mep[[#This Row],[ask_BA]])/AVERAGE(df_mep[[#This Row],[bid_BA]:[ask_BA]])</f>
        <v>6.7781055391674866E-2</v>
      </c>
      <c r="T121" s="36" t="e">
        <f>ABS(df_mep[[#This Row],[bid_D_BA]]-df_mep[[#This Row],[ask_D_BA]])/AVERAGE(df_mep[[#This Row],[bid_D_BA]:[ask_D_BA]])</f>
        <v>#DIV/0!</v>
      </c>
    </row>
    <row r="122" spans="1:20" hidden="1" x14ac:dyDescent="0.35">
      <c r="A122" t="s">
        <v>302</v>
      </c>
      <c r="B122" t="s">
        <v>574</v>
      </c>
      <c r="C122" s="4">
        <v>8700</v>
      </c>
      <c r="D122" s="4">
        <v>8200</v>
      </c>
      <c r="E122" s="4">
        <v>8738.5</v>
      </c>
      <c r="F122" s="34">
        <v>0</v>
      </c>
      <c r="H122" s="34">
        <v>0</v>
      </c>
      <c r="I122" s="5">
        <v>91</v>
      </c>
      <c r="J122" s="5">
        <f>df_mep[[#This Row],[volume_BA]]*df_mep[[#This Row],[open_BA]]</f>
        <v>791700</v>
      </c>
      <c r="K122" s="5">
        <v>0</v>
      </c>
      <c r="L122" s="5">
        <f>df_mep[[#This Row],[volume_D_BA]]*df_mep[[#This Row],[open_D_BA]]</f>
        <v>0</v>
      </c>
      <c r="P122" s="37">
        <f>MIN(1-df_mep[[#This Row],[MEP_compra_ARS]]/MEDIAN(N:N),100%)</f>
        <v>1</v>
      </c>
      <c r="Q122" s="38">
        <f>df_mep[[#This Row],[MEP_compra_USD]]/MEDIAN(O:O)-1</f>
        <v>-1</v>
      </c>
      <c r="R12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2" s="38">
        <f>ABS(df_mep[[#This Row],[bid_BA]]-df_mep[[#This Row],[ask_BA]])/AVERAGE(df_mep[[#This Row],[bid_BA]:[ask_BA]])</f>
        <v>6.3582961891548842E-2</v>
      </c>
      <c r="T122" s="36" t="e">
        <f>ABS(df_mep[[#This Row],[bid_D_BA]]-df_mep[[#This Row],[ask_D_BA]])/AVERAGE(df_mep[[#This Row],[bid_D_BA]:[ask_D_BA]])</f>
        <v>#DIV/0!</v>
      </c>
    </row>
    <row r="123" spans="1:20" hidden="1" x14ac:dyDescent="0.35">
      <c r="A123" t="s">
        <v>303</v>
      </c>
      <c r="B123" t="s">
        <v>575</v>
      </c>
      <c r="C123" s="4">
        <v>28266.5</v>
      </c>
      <c r="D123" s="4">
        <v>29242.5</v>
      </c>
      <c r="E123" s="4">
        <v>31621</v>
      </c>
      <c r="I123" s="5">
        <v>8</v>
      </c>
      <c r="J123" s="5">
        <f>df_mep[[#This Row],[volume_BA]]*df_mep[[#This Row],[open_BA]]</f>
        <v>226132</v>
      </c>
      <c r="L123" s="5">
        <f>df_mep[[#This Row],[volume_D_BA]]*df_mep[[#This Row],[open_D_BA]]</f>
        <v>0</v>
      </c>
      <c r="P123" s="37">
        <f>MIN(1-df_mep[[#This Row],[MEP_compra_ARS]]/MEDIAN(N:N),100%)</f>
        <v>1</v>
      </c>
      <c r="Q123" s="38">
        <f>df_mep[[#This Row],[MEP_compra_USD]]/MEDIAN(O:O)-1</f>
        <v>-1</v>
      </c>
      <c r="R12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3" s="38">
        <f>ABS(df_mep[[#This Row],[bid_BA]]-df_mep[[#This Row],[ask_BA]])/AVERAGE(df_mep[[#This Row],[bid_BA]:[ask_BA]])</f>
        <v>7.8158502222185705E-2</v>
      </c>
      <c r="T123" s="36" t="e">
        <f>ABS(df_mep[[#This Row],[bid_D_BA]]-df_mep[[#This Row],[ask_D_BA]])/AVERAGE(df_mep[[#This Row],[bid_D_BA]:[ask_D_BA]])</f>
        <v>#DIV/0!</v>
      </c>
    </row>
    <row r="124" spans="1:20" hidden="1" x14ac:dyDescent="0.35">
      <c r="A124" t="s">
        <v>577</v>
      </c>
      <c r="B124" t="s">
        <v>578</v>
      </c>
      <c r="J124" s="5">
        <f>df_mep[[#This Row],[volume_BA]]*df_mep[[#This Row],[open_BA]]</f>
        <v>0</v>
      </c>
      <c r="L124" s="5">
        <f>df_mep[[#This Row],[volume_D_BA]]*df_mep[[#This Row],[open_D_BA]]</f>
        <v>0</v>
      </c>
      <c r="P124" s="37">
        <f>MIN(1-df_mep[[#This Row],[MEP_compra_ARS]]/MEDIAN(N:N),100%)</f>
        <v>1</v>
      </c>
      <c r="Q124" s="38">
        <f>df_mep[[#This Row],[MEP_compra_USD]]/MEDIAN(O:O)-1</f>
        <v>-1</v>
      </c>
      <c r="R12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4" s="38" t="e">
        <f>ABS(df_mep[[#This Row],[bid_BA]]-df_mep[[#This Row],[ask_BA]])/AVERAGE(df_mep[[#This Row],[bid_BA]:[ask_BA]])</f>
        <v>#DIV/0!</v>
      </c>
      <c r="T124" s="36" t="e">
        <f>ABS(df_mep[[#This Row],[bid_D_BA]]-df_mep[[#This Row],[ask_D_BA]])/AVERAGE(df_mep[[#This Row],[bid_D_BA]:[ask_D_BA]])</f>
        <v>#DIV/0!</v>
      </c>
    </row>
    <row r="125" spans="1:20" hidden="1" x14ac:dyDescent="0.35">
      <c r="A125" t="s">
        <v>161</v>
      </c>
      <c r="B125" t="s">
        <v>584</v>
      </c>
      <c r="C125" s="4">
        <v>4680</v>
      </c>
      <c r="D125" s="4">
        <v>4722</v>
      </c>
      <c r="E125" s="4">
        <v>5999</v>
      </c>
      <c r="F125" s="34">
        <v>0</v>
      </c>
      <c r="G125" s="34">
        <v>0</v>
      </c>
      <c r="I125" s="5">
        <v>99</v>
      </c>
      <c r="J125" s="5">
        <f>df_mep[[#This Row],[volume_BA]]*df_mep[[#This Row],[open_BA]]</f>
        <v>463320</v>
      </c>
      <c r="K125" s="5">
        <v>0</v>
      </c>
      <c r="L125" s="5">
        <f>df_mep[[#This Row],[volume_D_BA]]*df_mep[[#This Row],[open_D_BA]]</f>
        <v>0</v>
      </c>
      <c r="P125" s="37">
        <f>MIN(1-df_mep[[#This Row],[MEP_compra_ARS]]/MEDIAN(N:N),100%)</f>
        <v>1</v>
      </c>
      <c r="Q125" s="38">
        <f>df_mep[[#This Row],[MEP_compra_USD]]/MEDIAN(O:O)-1</f>
        <v>-1</v>
      </c>
      <c r="R12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5" s="38">
        <f>ABS(df_mep[[#This Row],[bid_BA]]-df_mep[[#This Row],[ask_BA]])/AVERAGE(df_mep[[#This Row],[bid_BA]:[ask_BA]])</f>
        <v>0.23822404626434102</v>
      </c>
      <c r="T125" s="36" t="e">
        <f>ABS(df_mep[[#This Row],[bid_D_BA]]-df_mep[[#This Row],[ask_D_BA]])/AVERAGE(df_mep[[#This Row],[bid_D_BA]:[ask_D_BA]])</f>
        <v>#DIV/0!</v>
      </c>
    </row>
    <row r="126" spans="1:20" hidden="1" x14ac:dyDescent="0.35">
      <c r="A126" t="s">
        <v>305</v>
      </c>
      <c r="B126" t="s">
        <v>585</v>
      </c>
      <c r="C126" s="4">
        <v>14086.5</v>
      </c>
      <c r="D126" s="4">
        <v>14050</v>
      </c>
      <c r="E126" s="4">
        <v>13985.5</v>
      </c>
      <c r="I126" s="5">
        <v>215</v>
      </c>
      <c r="J126" s="5">
        <f>df_mep[[#This Row],[volume_BA]]*df_mep[[#This Row],[open_BA]]</f>
        <v>3028597.5</v>
      </c>
      <c r="L126" s="5">
        <f>df_mep[[#This Row],[volume_D_BA]]*df_mep[[#This Row],[open_D_BA]]</f>
        <v>0</v>
      </c>
      <c r="P126" s="37">
        <f>MIN(1-df_mep[[#This Row],[MEP_compra_ARS]]/MEDIAN(N:N),100%)</f>
        <v>1</v>
      </c>
      <c r="Q126" s="38">
        <f>df_mep[[#This Row],[MEP_compra_USD]]/MEDIAN(O:O)-1</f>
        <v>-1</v>
      </c>
      <c r="R12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6" s="38">
        <f>ABS(df_mep[[#This Row],[bid_BA]]-df_mep[[#This Row],[ask_BA]])/AVERAGE(df_mep[[#This Row],[bid_BA]:[ask_BA]])</f>
        <v>4.6013090545915002E-3</v>
      </c>
      <c r="T126" s="36" t="e">
        <f>ABS(df_mep[[#This Row],[bid_D_BA]]-df_mep[[#This Row],[ask_D_BA]])/AVERAGE(df_mep[[#This Row],[bid_D_BA]:[ask_D_BA]])</f>
        <v>#DIV/0!</v>
      </c>
    </row>
    <row r="127" spans="1:20" hidden="1" x14ac:dyDescent="0.35">
      <c r="A127" t="s">
        <v>306</v>
      </c>
      <c r="B127" t="s">
        <v>586</v>
      </c>
      <c r="C127" s="4">
        <v>17369.5</v>
      </c>
      <c r="D127" s="4">
        <v>18462.5</v>
      </c>
      <c r="E127" s="4">
        <v>19485</v>
      </c>
      <c r="I127" s="5">
        <v>9</v>
      </c>
      <c r="J127" s="5">
        <f>df_mep[[#This Row],[volume_BA]]*df_mep[[#This Row],[open_BA]]</f>
        <v>156325.5</v>
      </c>
      <c r="L127" s="5">
        <f>df_mep[[#This Row],[volume_D_BA]]*df_mep[[#This Row],[open_D_BA]]</f>
        <v>0</v>
      </c>
      <c r="P127" s="37">
        <f>MIN(1-df_mep[[#This Row],[MEP_compra_ARS]]/MEDIAN(N:N),100%)</f>
        <v>1</v>
      </c>
      <c r="Q127" s="38">
        <f>df_mep[[#This Row],[MEP_compra_USD]]/MEDIAN(O:O)-1</f>
        <v>-1</v>
      </c>
      <c r="R12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7" s="38">
        <f>ABS(df_mep[[#This Row],[bid_BA]]-df_mep[[#This Row],[ask_BA]])/AVERAGE(df_mep[[#This Row],[bid_BA]:[ask_BA]])</f>
        <v>5.3890243099018381E-2</v>
      </c>
      <c r="T127" s="36" t="e">
        <f>ABS(df_mep[[#This Row],[bid_D_BA]]-df_mep[[#This Row],[ask_D_BA]])/AVERAGE(df_mep[[#This Row],[bid_D_BA]:[ask_D_BA]])</f>
        <v>#DIV/0!</v>
      </c>
    </row>
    <row r="128" spans="1:20" hidden="1" x14ac:dyDescent="0.35">
      <c r="A128" t="s">
        <v>307</v>
      </c>
      <c r="B128" t="s">
        <v>587</v>
      </c>
      <c r="C128" s="4">
        <v>7004</v>
      </c>
      <c r="D128" s="4">
        <v>7090</v>
      </c>
      <c r="E128" s="4">
        <v>7497</v>
      </c>
      <c r="F128" s="34">
        <v>0</v>
      </c>
      <c r="G128" s="34">
        <v>0</v>
      </c>
      <c r="H128" s="34">
        <v>0</v>
      </c>
      <c r="I128" s="5">
        <v>129</v>
      </c>
      <c r="J128" s="5">
        <f>df_mep[[#This Row],[volume_BA]]*df_mep[[#This Row],[open_BA]]</f>
        <v>903516</v>
      </c>
      <c r="K128" s="5">
        <v>0</v>
      </c>
      <c r="L128" s="5">
        <f>df_mep[[#This Row],[volume_D_BA]]*df_mep[[#This Row],[open_D_BA]]</f>
        <v>0</v>
      </c>
      <c r="P128" s="37">
        <f>MIN(1-df_mep[[#This Row],[MEP_compra_ARS]]/MEDIAN(N:N),100%)</f>
        <v>1</v>
      </c>
      <c r="Q128" s="38">
        <f>df_mep[[#This Row],[MEP_compra_USD]]/MEDIAN(O:O)-1</f>
        <v>-1</v>
      </c>
      <c r="R12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8" s="38">
        <f>ABS(df_mep[[#This Row],[bid_BA]]-df_mep[[#This Row],[ask_BA]])/AVERAGE(df_mep[[#This Row],[bid_BA]:[ask_BA]])</f>
        <v>5.5803112360320831E-2</v>
      </c>
      <c r="T128" s="36" t="e">
        <f>ABS(df_mep[[#This Row],[bid_D_BA]]-df_mep[[#This Row],[ask_D_BA]])/AVERAGE(df_mep[[#This Row],[bid_D_BA]:[ask_D_BA]])</f>
        <v>#DIV/0!</v>
      </c>
    </row>
    <row r="129" spans="1:20" hidden="1" x14ac:dyDescent="0.35">
      <c r="A129" t="s">
        <v>588</v>
      </c>
      <c r="B129" t="s">
        <v>589</v>
      </c>
      <c r="J129" s="5">
        <f>df_mep[[#This Row],[volume_BA]]*df_mep[[#This Row],[open_BA]]</f>
        <v>0</v>
      </c>
      <c r="L129" s="5">
        <f>df_mep[[#This Row],[volume_D_BA]]*df_mep[[#This Row],[open_D_BA]]</f>
        <v>0</v>
      </c>
      <c r="P129" s="37">
        <f>MIN(1-df_mep[[#This Row],[MEP_compra_ARS]]/MEDIAN(N:N),100%)</f>
        <v>1</v>
      </c>
      <c r="Q129" s="38">
        <f>df_mep[[#This Row],[MEP_compra_USD]]/MEDIAN(O:O)-1</f>
        <v>-1</v>
      </c>
      <c r="R12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9" s="38" t="e">
        <f>ABS(df_mep[[#This Row],[bid_BA]]-df_mep[[#This Row],[ask_BA]])/AVERAGE(df_mep[[#This Row],[bid_BA]:[ask_BA]])</f>
        <v>#DIV/0!</v>
      </c>
      <c r="T129" s="36" t="e">
        <f>ABS(df_mep[[#This Row],[bid_D_BA]]-df_mep[[#This Row],[ask_D_BA]])/AVERAGE(df_mep[[#This Row],[bid_D_BA]:[ask_D_BA]])</f>
        <v>#DIV/0!</v>
      </c>
    </row>
    <row r="130" spans="1:20" hidden="1" x14ac:dyDescent="0.35">
      <c r="A130" t="s">
        <v>207</v>
      </c>
      <c r="B130" t="s">
        <v>203</v>
      </c>
      <c r="C130" s="4">
        <v>0</v>
      </c>
      <c r="D130" s="4">
        <v>4000</v>
      </c>
      <c r="E130" s="4">
        <v>0</v>
      </c>
      <c r="I130" s="5">
        <v>0</v>
      </c>
      <c r="J130" s="5">
        <f>df_mep[[#This Row],[volume_BA]]*df_mep[[#This Row],[open_BA]]</f>
        <v>0</v>
      </c>
      <c r="L130" s="5">
        <f>df_mep[[#This Row],[volume_D_BA]]*df_mep[[#This Row],[open_D_BA]]</f>
        <v>0</v>
      </c>
      <c r="P130" s="37">
        <f>MIN(1-df_mep[[#This Row],[MEP_compra_ARS]]/MEDIAN(N:N),100%)</f>
        <v>1</v>
      </c>
      <c r="Q130" s="38">
        <f>df_mep[[#This Row],[MEP_compra_USD]]/MEDIAN(O:O)-1</f>
        <v>-1</v>
      </c>
      <c r="R13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0" s="38">
        <f>ABS(df_mep[[#This Row],[bid_BA]]-df_mep[[#This Row],[ask_BA]])/AVERAGE(df_mep[[#This Row],[bid_BA]:[ask_BA]])</f>
        <v>2</v>
      </c>
      <c r="T130" s="36" t="e">
        <f>ABS(df_mep[[#This Row],[bid_D_BA]]-df_mep[[#This Row],[ask_D_BA]])/AVERAGE(df_mep[[#This Row],[bid_D_BA]:[ask_D_BA]])</f>
        <v>#DIV/0!</v>
      </c>
    </row>
    <row r="131" spans="1:20" hidden="1" x14ac:dyDescent="0.35">
      <c r="A131" t="s">
        <v>600</v>
      </c>
      <c r="B131" t="s">
        <v>203</v>
      </c>
      <c r="J131" s="5">
        <f>df_mep[[#This Row],[volume_BA]]*df_mep[[#This Row],[open_BA]]</f>
        <v>0</v>
      </c>
      <c r="L131" s="5">
        <f>df_mep[[#This Row],[volume_D_BA]]*df_mep[[#This Row],[open_D_BA]]</f>
        <v>0</v>
      </c>
      <c r="P131" s="37">
        <f>MIN(1-df_mep[[#This Row],[MEP_compra_ARS]]/MEDIAN(N:N),100%)</f>
        <v>1</v>
      </c>
      <c r="Q131" s="38">
        <f>df_mep[[#This Row],[MEP_compra_USD]]/MEDIAN(O:O)-1</f>
        <v>-1</v>
      </c>
      <c r="R13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1" s="38" t="e">
        <f>ABS(df_mep[[#This Row],[bid_BA]]-df_mep[[#This Row],[ask_BA]])/AVERAGE(df_mep[[#This Row],[bid_BA]:[ask_BA]])</f>
        <v>#DIV/0!</v>
      </c>
      <c r="T131" s="36" t="e">
        <f>ABS(df_mep[[#This Row],[bid_D_BA]]-df_mep[[#This Row],[ask_D_BA]])/AVERAGE(df_mep[[#This Row],[bid_D_BA]:[ask_D_BA]])</f>
        <v>#DIV/0!</v>
      </c>
    </row>
    <row r="132" spans="1:20" hidden="1" x14ac:dyDescent="0.35">
      <c r="A132" t="s">
        <v>601</v>
      </c>
      <c r="B132" t="s">
        <v>203</v>
      </c>
      <c r="J132" s="5">
        <f>df_mep[[#This Row],[volume_BA]]*df_mep[[#This Row],[open_BA]]</f>
        <v>0</v>
      </c>
      <c r="L132" s="5">
        <f>df_mep[[#This Row],[volume_D_BA]]*df_mep[[#This Row],[open_D_BA]]</f>
        <v>0</v>
      </c>
      <c r="P132" s="37">
        <f>MIN(1-df_mep[[#This Row],[MEP_compra_ARS]]/MEDIAN(N:N),100%)</f>
        <v>1</v>
      </c>
      <c r="Q132" s="38">
        <f>df_mep[[#This Row],[MEP_compra_USD]]/MEDIAN(O:O)-1</f>
        <v>-1</v>
      </c>
      <c r="R13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2" s="38" t="e">
        <f>ABS(df_mep[[#This Row],[bid_BA]]-df_mep[[#This Row],[ask_BA]])/AVERAGE(df_mep[[#This Row],[bid_BA]:[ask_BA]])</f>
        <v>#DIV/0!</v>
      </c>
      <c r="T132" s="36" t="e">
        <f>ABS(df_mep[[#This Row],[bid_D_BA]]-df_mep[[#This Row],[ask_D_BA]])/AVERAGE(df_mep[[#This Row],[bid_D_BA]:[ask_D_BA]])</f>
        <v>#DIV/0!</v>
      </c>
    </row>
    <row r="133" spans="1:20" hidden="1" x14ac:dyDescent="0.35">
      <c r="A133" t="s">
        <v>310</v>
      </c>
      <c r="B133" t="s">
        <v>203</v>
      </c>
      <c r="J133" s="5">
        <f>df_mep[[#This Row],[volume_BA]]*df_mep[[#This Row],[open_BA]]</f>
        <v>0</v>
      </c>
      <c r="L133" s="5">
        <f>df_mep[[#This Row],[volume_D_BA]]*df_mep[[#This Row],[open_D_BA]]</f>
        <v>0</v>
      </c>
      <c r="P133" s="37">
        <f>MIN(1-df_mep[[#This Row],[MEP_compra_ARS]]/MEDIAN(N:N),100%)</f>
        <v>1</v>
      </c>
      <c r="Q133" s="38">
        <f>df_mep[[#This Row],[MEP_compra_USD]]/MEDIAN(O:O)-1</f>
        <v>-1</v>
      </c>
      <c r="R13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3" s="38" t="e">
        <f>ABS(df_mep[[#This Row],[bid_BA]]-df_mep[[#This Row],[ask_BA]])/AVERAGE(df_mep[[#This Row],[bid_BA]:[ask_BA]])</f>
        <v>#DIV/0!</v>
      </c>
      <c r="T133" s="36" t="e">
        <f>ABS(df_mep[[#This Row],[bid_D_BA]]-df_mep[[#This Row],[ask_D_BA]])/AVERAGE(df_mep[[#This Row],[bid_D_BA]:[ask_D_BA]])</f>
        <v>#DIV/0!</v>
      </c>
    </row>
    <row r="134" spans="1:20" hidden="1" x14ac:dyDescent="0.35">
      <c r="A134" t="s">
        <v>603</v>
      </c>
      <c r="B134" t="s">
        <v>203</v>
      </c>
      <c r="C134" s="4">
        <v>0</v>
      </c>
      <c r="D134" s="4">
        <v>450</v>
      </c>
      <c r="E134" s="4">
        <v>0</v>
      </c>
      <c r="I134" s="5">
        <v>0</v>
      </c>
      <c r="J134" s="5">
        <f>df_mep[[#This Row],[volume_BA]]*df_mep[[#This Row],[open_BA]]</f>
        <v>0</v>
      </c>
      <c r="L134" s="5">
        <f>df_mep[[#This Row],[volume_D_BA]]*df_mep[[#This Row],[open_D_BA]]</f>
        <v>0</v>
      </c>
      <c r="P134" s="37">
        <f>MIN(1-df_mep[[#This Row],[MEP_compra_ARS]]/MEDIAN(N:N),100%)</f>
        <v>1</v>
      </c>
      <c r="Q134" s="38">
        <f>df_mep[[#This Row],[MEP_compra_USD]]/MEDIAN(O:O)-1</f>
        <v>-1</v>
      </c>
      <c r="R13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4" s="38">
        <f>ABS(df_mep[[#This Row],[bid_BA]]-df_mep[[#This Row],[ask_BA]])/AVERAGE(df_mep[[#This Row],[bid_BA]:[ask_BA]])</f>
        <v>2</v>
      </c>
      <c r="T134" s="36" t="e">
        <f>ABS(df_mep[[#This Row],[bid_D_BA]]-df_mep[[#This Row],[ask_D_BA]])/AVERAGE(df_mep[[#This Row],[bid_D_BA]:[ask_D_BA]])</f>
        <v>#DIV/0!</v>
      </c>
    </row>
    <row r="135" spans="1:20" hidden="1" x14ac:dyDescent="0.35">
      <c r="A135" t="s">
        <v>604</v>
      </c>
      <c r="B135" t="s">
        <v>203</v>
      </c>
      <c r="C135" s="4">
        <v>0</v>
      </c>
      <c r="D135" s="4">
        <v>0</v>
      </c>
      <c r="E135" s="4">
        <v>0</v>
      </c>
      <c r="I135" s="5">
        <v>0</v>
      </c>
      <c r="J135" s="5">
        <f>df_mep[[#This Row],[volume_BA]]*df_mep[[#This Row],[open_BA]]</f>
        <v>0</v>
      </c>
      <c r="L135" s="5">
        <f>df_mep[[#This Row],[volume_D_BA]]*df_mep[[#This Row],[open_D_BA]]</f>
        <v>0</v>
      </c>
      <c r="P135" s="37">
        <f>MIN(1-df_mep[[#This Row],[MEP_compra_ARS]]/MEDIAN(N:N),100%)</f>
        <v>1</v>
      </c>
      <c r="Q135" s="38">
        <f>df_mep[[#This Row],[MEP_compra_USD]]/MEDIAN(O:O)-1</f>
        <v>-1</v>
      </c>
      <c r="R13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5" s="38" t="e">
        <f>ABS(df_mep[[#This Row],[bid_BA]]-df_mep[[#This Row],[ask_BA]])/AVERAGE(df_mep[[#This Row],[bid_BA]:[ask_BA]])</f>
        <v>#DIV/0!</v>
      </c>
      <c r="T135" s="36" t="e">
        <f>ABS(df_mep[[#This Row],[bid_D_BA]]-df_mep[[#This Row],[ask_D_BA]])/AVERAGE(df_mep[[#This Row],[bid_D_BA]:[ask_D_BA]])</f>
        <v>#DIV/0!</v>
      </c>
    </row>
    <row r="136" spans="1:20" hidden="1" x14ac:dyDescent="0.35">
      <c r="A136" t="s">
        <v>606</v>
      </c>
      <c r="B136" t="s">
        <v>203</v>
      </c>
      <c r="J136" s="5">
        <f>df_mep[[#This Row],[volume_BA]]*df_mep[[#This Row],[open_BA]]</f>
        <v>0</v>
      </c>
      <c r="L136" s="5">
        <f>df_mep[[#This Row],[volume_D_BA]]*df_mep[[#This Row],[open_D_BA]]</f>
        <v>0</v>
      </c>
      <c r="P136" s="37">
        <f>MIN(1-df_mep[[#This Row],[MEP_compra_ARS]]/MEDIAN(N:N),100%)</f>
        <v>1</v>
      </c>
      <c r="Q136" s="38">
        <f>df_mep[[#This Row],[MEP_compra_USD]]/MEDIAN(O:O)-1</f>
        <v>-1</v>
      </c>
      <c r="R13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6" s="38" t="e">
        <f>ABS(df_mep[[#This Row],[bid_BA]]-df_mep[[#This Row],[ask_BA]])/AVERAGE(df_mep[[#This Row],[bid_BA]:[ask_BA]])</f>
        <v>#DIV/0!</v>
      </c>
      <c r="T136" s="36" t="e">
        <f>ABS(df_mep[[#This Row],[bid_D_BA]]-df_mep[[#This Row],[ask_D_BA]])/AVERAGE(df_mep[[#This Row],[bid_D_BA]:[ask_D_BA]])</f>
        <v>#DIV/0!</v>
      </c>
    </row>
    <row r="137" spans="1:20" hidden="1" x14ac:dyDescent="0.35">
      <c r="A137" t="s">
        <v>607</v>
      </c>
      <c r="B137" t="s">
        <v>203</v>
      </c>
      <c r="J137" s="5">
        <f>df_mep[[#This Row],[volume_BA]]*df_mep[[#This Row],[open_BA]]</f>
        <v>0</v>
      </c>
      <c r="L137" s="5">
        <f>df_mep[[#This Row],[volume_D_BA]]*df_mep[[#This Row],[open_D_BA]]</f>
        <v>0</v>
      </c>
      <c r="P137" s="37">
        <f>MIN(1-df_mep[[#This Row],[MEP_compra_ARS]]/MEDIAN(N:N),100%)</f>
        <v>1</v>
      </c>
      <c r="Q137" s="38">
        <f>df_mep[[#This Row],[MEP_compra_USD]]/MEDIAN(O:O)-1</f>
        <v>-1</v>
      </c>
      <c r="R13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7" s="38" t="e">
        <f>ABS(df_mep[[#This Row],[bid_BA]]-df_mep[[#This Row],[ask_BA]])/AVERAGE(df_mep[[#This Row],[bid_BA]:[ask_BA]])</f>
        <v>#DIV/0!</v>
      </c>
      <c r="T137" s="36" t="e">
        <f>ABS(df_mep[[#This Row],[bid_D_BA]]-df_mep[[#This Row],[ask_D_BA]])/AVERAGE(df_mep[[#This Row],[bid_D_BA]:[ask_D_BA]])</f>
        <v>#DIV/0!</v>
      </c>
    </row>
    <row r="138" spans="1:20" hidden="1" x14ac:dyDescent="0.35">
      <c r="A138" t="s">
        <v>608</v>
      </c>
      <c r="B138" t="s">
        <v>203</v>
      </c>
      <c r="J138" s="5">
        <f>df_mep[[#This Row],[volume_BA]]*df_mep[[#This Row],[open_BA]]</f>
        <v>0</v>
      </c>
      <c r="L138" s="5">
        <f>df_mep[[#This Row],[volume_D_BA]]*df_mep[[#This Row],[open_D_BA]]</f>
        <v>0</v>
      </c>
      <c r="P138" s="37">
        <f>MIN(1-df_mep[[#This Row],[MEP_compra_ARS]]/MEDIAN(N:N),100%)</f>
        <v>1</v>
      </c>
      <c r="Q138" s="38">
        <f>df_mep[[#This Row],[MEP_compra_USD]]/MEDIAN(O:O)-1</f>
        <v>-1</v>
      </c>
      <c r="R13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8" s="38" t="e">
        <f>ABS(df_mep[[#This Row],[bid_BA]]-df_mep[[#This Row],[ask_BA]])/AVERAGE(df_mep[[#This Row],[bid_BA]:[ask_BA]])</f>
        <v>#DIV/0!</v>
      </c>
      <c r="T138" s="36" t="e">
        <f>ABS(df_mep[[#This Row],[bid_D_BA]]-df_mep[[#This Row],[ask_D_BA]])/AVERAGE(df_mep[[#This Row],[bid_D_BA]:[ask_D_BA]])</f>
        <v>#DIV/0!</v>
      </c>
    </row>
    <row r="139" spans="1:20" hidden="1" x14ac:dyDescent="0.35">
      <c r="A139" t="s">
        <v>609</v>
      </c>
      <c r="B139" t="s">
        <v>203</v>
      </c>
      <c r="J139" s="5">
        <f>df_mep[[#This Row],[volume_BA]]*df_mep[[#This Row],[open_BA]]</f>
        <v>0</v>
      </c>
      <c r="L139" s="5">
        <f>df_mep[[#This Row],[volume_D_BA]]*df_mep[[#This Row],[open_D_BA]]</f>
        <v>0</v>
      </c>
      <c r="P139" s="37">
        <f>MIN(1-df_mep[[#This Row],[MEP_compra_ARS]]/MEDIAN(N:N),100%)</f>
        <v>1</v>
      </c>
      <c r="Q139" s="38">
        <f>df_mep[[#This Row],[MEP_compra_USD]]/MEDIAN(O:O)-1</f>
        <v>-1</v>
      </c>
      <c r="R13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9" s="38" t="e">
        <f>ABS(df_mep[[#This Row],[bid_BA]]-df_mep[[#This Row],[ask_BA]])/AVERAGE(df_mep[[#This Row],[bid_BA]:[ask_BA]])</f>
        <v>#DIV/0!</v>
      </c>
      <c r="T139" s="36" t="e">
        <f>ABS(df_mep[[#This Row],[bid_D_BA]]-df_mep[[#This Row],[ask_D_BA]])/AVERAGE(df_mep[[#This Row],[bid_D_BA]:[ask_D_BA]])</f>
        <v>#DIV/0!</v>
      </c>
    </row>
    <row r="140" spans="1:20" hidden="1" x14ac:dyDescent="0.35">
      <c r="A140" t="s">
        <v>610</v>
      </c>
      <c r="B140" t="s">
        <v>611</v>
      </c>
      <c r="C140" s="4">
        <v>0</v>
      </c>
      <c r="D140" s="4">
        <v>0</v>
      </c>
      <c r="I140" s="5">
        <v>0</v>
      </c>
      <c r="J140" s="5">
        <f>df_mep[[#This Row],[volume_BA]]*df_mep[[#This Row],[open_BA]]</f>
        <v>0</v>
      </c>
      <c r="L140" s="5">
        <f>df_mep[[#This Row],[volume_D_BA]]*df_mep[[#This Row],[open_D_BA]]</f>
        <v>0</v>
      </c>
      <c r="P140" s="37">
        <f>MIN(1-df_mep[[#This Row],[MEP_compra_ARS]]/MEDIAN(N:N),100%)</f>
        <v>1</v>
      </c>
      <c r="Q140" s="38">
        <f>df_mep[[#This Row],[MEP_compra_USD]]/MEDIAN(O:O)-1</f>
        <v>-1</v>
      </c>
      <c r="R14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0" s="38" t="e">
        <f>ABS(df_mep[[#This Row],[bid_BA]]-df_mep[[#This Row],[ask_BA]])/AVERAGE(df_mep[[#This Row],[bid_BA]:[ask_BA]])</f>
        <v>#DIV/0!</v>
      </c>
      <c r="T140" s="36" t="e">
        <f>ABS(df_mep[[#This Row],[bid_D_BA]]-df_mep[[#This Row],[ask_D_BA]])/AVERAGE(df_mep[[#This Row],[bid_D_BA]:[ask_D_BA]])</f>
        <v>#DIV/0!</v>
      </c>
    </row>
    <row r="141" spans="1:20" hidden="1" x14ac:dyDescent="0.35">
      <c r="A141" t="s">
        <v>612</v>
      </c>
      <c r="B141" t="s">
        <v>203</v>
      </c>
      <c r="C141" s="4">
        <v>0</v>
      </c>
      <c r="D141" s="4">
        <v>0</v>
      </c>
      <c r="E141" s="4">
        <v>0</v>
      </c>
      <c r="I141" s="5">
        <v>0</v>
      </c>
      <c r="J141" s="5">
        <f>df_mep[[#This Row],[volume_BA]]*df_mep[[#This Row],[open_BA]]</f>
        <v>0</v>
      </c>
      <c r="L141" s="5">
        <f>df_mep[[#This Row],[volume_D_BA]]*df_mep[[#This Row],[open_D_BA]]</f>
        <v>0</v>
      </c>
      <c r="P141" s="37">
        <f>MIN(1-df_mep[[#This Row],[MEP_compra_ARS]]/MEDIAN(N:N),100%)</f>
        <v>1</v>
      </c>
      <c r="Q141" s="38">
        <f>df_mep[[#This Row],[MEP_compra_USD]]/MEDIAN(O:O)-1</f>
        <v>-1</v>
      </c>
      <c r="R14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1" s="38" t="e">
        <f>ABS(df_mep[[#This Row],[bid_BA]]-df_mep[[#This Row],[ask_BA]])/AVERAGE(df_mep[[#This Row],[bid_BA]:[ask_BA]])</f>
        <v>#DIV/0!</v>
      </c>
      <c r="T141" s="36" t="e">
        <f>ABS(df_mep[[#This Row],[bid_D_BA]]-df_mep[[#This Row],[ask_D_BA]])/AVERAGE(df_mep[[#This Row],[bid_D_BA]:[ask_D_BA]])</f>
        <v>#DIV/0!</v>
      </c>
    </row>
    <row r="142" spans="1:20" hidden="1" x14ac:dyDescent="0.35">
      <c r="A142" t="s">
        <v>613</v>
      </c>
      <c r="B142" t="s">
        <v>203</v>
      </c>
      <c r="J142" s="5">
        <f>df_mep[[#This Row],[volume_BA]]*df_mep[[#This Row],[open_BA]]</f>
        <v>0</v>
      </c>
      <c r="L142" s="5">
        <f>df_mep[[#This Row],[volume_D_BA]]*df_mep[[#This Row],[open_D_BA]]</f>
        <v>0</v>
      </c>
      <c r="P142" s="37">
        <f>MIN(1-df_mep[[#This Row],[MEP_compra_ARS]]/MEDIAN(N:N),100%)</f>
        <v>1</v>
      </c>
      <c r="Q142" s="38">
        <f>df_mep[[#This Row],[MEP_compra_USD]]/MEDIAN(O:O)-1</f>
        <v>-1</v>
      </c>
      <c r="R14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2" s="38" t="e">
        <f>ABS(df_mep[[#This Row],[bid_BA]]-df_mep[[#This Row],[ask_BA]])/AVERAGE(df_mep[[#This Row],[bid_BA]:[ask_BA]])</f>
        <v>#DIV/0!</v>
      </c>
      <c r="T142" s="36" t="e">
        <f>ABS(df_mep[[#This Row],[bid_D_BA]]-df_mep[[#This Row],[ask_D_BA]])/AVERAGE(df_mep[[#This Row],[bid_D_BA]:[ask_D_BA]])</f>
        <v>#DIV/0!</v>
      </c>
    </row>
    <row r="143" spans="1:20" hidden="1" x14ac:dyDescent="0.35">
      <c r="A143" t="s">
        <v>270</v>
      </c>
      <c r="B143" t="s">
        <v>203</v>
      </c>
      <c r="C143" s="4">
        <v>3260</v>
      </c>
      <c r="D143" s="4">
        <v>3101</v>
      </c>
      <c r="E143" s="4">
        <v>3304</v>
      </c>
      <c r="I143" s="5">
        <v>117</v>
      </c>
      <c r="J143" s="5">
        <f>df_mep[[#This Row],[volume_BA]]*df_mep[[#This Row],[open_BA]]</f>
        <v>381420</v>
      </c>
      <c r="L143" s="5">
        <f>df_mep[[#This Row],[volume_D_BA]]*df_mep[[#This Row],[open_D_BA]]</f>
        <v>0</v>
      </c>
      <c r="P143" s="37">
        <f>MIN(1-df_mep[[#This Row],[MEP_compra_ARS]]/MEDIAN(N:N),100%)</f>
        <v>1</v>
      </c>
      <c r="Q143" s="38">
        <f>df_mep[[#This Row],[MEP_compra_USD]]/MEDIAN(O:O)-1</f>
        <v>-1</v>
      </c>
      <c r="R14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3" s="38">
        <f>ABS(df_mep[[#This Row],[bid_BA]]-df_mep[[#This Row],[ask_BA]])/AVERAGE(df_mep[[#This Row],[bid_BA]:[ask_BA]])</f>
        <v>6.3387978142076501E-2</v>
      </c>
      <c r="T143" s="36" t="e">
        <f>ABS(df_mep[[#This Row],[bid_D_BA]]-df_mep[[#This Row],[ask_D_BA]])/AVERAGE(df_mep[[#This Row],[bid_D_BA]:[ask_D_BA]])</f>
        <v>#DIV/0!</v>
      </c>
    </row>
    <row r="144" spans="1:20" hidden="1" x14ac:dyDescent="0.35">
      <c r="A144" t="s">
        <v>278</v>
      </c>
      <c r="B144" t="s">
        <v>614</v>
      </c>
      <c r="C144" s="4">
        <v>29100</v>
      </c>
      <c r="D144" s="4">
        <v>28800</v>
      </c>
      <c r="E144" s="4">
        <v>28990</v>
      </c>
      <c r="I144" s="5">
        <v>223</v>
      </c>
      <c r="J144" s="5">
        <f>df_mep[[#This Row],[volume_BA]]*df_mep[[#This Row],[open_BA]]</f>
        <v>6489300</v>
      </c>
      <c r="L144" s="5">
        <f>df_mep[[#This Row],[volume_D_BA]]*df_mep[[#This Row],[open_D_BA]]</f>
        <v>0</v>
      </c>
      <c r="P144" s="37">
        <f>MIN(1-df_mep[[#This Row],[MEP_compra_ARS]]/MEDIAN(N:N),100%)</f>
        <v>1</v>
      </c>
      <c r="Q144" s="38">
        <f>df_mep[[#This Row],[MEP_compra_USD]]/MEDIAN(O:O)-1</f>
        <v>-1</v>
      </c>
      <c r="R14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4" s="38">
        <f>ABS(df_mep[[#This Row],[bid_BA]]-df_mep[[#This Row],[ask_BA]])/AVERAGE(df_mep[[#This Row],[bid_BA]:[ask_BA]])</f>
        <v>6.5755320989790622E-3</v>
      </c>
      <c r="T144" s="36" t="e">
        <f>ABS(df_mep[[#This Row],[bid_D_BA]]-df_mep[[#This Row],[ask_D_BA]])/AVERAGE(df_mep[[#This Row],[bid_D_BA]:[ask_D_BA]])</f>
        <v>#DIV/0!</v>
      </c>
    </row>
    <row r="145" spans="1:20" hidden="1" x14ac:dyDescent="0.35">
      <c r="A145" t="s">
        <v>615</v>
      </c>
      <c r="B145" t="s">
        <v>203</v>
      </c>
      <c r="J145" s="5">
        <f>df_mep[[#This Row],[volume_BA]]*df_mep[[#This Row],[open_BA]]</f>
        <v>0</v>
      </c>
      <c r="L145" s="5">
        <f>df_mep[[#This Row],[volume_D_BA]]*df_mep[[#This Row],[open_D_BA]]</f>
        <v>0</v>
      </c>
      <c r="P145" s="37">
        <f>MIN(1-df_mep[[#This Row],[MEP_compra_ARS]]/MEDIAN(N:N),100%)</f>
        <v>1</v>
      </c>
      <c r="Q145" s="38">
        <f>df_mep[[#This Row],[MEP_compra_USD]]/MEDIAN(O:O)-1</f>
        <v>-1</v>
      </c>
      <c r="R14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5" s="38" t="e">
        <f>ABS(df_mep[[#This Row],[bid_BA]]-df_mep[[#This Row],[ask_BA]])/AVERAGE(df_mep[[#This Row],[bid_BA]:[ask_BA]])</f>
        <v>#DIV/0!</v>
      </c>
      <c r="T145" s="36" t="e">
        <f>ABS(df_mep[[#This Row],[bid_D_BA]]-df_mep[[#This Row],[ask_D_BA]])/AVERAGE(df_mep[[#This Row],[bid_D_BA]:[ask_D_BA]])</f>
        <v>#DIV/0!</v>
      </c>
    </row>
    <row r="146" spans="1:20" hidden="1" x14ac:dyDescent="0.35">
      <c r="A146" t="s">
        <v>616</v>
      </c>
      <c r="B146" t="s">
        <v>203</v>
      </c>
      <c r="C146" s="4">
        <v>0</v>
      </c>
      <c r="D146" s="4">
        <v>0</v>
      </c>
      <c r="E146" s="4">
        <v>0</v>
      </c>
      <c r="I146" s="5">
        <v>0</v>
      </c>
      <c r="J146" s="5">
        <f>df_mep[[#This Row],[volume_BA]]*df_mep[[#This Row],[open_BA]]</f>
        <v>0</v>
      </c>
      <c r="L146" s="5">
        <f>df_mep[[#This Row],[volume_D_BA]]*df_mep[[#This Row],[open_D_BA]]</f>
        <v>0</v>
      </c>
      <c r="P146" s="37">
        <f>MIN(1-df_mep[[#This Row],[MEP_compra_ARS]]/MEDIAN(N:N),100%)</f>
        <v>1</v>
      </c>
      <c r="Q146" s="38">
        <f>df_mep[[#This Row],[MEP_compra_USD]]/MEDIAN(O:O)-1</f>
        <v>-1</v>
      </c>
      <c r="R14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6" s="38" t="e">
        <f>ABS(df_mep[[#This Row],[bid_BA]]-df_mep[[#This Row],[ask_BA]])/AVERAGE(df_mep[[#This Row],[bid_BA]:[ask_BA]])</f>
        <v>#DIV/0!</v>
      </c>
      <c r="T146" s="36" t="e">
        <f>ABS(df_mep[[#This Row],[bid_D_BA]]-df_mep[[#This Row],[ask_D_BA]])/AVERAGE(df_mep[[#This Row],[bid_D_BA]:[ask_D_BA]])</f>
        <v>#DIV/0!</v>
      </c>
    </row>
    <row r="147" spans="1:20" hidden="1" x14ac:dyDescent="0.35">
      <c r="A147" t="s">
        <v>311</v>
      </c>
      <c r="B147" t="s">
        <v>203</v>
      </c>
      <c r="J147" s="5">
        <f>df_mep[[#This Row],[volume_BA]]*df_mep[[#This Row],[open_BA]]</f>
        <v>0</v>
      </c>
      <c r="L147" s="5">
        <f>df_mep[[#This Row],[volume_D_BA]]*df_mep[[#This Row],[open_D_BA]]</f>
        <v>0</v>
      </c>
      <c r="P147" s="37">
        <f>MIN(1-df_mep[[#This Row],[MEP_compra_ARS]]/MEDIAN(N:N),100%)</f>
        <v>1</v>
      </c>
      <c r="Q147" s="38">
        <f>df_mep[[#This Row],[MEP_compra_USD]]/MEDIAN(O:O)-1</f>
        <v>-1</v>
      </c>
      <c r="R14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7" s="38" t="e">
        <f>ABS(df_mep[[#This Row],[bid_BA]]-df_mep[[#This Row],[ask_BA]])/AVERAGE(df_mep[[#This Row],[bid_BA]:[ask_BA]])</f>
        <v>#DIV/0!</v>
      </c>
      <c r="T147" s="36" t="e">
        <f>ABS(df_mep[[#This Row],[bid_D_BA]]-df_mep[[#This Row],[ask_D_BA]])/AVERAGE(df_mep[[#This Row],[bid_D_BA]:[ask_D_BA]])</f>
        <v>#DIV/0!</v>
      </c>
    </row>
    <row r="148" spans="1:20" hidden="1" x14ac:dyDescent="0.35">
      <c r="A148" t="s">
        <v>617</v>
      </c>
      <c r="B148" t="s">
        <v>203</v>
      </c>
      <c r="C148" s="4">
        <v>0</v>
      </c>
      <c r="D148" s="4">
        <v>8651</v>
      </c>
      <c r="E148" s="4">
        <v>0</v>
      </c>
      <c r="I148" s="5">
        <v>0</v>
      </c>
      <c r="J148" s="5">
        <f>df_mep[[#This Row],[volume_BA]]*df_mep[[#This Row],[open_BA]]</f>
        <v>0</v>
      </c>
      <c r="L148" s="5">
        <f>df_mep[[#This Row],[volume_D_BA]]*df_mep[[#This Row],[open_D_BA]]</f>
        <v>0</v>
      </c>
      <c r="P148" s="37">
        <f>MIN(1-df_mep[[#This Row],[MEP_compra_ARS]]/MEDIAN(N:N),100%)</f>
        <v>1</v>
      </c>
      <c r="Q148" s="38">
        <f>df_mep[[#This Row],[MEP_compra_USD]]/MEDIAN(O:O)-1</f>
        <v>-1</v>
      </c>
      <c r="R14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8" s="38">
        <f>ABS(df_mep[[#This Row],[bid_BA]]-df_mep[[#This Row],[ask_BA]])/AVERAGE(df_mep[[#This Row],[bid_BA]:[ask_BA]])</f>
        <v>2</v>
      </c>
      <c r="T148" s="36" t="e">
        <f>ABS(df_mep[[#This Row],[bid_D_BA]]-df_mep[[#This Row],[ask_D_BA]])/AVERAGE(df_mep[[#This Row],[bid_D_BA]:[ask_D_BA]])</f>
        <v>#DIV/0!</v>
      </c>
    </row>
    <row r="149" spans="1:20" hidden="1" x14ac:dyDescent="0.35">
      <c r="A149" t="s">
        <v>304</v>
      </c>
      <c r="B149" t="s">
        <v>203</v>
      </c>
      <c r="C149" s="4">
        <v>1830</v>
      </c>
      <c r="D149" s="4">
        <v>1652</v>
      </c>
      <c r="E149" s="4">
        <v>1750</v>
      </c>
      <c r="I149" s="5">
        <v>395</v>
      </c>
      <c r="J149" s="5">
        <f>df_mep[[#This Row],[volume_BA]]*df_mep[[#This Row],[open_BA]]</f>
        <v>722850</v>
      </c>
      <c r="L149" s="5">
        <f>df_mep[[#This Row],[volume_D_BA]]*df_mep[[#This Row],[open_D_BA]]</f>
        <v>0</v>
      </c>
      <c r="P149" s="37">
        <f>MIN(1-df_mep[[#This Row],[MEP_compra_ARS]]/MEDIAN(N:N),100%)</f>
        <v>1</v>
      </c>
      <c r="Q149" s="38">
        <f>df_mep[[#This Row],[MEP_compra_USD]]/MEDIAN(O:O)-1</f>
        <v>-1</v>
      </c>
      <c r="R14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9" s="38">
        <f>ABS(df_mep[[#This Row],[bid_BA]]-df_mep[[#This Row],[ask_BA]])/AVERAGE(df_mep[[#This Row],[bid_BA]:[ask_BA]])</f>
        <v>5.7613168724279837E-2</v>
      </c>
      <c r="T149" s="36" t="e">
        <f>ABS(df_mep[[#This Row],[bid_D_BA]]-df_mep[[#This Row],[ask_D_BA]])/AVERAGE(df_mep[[#This Row],[bid_D_BA]:[ask_D_BA]])</f>
        <v>#DIV/0!</v>
      </c>
    </row>
    <row r="150" spans="1:20" hidden="1" x14ac:dyDescent="0.35">
      <c r="A150" t="s">
        <v>618</v>
      </c>
      <c r="B150" t="s">
        <v>203</v>
      </c>
      <c r="J150" s="5">
        <f>df_mep[[#This Row],[volume_BA]]*df_mep[[#This Row],[open_BA]]</f>
        <v>0</v>
      </c>
      <c r="L150" s="5">
        <f>df_mep[[#This Row],[volume_D_BA]]*df_mep[[#This Row],[open_D_BA]]</f>
        <v>0</v>
      </c>
      <c r="P150" s="37">
        <f>MIN(1-df_mep[[#This Row],[MEP_compra_ARS]]/MEDIAN(N:N),100%)</f>
        <v>1</v>
      </c>
      <c r="Q150" s="38">
        <f>df_mep[[#This Row],[MEP_compra_USD]]/MEDIAN(O:O)-1</f>
        <v>-1</v>
      </c>
      <c r="R15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0" s="38" t="e">
        <f>ABS(df_mep[[#This Row],[bid_BA]]-df_mep[[#This Row],[ask_BA]])/AVERAGE(df_mep[[#This Row],[bid_BA]:[ask_BA]])</f>
        <v>#DIV/0!</v>
      </c>
      <c r="T150" s="36" t="e">
        <f>ABS(df_mep[[#This Row],[bid_D_BA]]-df_mep[[#This Row],[ask_D_BA]])/AVERAGE(df_mep[[#This Row],[bid_D_BA]:[ask_D_BA]])</f>
        <v>#DIV/0!</v>
      </c>
    </row>
    <row r="151" spans="1:20" hidden="1" x14ac:dyDescent="0.35">
      <c r="A151" t="s">
        <v>203</v>
      </c>
      <c r="B151" t="s">
        <v>203</v>
      </c>
      <c r="J151" s="5">
        <f>df_mep[[#This Row],[volume_BA]]*df_mep[[#This Row],[open_BA]]</f>
        <v>0</v>
      </c>
      <c r="L151" s="5">
        <f>df_mep[[#This Row],[volume_D_BA]]*df_mep[[#This Row],[open_D_BA]]</f>
        <v>0</v>
      </c>
      <c r="P151" s="37">
        <f>MIN(1-df_mep[[#This Row],[MEP_compra_ARS]]/MEDIAN(N:N),100%)</f>
        <v>1</v>
      </c>
      <c r="Q151" s="38">
        <f>df_mep[[#This Row],[MEP_compra_USD]]/MEDIAN(O:O)-1</f>
        <v>-1</v>
      </c>
      <c r="R15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1" s="38" t="e">
        <f>ABS(df_mep[[#This Row],[bid_BA]]-df_mep[[#This Row],[ask_BA]])/AVERAGE(df_mep[[#This Row],[bid_BA]:[ask_BA]])</f>
        <v>#DIV/0!</v>
      </c>
      <c r="T151" s="36" t="e">
        <f>ABS(df_mep[[#This Row],[bid_D_BA]]-df_mep[[#This Row],[ask_D_BA]])/AVERAGE(df_mep[[#This Row],[bid_D_BA]:[ask_D_BA]])</f>
        <v>#DIV/0!</v>
      </c>
    </row>
    <row r="152" spans="1:20" hidden="1" x14ac:dyDescent="0.35">
      <c r="A152" t="s">
        <v>619</v>
      </c>
      <c r="B152" t="s">
        <v>203</v>
      </c>
      <c r="J152" s="5">
        <f>df_mep[[#This Row],[volume_BA]]*df_mep[[#This Row],[open_BA]]</f>
        <v>0</v>
      </c>
      <c r="L152" s="5">
        <f>df_mep[[#This Row],[volume_D_BA]]*df_mep[[#This Row],[open_D_BA]]</f>
        <v>0</v>
      </c>
      <c r="P152" s="37">
        <f>MIN(1-df_mep[[#This Row],[MEP_compra_ARS]]/MEDIAN(N:N),100%)</f>
        <v>1</v>
      </c>
      <c r="Q152" s="38">
        <f>df_mep[[#This Row],[MEP_compra_USD]]/MEDIAN(O:O)-1</f>
        <v>-1</v>
      </c>
      <c r="R15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2" s="38" t="e">
        <f>ABS(df_mep[[#This Row],[bid_BA]]-df_mep[[#This Row],[ask_BA]])/AVERAGE(df_mep[[#This Row],[bid_BA]:[ask_BA]])</f>
        <v>#DIV/0!</v>
      </c>
      <c r="T152" s="36" t="e">
        <f>ABS(df_mep[[#This Row],[bid_D_BA]]-df_mep[[#This Row],[ask_D_BA]])/AVERAGE(df_mep[[#This Row],[bid_D_BA]:[ask_D_BA]])</f>
        <v>#DIV/0!</v>
      </c>
    </row>
    <row r="153" spans="1:20" hidden="1" x14ac:dyDescent="0.35">
      <c r="A153" t="s">
        <v>620</v>
      </c>
      <c r="B153" t="s">
        <v>203</v>
      </c>
      <c r="J153" s="5">
        <f>df_mep[[#This Row],[volume_BA]]*df_mep[[#This Row],[open_BA]]</f>
        <v>0</v>
      </c>
      <c r="L153" s="5">
        <f>df_mep[[#This Row],[volume_D_BA]]*df_mep[[#This Row],[open_D_BA]]</f>
        <v>0</v>
      </c>
      <c r="P153" s="37">
        <f>MIN(1-df_mep[[#This Row],[MEP_compra_ARS]]/MEDIAN(N:N),100%)</f>
        <v>1</v>
      </c>
      <c r="Q153" s="38">
        <f>df_mep[[#This Row],[MEP_compra_USD]]/MEDIAN(O:O)-1</f>
        <v>-1</v>
      </c>
      <c r="R15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3" s="38" t="e">
        <f>ABS(df_mep[[#This Row],[bid_BA]]-df_mep[[#This Row],[ask_BA]])/AVERAGE(df_mep[[#This Row],[bid_BA]:[ask_BA]])</f>
        <v>#DIV/0!</v>
      </c>
      <c r="T153" s="36" t="e">
        <f>ABS(df_mep[[#This Row],[bid_D_BA]]-df_mep[[#This Row],[ask_D_BA]])/AVERAGE(df_mep[[#This Row],[bid_D_BA]:[ask_D_BA]])</f>
        <v>#DIV/0!</v>
      </c>
    </row>
    <row r="154" spans="1:20" hidden="1" x14ac:dyDescent="0.35">
      <c r="A154" t="s">
        <v>621</v>
      </c>
      <c r="B154" t="s">
        <v>203</v>
      </c>
      <c r="J154" s="5">
        <f>df_mep[[#This Row],[volume_BA]]*df_mep[[#This Row],[open_BA]]</f>
        <v>0</v>
      </c>
      <c r="L154" s="5">
        <f>df_mep[[#This Row],[volume_D_BA]]*df_mep[[#This Row],[open_D_BA]]</f>
        <v>0</v>
      </c>
      <c r="P154" s="37">
        <f>MIN(1-df_mep[[#This Row],[MEP_compra_ARS]]/MEDIAN(N:N),100%)</f>
        <v>1</v>
      </c>
      <c r="Q154" s="38">
        <f>df_mep[[#This Row],[MEP_compra_USD]]/MEDIAN(O:O)-1</f>
        <v>-1</v>
      </c>
      <c r="R15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4" s="38" t="e">
        <f>ABS(df_mep[[#This Row],[bid_BA]]-df_mep[[#This Row],[ask_BA]])/AVERAGE(df_mep[[#This Row],[bid_BA]:[ask_BA]])</f>
        <v>#DIV/0!</v>
      </c>
      <c r="T154" s="36" t="e">
        <f>ABS(df_mep[[#This Row],[bid_D_BA]]-df_mep[[#This Row],[ask_D_BA]])/AVERAGE(df_mep[[#This Row],[bid_D_BA]:[ask_D_BA]])</f>
        <v>#DIV/0!</v>
      </c>
    </row>
    <row r="155" spans="1:20" hidden="1" x14ac:dyDescent="0.35">
      <c r="A155" t="s">
        <v>622</v>
      </c>
      <c r="B155" t="s">
        <v>203</v>
      </c>
      <c r="C155" s="4">
        <v>0</v>
      </c>
      <c r="D155" s="4">
        <v>0</v>
      </c>
      <c r="I155" s="5">
        <v>0</v>
      </c>
      <c r="J155" s="5">
        <f>df_mep[[#This Row],[volume_BA]]*df_mep[[#This Row],[open_BA]]</f>
        <v>0</v>
      </c>
      <c r="L155" s="5">
        <f>df_mep[[#This Row],[volume_D_BA]]*df_mep[[#This Row],[open_D_BA]]</f>
        <v>0</v>
      </c>
      <c r="P155" s="37">
        <f>MIN(1-df_mep[[#This Row],[MEP_compra_ARS]]/MEDIAN(N:N),100%)</f>
        <v>1</v>
      </c>
      <c r="Q155" s="38">
        <f>df_mep[[#This Row],[MEP_compra_USD]]/MEDIAN(O:O)-1</f>
        <v>-1</v>
      </c>
      <c r="R15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5" s="38" t="e">
        <f>ABS(df_mep[[#This Row],[bid_BA]]-df_mep[[#This Row],[ask_BA]])/AVERAGE(df_mep[[#This Row],[bid_BA]:[ask_BA]])</f>
        <v>#DIV/0!</v>
      </c>
      <c r="T155" s="36" t="e">
        <f>ABS(df_mep[[#This Row],[bid_D_BA]]-df_mep[[#This Row],[ask_D_BA]])/AVERAGE(df_mep[[#This Row],[bid_D_BA]:[ask_D_BA]])</f>
        <v>#DIV/0!</v>
      </c>
    </row>
    <row r="156" spans="1:20" hidden="1" x14ac:dyDescent="0.35">
      <c r="A156" t="s">
        <v>623</v>
      </c>
      <c r="B156" t="s">
        <v>203</v>
      </c>
      <c r="J156" s="5">
        <f>df_mep[[#This Row],[volume_BA]]*df_mep[[#This Row],[open_BA]]</f>
        <v>0</v>
      </c>
      <c r="L156" s="5">
        <f>df_mep[[#This Row],[volume_D_BA]]*df_mep[[#This Row],[open_D_BA]]</f>
        <v>0</v>
      </c>
      <c r="P156" s="37">
        <f>MIN(1-df_mep[[#This Row],[MEP_compra_ARS]]/MEDIAN(N:N),100%)</f>
        <v>1</v>
      </c>
      <c r="Q156" s="38">
        <f>df_mep[[#This Row],[MEP_compra_USD]]/MEDIAN(O:O)-1</f>
        <v>-1</v>
      </c>
      <c r="R15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6" s="38" t="e">
        <f>ABS(df_mep[[#This Row],[bid_BA]]-df_mep[[#This Row],[ask_BA]])/AVERAGE(df_mep[[#This Row],[bid_BA]:[ask_BA]])</f>
        <v>#DIV/0!</v>
      </c>
      <c r="T156" s="36" t="e">
        <f>ABS(df_mep[[#This Row],[bid_D_BA]]-df_mep[[#This Row],[ask_D_BA]])/AVERAGE(df_mep[[#This Row],[bid_D_BA]:[ask_D_BA]])</f>
        <v>#DIV/0!</v>
      </c>
    </row>
    <row r="157" spans="1:20" hidden="1" x14ac:dyDescent="0.35">
      <c r="A157" t="s">
        <v>66</v>
      </c>
      <c r="B157" t="s">
        <v>361</v>
      </c>
      <c r="C157" s="4">
        <v>2540</v>
      </c>
      <c r="D157" s="4">
        <v>2500</v>
      </c>
      <c r="E157" s="4">
        <v>2530</v>
      </c>
      <c r="F157" s="34">
        <v>2540</v>
      </c>
      <c r="G157" s="34">
        <v>2500</v>
      </c>
      <c r="H157" s="34">
        <v>2530</v>
      </c>
      <c r="I157" s="5">
        <v>18516</v>
      </c>
      <c r="J157" s="5">
        <f>df_mep[[#This Row],[volume_BA]]*df_mep[[#This Row],[open_BA]]</f>
        <v>47030640</v>
      </c>
      <c r="K157" s="5">
        <v>18516</v>
      </c>
      <c r="L157" s="5">
        <f>df_mep[[#This Row],[volume_D_BA]]*df_mep[[#This Row],[open_D_BA]]</f>
        <v>47030640</v>
      </c>
      <c r="M157" s="3">
        <v>1</v>
      </c>
      <c r="N157" s="3">
        <v>1.012</v>
      </c>
      <c r="O157" s="3">
        <v>0.98814229249011853</v>
      </c>
      <c r="P157" s="37">
        <f>MIN(1-df_mep[[#This Row],[MEP_compra_ARS]]/MEDIAN(N:N),100%)</f>
        <v>0.99888512331290391</v>
      </c>
      <c r="Q157" s="38">
        <f>df_mep[[#This Row],[MEP_compra_USD]]/MEDIAN(O:O)-1</f>
        <v>-0.99872838718735069</v>
      </c>
      <c r="R15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7" s="38">
        <f>ABS(df_mep[[#This Row],[bid_BA]]-df_mep[[#This Row],[ask_BA]])/AVERAGE(df_mep[[#This Row],[bid_BA]:[ask_BA]])</f>
        <v>1.1928429423459244E-2</v>
      </c>
      <c r="T157" s="36">
        <f>ABS(df_mep[[#This Row],[bid_D_BA]]-df_mep[[#This Row],[ask_D_BA]])/AVERAGE(df_mep[[#This Row],[bid_D_BA]:[ask_D_BA]])</f>
        <v>1.1928429423459244E-2</v>
      </c>
    </row>
    <row r="158" spans="1:20" hidden="1" x14ac:dyDescent="0.35">
      <c r="A158" t="s">
        <v>195</v>
      </c>
      <c r="B158" t="s">
        <v>529</v>
      </c>
      <c r="C158" s="4">
        <v>16030</v>
      </c>
      <c r="D158" s="4">
        <v>15000</v>
      </c>
      <c r="E158" s="4">
        <v>16272</v>
      </c>
      <c r="F158" s="34">
        <v>16030</v>
      </c>
      <c r="G158" s="34">
        <v>15000</v>
      </c>
      <c r="H158" s="34">
        <v>16272</v>
      </c>
      <c r="I158" s="5">
        <v>221</v>
      </c>
      <c r="J158" s="5">
        <f>df_mep[[#This Row],[volume_BA]]*df_mep[[#This Row],[open_BA]]</f>
        <v>3542630</v>
      </c>
      <c r="K158" s="5">
        <v>221</v>
      </c>
      <c r="L158" s="5">
        <f>df_mep[[#This Row],[volume_D_BA]]*df_mep[[#This Row],[open_D_BA]]</f>
        <v>3542630</v>
      </c>
      <c r="M158" s="3">
        <v>1</v>
      </c>
      <c r="N158" s="3">
        <v>1.0848</v>
      </c>
      <c r="O158" s="3">
        <v>0.92182890855457222</v>
      </c>
      <c r="P158" s="37">
        <f>MIN(1-df_mep[[#This Row],[MEP_compra_ARS]]/MEDIAN(N:N),100%)</f>
        <v>0.99880492269746857</v>
      </c>
      <c r="Q158" s="38">
        <f>df_mep[[#This Row],[MEP_compra_USD]]/MEDIAN(O:O)-1</f>
        <v>-0.99881372403539725</v>
      </c>
      <c r="R15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8" s="38">
        <f>ABS(df_mep[[#This Row],[bid_BA]]-df_mep[[#This Row],[ask_BA]])/AVERAGE(df_mep[[#This Row],[bid_BA]:[ask_BA]])</f>
        <v>8.1350729086722945E-2</v>
      </c>
      <c r="T158" s="36">
        <f>ABS(df_mep[[#This Row],[bid_D_BA]]-df_mep[[#This Row],[ask_D_BA]])/AVERAGE(df_mep[[#This Row],[bid_D_BA]:[ask_D_BA]])</f>
        <v>8.1350729086722945E-2</v>
      </c>
    </row>
    <row r="159" spans="1:20" hidden="1" x14ac:dyDescent="0.35">
      <c r="A159" t="s">
        <v>240</v>
      </c>
      <c r="B159" t="s">
        <v>409</v>
      </c>
      <c r="C159" s="4">
        <v>15900</v>
      </c>
      <c r="D159" s="4">
        <v>14500</v>
      </c>
      <c r="E159" s="4">
        <v>15950</v>
      </c>
      <c r="F159" s="34">
        <v>0</v>
      </c>
      <c r="G159" s="34">
        <v>38.799999999999997</v>
      </c>
      <c r="H159" s="34">
        <v>39.200000000000003</v>
      </c>
      <c r="I159" s="5">
        <v>4</v>
      </c>
      <c r="J159" s="5">
        <f>df_mep[[#This Row],[volume_BA]]*df_mep[[#This Row],[open_BA]]</f>
        <v>63600</v>
      </c>
      <c r="K159" s="5">
        <v>0</v>
      </c>
      <c r="L159" s="5">
        <f>df_mep[[#This Row],[volume_D_BA]]*df_mep[[#This Row],[open_D_BA]]</f>
        <v>0</v>
      </c>
      <c r="N159" s="3">
        <v>411.08247422680415</v>
      </c>
      <c r="O159" s="3">
        <v>369.89795918367344</v>
      </c>
      <c r="P159" s="37">
        <f>MIN(1-df_mep[[#This Row],[MEP_compra_ARS]]/MEDIAN(N:N),100%)</f>
        <v>0.54712819467466334</v>
      </c>
      <c r="Q159" s="38">
        <f>df_mep[[#This Row],[MEP_compra_USD]]/MEDIAN(O:O)-1</f>
        <v>-0.52398861191796398</v>
      </c>
      <c r="R15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9" s="38">
        <f>ABS(df_mep[[#This Row],[bid_BA]]-df_mep[[#This Row],[ask_BA]])/AVERAGE(df_mep[[#This Row],[bid_BA]:[ask_BA]])</f>
        <v>9.5238095238095233E-2</v>
      </c>
      <c r="T159" s="36">
        <f>ABS(df_mep[[#This Row],[bid_D_BA]]-df_mep[[#This Row],[ask_D_BA]])/AVERAGE(df_mep[[#This Row],[bid_D_BA]:[ask_D_BA]])</f>
        <v>1.0256410256410402E-2</v>
      </c>
    </row>
    <row r="160" spans="1:20" x14ac:dyDescent="0.35">
      <c r="A160" t="s">
        <v>138</v>
      </c>
      <c r="B160" t="s">
        <v>509</v>
      </c>
      <c r="C160" s="4">
        <v>15100</v>
      </c>
      <c r="D160" s="4">
        <v>14950.5</v>
      </c>
      <c r="E160" s="4">
        <v>14484.5</v>
      </c>
      <c r="F160" s="34">
        <v>19</v>
      </c>
      <c r="G160" s="34">
        <v>18.5</v>
      </c>
      <c r="H160" s="34">
        <v>19.399999999999999</v>
      </c>
      <c r="I160" s="5">
        <v>13853</v>
      </c>
      <c r="J160" s="5">
        <f>df_mep[[#This Row],[volume_BA]]*df_mep[[#This Row],[open_BA]]</f>
        <v>209180300</v>
      </c>
      <c r="K160" s="5">
        <v>369</v>
      </c>
      <c r="L160" s="5">
        <f>df_mep[[#This Row],[volume_D_BA]]*df_mep[[#This Row],[open_D_BA]]</f>
        <v>7011</v>
      </c>
      <c r="M160" s="3">
        <v>794.73684210526312</v>
      </c>
      <c r="N160" s="3">
        <v>782.94594594594594</v>
      </c>
      <c r="O160" s="3">
        <v>770.64432989690727</v>
      </c>
      <c r="P160" s="37">
        <f>MIN(1-df_mep[[#This Row],[MEP_compra_ARS]]/MEDIAN(N:N),100%)</f>
        <v>0.13746227036410508</v>
      </c>
      <c r="Q160" s="38">
        <f>df_mep[[#This Row],[MEP_compra_USD]]/MEDIAN(O:O)-1</f>
        <v>-8.2792616608502456E-3</v>
      </c>
      <c r="R160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60" s="38">
        <f>ABS(df_mep[[#This Row],[bid_BA]]-df_mep[[#This Row],[ask_BA]])/AVERAGE(df_mep[[#This Row],[bid_BA]:[ask_BA]])</f>
        <v>3.166298624086971E-2</v>
      </c>
      <c r="T160" s="36">
        <f>ABS(df_mep[[#This Row],[bid_D_BA]]-df_mep[[#This Row],[ask_D_BA]])/AVERAGE(df_mep[[#This Row],[bid_D_BA]:[ask_D_BA]])</f>
        <v>4.7493403693931326E-2</v>
      </c>
    </row>
    <row r="161" spans="1:20" hidden="1" x14ac:dyDescent="0.35">
      <c r="A161" t="s">
        <v>205</v>
      </c>
      <c r="B161" t="s">
        <v>337</v>
      </c>
      <c r="C161" s="4">
        <v>10635.5</v>
      </c>
      <c r="D161" s="4">
        <v>9975.5</v>
      </c>
      <c r="E161" s="4">
        <v>10499</v>
      </c>
      <c r="F161" s="34">
        <v>0</v>
      </c>
      <c r="G161" s="34">
        <v>13</v>
      </c>
      <c r="H161" s="34">
        <v>0</v>
      </c>
      <c r="I161" s="5">
        <v>35</v>
      </c>
      <c r="J161" s="5">
        <f>df_mep[[#This Row],[volume_BA]]*df_mep[[#This Row],[open_BA]]</f>
        <v>372242.5</v>
      </c>
      <c r="K161" s="5">
        <v>0</v>
      </c>
      <c r="L161" s="5">
        <f>df_mep[[#This Row],[volume_D_BA]]*df_mep[[#This Row],[open_D_BA]]</f>
        <v>0</v>
      </c>
      <c r="N161" s="3">
        <v>807.61538461538464</v>
      </c>
      <c r="P161" s="37">
        <f>MIN(1-df_mep[[#This Row],[MEP_compra_ARS]]/MEDIAN(N:N),100%)</f>
        <v>0.11028501536775748</v>
      </c>
      <c r="Q161" s="38">
        <f>df_mep[[#This Row],[MEP_compra_USD]]/MEDIAN(O:O)-1</f>
        <v>-1</v>
      </c>
      <c r="R16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1" s="38">
        <f>ABS(df_mep[[#This Row],[bid_BA]]-df_mep[[#This Row],[ask_BA]])/AVERAGE(df_mep[[#This Row],[bid_BA]:[ask_BA]])</f>
        <v>5.1136779896944977E-2</v>
      </c>
      <c r="T161" s="36">
        <f>ABS(df_mep[[#This Row],[bid_D_BA]]-df_mep[[#This Row],[ask_D_BA]])/AVERAGE(df_mep[[#This Row],[bid_D_BA]:[ask_D_BA]])</f>
        <v>2</v>
      </c>
    </row>
    <row r="162" spans="1:20" x14ac:dyDescent="0.35">
      <c r="A162" t="s">
        <v>25</v>
      </c>
      <c r="B162" t="s">
        <v>466</v>
      </c>
      <c r="C162" s="4">
        <v>10000</v>
      </c>
      <c r="D162" s="4">
        <v>10001</v>
      </c>
      <c r="E162" s="4">
        <v>10075.5</v>
      </c>
      <c r="F162" s="34">
        <v>13</v>
      </c>
      <c r="G162" s="34">
        <v>12.3</v>
      </c>
      <c r="H162" s="34">
        <v>12.8</v>
      </c>
      <c r="I162" s="5">
        <v>12924</v>
      </c>
      <c r="J162" s="5">
        <f>df_mep[[#This Row],[volume_BA]]*df_mep[[#This Row],[open_BA]]</f>
        <v>129240000</v>
      </c>
      <c r="K162" s="5">
        <v>557</v>
      </c>
      <c r="L162" s="5">
        <f>df_mep[[#This Row],[volume_D_BA]]*df_mep[[#This Row],[open_D_BA]]</f>
        <v>7241</v>
      </c>
      <c r="M162" s="3">
        <v>769.23076923076928</v>
      </c>
      <c r="N162" s="3">
        <v>819.14634146341461</v>
      </c>
      <c r="O162" s="3">
        <v>781.328125</v>
      </c>
      <c r="P162" s="37">
        <f>MIN(1-df_mep[[#This Row],[MEP_compra_ARS]]/MEDIAN(N:N),100%)</f>
        <v>9.7581858282995038E-2</v>
      </c>
      <c r="Q162" s="38">
        <f>df_mep[[#This Row],[MEP_compra_USD]]/MEDIAN(O:O)-1</f>
        <v>5.4694168888520522E-3</v>
      </c>
      <c r="R16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62" s="38">
        <f>ABS(df_mep[[#This Row],[bid_BA]]-df_mep[[#This Row],[ask_BA]])/AVERAGE(df_mep[[#This Row],[bid_BA]:[ask_BA]])</f>
        <v>7.4216123328269372E-3</v>
      </c>
      <c r="T162" s="36">
        <f>ABS(df_mep[[#This Row],[bid_D_BA]]-df_mep[[#This Row],[ask_D_BA]])/AVERAGE(df_mep[[#This Row],[bid_D_BA]:[ask_D_BA]])</f>
        <v>3.9840637450199202E-2</v>
      </c>
    </row>
    <row r="163" spans="1:20" x14ac:dyDescent="0.35">
      <c r="A163" t="s">
        <v>16</v>
      </c>
      <c r="B163" t="s">
        <v>498</v>
      </c>
      <c r="C163" s="4">
        <v>16700</v>
      </c>
      <c r="D163" s="4">
        <v>16531</v>
      </c>
      <c r="E163" s="4">
        <v>16529.5</v>
      </c>
      <c r="F163" s="34">
        <v>19.600000000000001</v>
      </c>
      <c r="G163" s="34">
        <v>20</v>
      </c>
      <c r="H163" s="34">
        <v>20.2</v>
      </c>
      <c r="I163" s="5">
        <v>28486</v>
      </c>
      <c r="J163" s="5">
        <f>df_mep[[#This Row],[volume_BA]]*df_mep[[#This Row],[open_BA]]</f>
        <v>475716200</v>
      </c>
      <c r="K163" s="5">
        <v>979</v>
      </c>
      <c r="L163" s="5">
        <f>df_mep[[#This Row],[volume_D_BA]]*df_mep[[#This Row],[open_D_BA]]</f>
        <v>19188.400000000001</v>
      </c>
      <c r="M163" s="3">
        <v>852.0408163265306</v>
      </c>
      <c r="N163" s="3">
        <v>826.47500000000002</v>
      </c>
      <c r="O163" s="3">
        <v>818.36633663366342</v>
      </c>
      <c r="P163" s="37">
        <f>MIN(1-df_mep[[#This Row],[MEP_compra_ARS]]/MEDIAN(N:N),100%)</f>
        <v>8.9508191731486386E-2</v>
      </c>
      <c r="Q163" s="38">
        <f>df_mep[[#This Row],[MEP_compra_USD]]/MEDIAN(O:O)-1</f>
        <v>5.3132860533486648E-2</v>
      </c>
      <c r="R163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63" s="38">
        <f>ABS(df_mep[[#This Row],[bid_BA]]-df_mep[[#This Row],[ask_BA]])/AVERAGE(df_mep[[#This Row],[bid_BA]:[ask_BA]])</f>
        <v>9.0742729238819741E-5</v>
      </c>
      <c r="T163" s="36">
        <f>ABS(df_mep[[#This Row],[bid_D_BA]]-df_mep[[#This Row],[ask_D_BA]])/AVERAGE(df_mep[[#This Row],[bid_D_BA]:[ask_D_BA]])</f>
        <v>9.9502487562188689E-3</v>
      </c>
    </row>
    <row r="164" spans="1:20" x14ac:dyDescent="0.35">
      <c r="A164" t="s">
        <v>18</v>
      </c>
      <c r="B164" t="s">
        <v>556</v>
      </c>
      <c r="C164" s="4">
        <v>16000</v>
      </c>
      <c r="D164" s="4">
        <v>15400</v>
      </c>
      <c r="E164" s="4">
        <v>15390.5</v>
      </c>
      <c r="F164" s="34">
        <v>18.850000000000001</v>
      </c>
      <c r="G164" s="34">
        <v>18.5</v>
      </c>
      <c r="H164" s="34">
        <v>18.95</v>
      </c>
      <c r="I164" s="5">
        <v>41340</v>
      </c>
      <c r="J164" s="5">
        <f>df_mep[[#This Row],[volume_BA]]*df_mep[[#This Row],[open_BA]]</f>
        <v>661440000</v>
      </c>
      <c r="K164" s="5">
        <v>506</v>
      </c>
      <c r="L164" s="5">
        <f>df_mep[[#This Row],[volume_D_BA]]*df_mep[[#This Row],[open_D_BA]]</f>
        <v>9538.1</v>
      </c>
      <c r="M164" s="3">
        <v>848.80636604774531</v>
      </c>
      <c r="N164" s="3">
        <v>831.91891891891896</v>
      </c>
      <c r="O164" s="3">
        <v>812.66490765171511</v>
      </c>
      <c r="P164" s="37">
        <f>MIN(1-df_mep[[#This Row],[MEP_compra_ARS]]/MEDIAN(N:N),100%)</f>
        <v>8.3510861406245196E-2</v>
      </c>
      <c r="Q164" s="38">
        <f>df_mep[[#This Row],[MEP_compra_USD]]/MEDIAN(O:O)-1</f>
        <v>4.5795850267904781E-2</v>
      </c>
      <c r="R16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64" s="38">
        <f>ABS(df_mep[[#This Row],[bid_BA]]-df_mep[[#This Row],[ask_BA]])/AVERAGE(df_mep[[#This Row],[bid_BA]:[ask_BA]])</f>
        <v>6.1707344797908448E-4</v>
      </c>
      <c r="T164" s="36">
        <f>ABS(df_mep[[#This Row],[bid_D_BA]]-df_mep[[#This Row],[ask_D_BA]])/AVERAGE(df_mep[[#This Row],[bid_D_BA]:[ask_D_BA]])</f>
        <v>2.4032042723631467E-2</v>
      </c>
    </row>
    <row r="165" spans="1:20" hidden="1" x14ac:dyDescent="0.35">
      <c r="A165" t="s">
        <v>130</v>
      </c>
      <c r="B165" t="s">
        <v>465</v>
      </c>
      <c r="C165" s="4">
        <v>11033</v>
      </c>
      <c r="D165" s="4">
        <v>10865.5</v>
      </c>
      <c r="E165" s="4">
        <v>11250</v>
      </c>
      <c r="F165" s="34">
        <v>14.15</v>
      </c>
      <c r="G165" s="34">
        <v>13.5</v>
      </c>
      <c r="H165" s="34">
        <v>14</v>
      </c>
      <c r="I165" s="5">
        <v>300</v>
      </c>
      <c r="J165" s="5">
        <f>df_mep[[#This Row],[volume_BA]]*df_mep[[#This Row],[open_BA]]</f>
        <v>3309900</v>
      </c>
      <c r="K165" s="5">
        <v>5</v>
      </c>
      <c r="L165" s="5">
        <f>df_mep[[#This Row],[volume_D_BA]]*df_mep[[#This Row],[open_D_BA]]</f>
        <v>70.75</v>
      </c>
      <c r="M165" s="3">
        <v>779.71731448763251</v>
      </c>
      <c r="N165" s="3">
        <v>833.33333333333337</v>
      </c>
      <c r="O165" s="3">
        <v>776.10714285714289</v>
      </c>
      <c r="P165" s="37">
        <f>MIN(1-df_mep[[#This Row],[MEP_compra_ARS]]/MEDIAN(N:N),100%)</f>
        <v>8.1952662140906019E-2</v>
      </c>
      <c r="Q165" s="38">
        <f>df_mep[[#This Row],[MEP_compra_USD]]/MEDIAN(O:O)-1</f>
        <v>-1.2493197120678756E-3</v>
      </c>
      <c r="R16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5" s="38">
        <f>ABS(df_mep[[#This Row],[bid_BA]]-df_mep[[#This Row],[ask_BA]])/AVERAGE(df_mep[[#This Row],[bid_BA]:[ask_BA]])</f>
        <v>3.4771992493952207E-2</v>
      </c>
      <c r="T165" s="36">
        <f>ABS(df_mep[[#This Row],[bid_D_BA]]-df_mep[[#This Row],[ask_D_BA]])/AVERAGE(df_mep[[#This Row],[bid_D_BA]:[ask_D_BA]])</f>
        <v>3.6363636363636362E-2</v>
      </c>
    </row>
    <row r="166" spans="1:20" hidden="1" x14ac:dyDescent="0.35">
      <c r="A166" t="s">
        <v>135</v>
      </c>
      <c r="B166" t="s">
        <v>136</v>
      </c>
      <c r="C166" s="4">
        <v>4150</v>
      </c>
      <c r="D166" s="4">
        <v>4070</v>
      </c>
      <c r="E166" s="4">
        <v>4170</v>
      </c>
      <c r="F166" s="34">
        <v>4.9000000000000004</v>
      </c>
      <c r="G166" s="34">
        <v>5</v>
      </c>
      <c r="H166" s="34">
        <v>5.3</v>
      </c>
      <c r="I166" s="5">
        <v>2650</v>
      </c>
      <c r="J166" s="5">
        <f>df_mep[[#This Row],[volume_BA]]*df_mep[[#This Row],[open_BA]]</f>
        <v>10997500</v>
      </c>
      <c r="K166" s="5">
        <v>5</v>
      </c>
      <c r="L166" s="5">
        <f>df_mep[[#This Row],[volume_D_BA]]*df_mep[[#This Row],[open_D_BA]]</f>
        <v>24.5</v>
      </c>
      <c r="M166" s="3">
        <v>846.93877551020398</v>
      </c>
      <c r="N166" s="3">
        <v>834</v>
      </c>
      <c r="O166" s="3">
        <v>767.92452830188677</v>
      </c>
      <c r="P166" s="37">
        <f>MIN(1-df_mep[[#This Row],[MEP_compra_ARS]]/MEDIAN(N:N),100%)</f>
        <v>8.1218224270618755E-2</v>
      </c>
      <c r="Q166" s="38">
        <f>df_mep[[#This Row],[MEP_compra_USD]]/MEDIAN(O:O)-1</f>
        <v>-1.177929863161542E-2</v>
      </c>
      <c r="R16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6" s="38">
        <f>ABS(df_mep[[#This Row],[bid_BA]]-df_mep[[#This Row],[ask_BA]])/AVERAGE(df_mep[[#This Row],[bid_BA]:[ask_BA]])</f>
        <v>2.4271844660194174E-2</v>
      </c>
      <c r="T166" s="36">
        <f>ABS(df_mep[[#This Row],[bid_D_BA]]-df_mep[[#This Row],[ask_D_BA]])/AVERAGE(df_mep[[#This Row],[bid_D_BA]:[ask_D_BA]])</f>
        <v>5.825242718446598E-2</v>
      </c>
    </row>
    <row r="167" spans="1:20" x14ac:dyDescent="0.35">
      <c r="A167" t="s">
        <v>19</v>
      </c>
      <c r="B167" t="s">
        <v>572</v>
      </c>
      <c r="C167" s="4">
        <v>26520</v>
      </c>
      <c r="D167" s="4">
        <v>25990</v>
      </c>
      <c r="E167" s="4">
        <v>26000</v>
      </c>
      <c r="F167" s="34">
        <v>30.45</v>
      </c>
      <c r="G167" s="34">
        <v>30.95</v>
      </c>
      <c r="H167" s="34">
        <v>31</v>
      </c>
      <c r="I167" s="5">
        <v>34813</v>
      </c>
      <c r="J167" s="5">
        <f>df_mep[[#This Row],[volume_BA]]*df_mep[[#This Row],[open_BA]]</f>
        <v>923240760</v>
      </c>
      <c r="K167" s="5">
        <v>2211</v>
      </c>
      <c r="L167" s="5">
        <f>df_mep[[#This Row],[volume_D_BA]]*df_mep[[#This Row],[open_D_BA]]</f>
        <v>67324.95</v>
      </c>
      <c r="M167" s="3">
        <v>870.93596059113304</v>
      </c>
      <c r="N167" s="3">
        <v>840.06462035541199</v>
      </c>
      <c r="O167" s="3">
        <v>838.38709677419354</v>
      </c>
      <c r="P167" s="37">
        <f>MIN(1-df_mep[[#This Row],[MEP_compra_ARS]]/MEDIAN(N:N),100%)</f>
        <v>7.4537093983724323E-2</v>
      </c>
      <c r="Q167" s="38">
        <f>df_mep[[#This Row],[MEP_compra_USD]]/MEDIAN(O:O)-1</f>
        <v>7.8897019508527233E-2</v>
      </c>
      <c r="R167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67" s="38">
        <f>ABS(df_mep[[#This Row],[bid_BA]]-df_mep[[#This Row],[ask_BA]])/AVERAGE(df_mep[[#This Row],[bid_BA]:[ask_BA]])</f>
        <v>3.8468936333910367E-4</v>
      </c>
      <c r="T167" s="36">
        <f>ABS(df_mep[[#This Row],[bid_D_BA]]-df_mep[[#This Row],[ask_D_BA]])/AVERAGE(df_mep[[#This Row],[bid_D_BA]:[ask_D_BA]])</f>
        <v>1.6142050040355354E-3</v>
      </c>
    </row>
    <row r="168" spans="1:20" hidden="1" x14ac:dyDescent="0.35">
      <c r="A168" t="s">
        <v>71</v>
      </c>
      <c r="B168" t="s">
        <v>510</v>
      </c>
      <c r="C168" s="4">
        <v>27300</v>
      </c>
      <c r="D168" s="4">
        <v>25533</v>
      </c>
      <c r="E168" s="4">
        <v>25793</v>
      </c>
      <c r="F168" s="34">
        <v>30.6</v>
      </c>
      <c r="G168" s="34">
        <v>30.5</v>
      </c>
      <c r="H168" s="34">
        <v>33.9</v>
      </c>
      <c r="I168" s="5">
        <v>4955</v>
      </c>
      <c r="J168" s="5">
        <f>df_mep[[#This Row],[volume_BA]]*df_mep[[#This Row],[open_BA]]</f>
        <v>135271500</v>
      </c>
      <c r="K168" s="5">
        <v>5</v>
      </c>
      <c r="L168" s="5">
        <f>df_mep[[#This Row],[volume_D_BA]]*df_mep[[#This Row],[open_D_BA]]</f>
        <v>153</v>
      </c>
      <c r="M168" s="3">
        <v>892.15686274509801</v>
      </c>
      <c r="N168" s="3">
        <v>845.67213114754099</v>
      </c>
      <c r="O168" s="3">
        <v>753.18584070796464</v>
      </c>
      <c r="P168" s="37">
        <f>MIN(1-df_mep[[#This Row],[MEP_compra_ARS]]/MEDIAN(N:N),100%)</f>
        <v>6.8359541558048131E-2</v>
      </c>
      <c r="Q168" s="38">
        <f>df_mep[[#This Row],[MEP_compra_USD]]/MEDIAN(O:O)-1</f>
        <v>-3.0746105465514928E-2</v>
      </c>
      <c r="R16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8" s="38">
        <f>ABS(df_mep[[#This Row],[bid_BA]]-df_mep[[#This Row],[ask_BA]])/AVERAGE(df_mep[[#This Row],[bid_BA]:[ask_BA]])</f>
        <v>1.0131317460935978E-2</v>
      </c>
      <c r="T168" s="36">
        <f>ABS(df_mep[[#This Row],[bid_D_BA]]-df_mep[[#This Row],[ask_D_BA]])/AVERAGE(df_mep[[#This Row],[bid_D_BA]:[ask_D_BA]])</f>
        <v>0.10559006211180119</v>
      </c>
    </row>
    <row r="169" spans="1:20" hidden="1" x14ac:dyDescent="0.35">
      <c r="A169" t="s">
        <v>260</v>
      </c>
      <c r="B169" t="s">
        <v>457</v>
      </c>
      <c r="C169" s="4">
        <v>18500</v>
      </c>
      <c r="D169" s="4">
        <v>16700</v>
      </c>
      <c r="E169" s="4">
        <v>18400</v>
      </c>
      <c r="F169" s="34">
        <v>0</v>
      </c>
      <c r="G169" s="34">
        <v>21.75</v>
      </c>
      <c r="H169" s="34">
        <v>26.8</v>
      </c>
      <c r="I169" s="5">
        <v>128</v>
      </c>
      <c r="J169" s="5">
        <f>df_mep[[#This Row],[volume_BA]]*df_mep[[#This Row],[open_BA]]</f>
        <v>2368000</v>
      </c>
      <c r="K169" s="5">
        <v>0</v>
      </c>
      <c r="L169" s="5">
        <f>df_mep[[#This Row],[volume_D_BA]]*df_mep[[#This Row],[open_D_BA]]</f>
        <v>0</v>
      </c>
      <c r="N169" s="3">
        <v>845.97701149425291</v>
      </c>
      <c r="O169" s="3">
        <v>623.1343283582089</v>
      </c>
      <c r="P169" s="37">
        <f>MIN(1-df_mep[[#This Row],[MEP_compra_ARS]]/MEDIAN(N:N),100%)</f>
        <v>6.8023668049250752E-2</v>
      </c>
      <c r="Q169" s="38">
        <f>df_mep[[#This Row],[MEP_compra_USD]]/MEDIAN(O:O)-1</f>
        <v>-0.19810577690678322</v>
      </c>
      <c r="R16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9" s="38">
        <f>ABS(df_mep[[#This Row],[bid_BA]]-df_mep[[#This Row],[ask_BA]])/AVERAGE(df_mep[[#This Row],[bid_BA]:[ask_BA]])</f>
        <v>9.686609686609686E-2</v>
      </c>
      <c r="T169" s="36">
        <f>ABS(df_mep[[#This Row],[bid_D_BA]]-df_mep[[#This Row],[ask_D_BA]])/AVERAGE(df_mep[[#This Row],[bid_D_BA]:[ask_D_BA]])</f>
        <v>0.208032955715757</v>
      </c>
    </row>
    <row r="170" spans="1:20" hidden="1" x14ac:dyDescent="0.35">
      <c r="A170" t="s">
        <v>214</v>
      </c>
      <c r="B170" t="s">
        <v>203</v>
      </c>
      <c r="C170" s="4">
        <v>10000</v>
      </c>
      <c r="D170" s="4">
        <v>6710</v>
      </c>
      <c r="E170" s="4">
        <v>10000</v>
      </c>
      <c r="F170" s="34">
        <v>11.8</v>
      </c>
      <c r="G170" s="34">
        <v>11.8</v>
      </c>
      <c r="H170" s="34">
        <v>11.3</v>
      </c>
      <c r="I170" s="5">
        <v>174</v>
      </c>
      <c r="J170" s="5">
        <f>df_mep[[#This Row],[volume_BA]]*df_mep[[#This Row],[open_BA]]</f>
        <v>1740000</v>
      </c>
      <c r="K170" s="5">
        <v>10</v>
      </c>
      <c r="L170" s="5">
        <f>df_mep[[#This Row],[volume_D_BA]]*df_mep[[#This Row],[open_D_BA]]</f>
        <v>118</v>
      </c>
      <c r="M170" s="3">
        <v>847.45762711864404</v>
      </c>
      <c r="N170" s="3">
        <v>847.45762711864404</v>
      </c>
      <c r="O170" s="3">
        <v>593.80530973451323</v>
      </c>
      <c r="P170" s="37">
        <f>MIN(1-df_mep[[#This Row],[MEP_compra_ARS]]/MEDIAN(N:N),100%)</f>
        <v>6.6392537770412985E-2</v>
      </c>
      <c r="Q170" s="38">
        <f>df_mep[[#This Row],[MEP_compra_USD]]/MEDIAN(O:O)-1</f>
        <v>-0.2358484746414764</v>
      </c>
      <c r="R17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0" s="38">
        <f>ABS(df_mep[[#This Row],[bid_BA]]-df_mep[[#This Row],[ask_BA]])/AVERAGE(df_mep[[#This Row],[bid_BA]:[ask_BA]])</f>
        <v>0.39377618192698982</v>
      </c>
      <c r="T170" s="36">
        <f>ABS(df_mep[[#This Row],[bid_D_BA]]-df_mep[[#This Row],[ask_D_BA]])/AVERAGE(df_mep[[#This Row],[bid_D_BA]:[ask_D_BA]])</f>
        <v>4.3290043290043288E-2</v>
      </c>
    </row>
    <row r="171" spans="1:20" hidden="1" x14ac:dyDescent="0.35">
      <c r="A171" t="s">
        <v>105</v>
      </c>
      <c r="B171" t="s">
        <v>106</v>
      </c>
      <c r="C171" s="4">
        <v>4500</v>
      </c>
      <c r="D171" s="4">
        <v>4455</v>
      </c>
      <c r="E171" s="4">
        <v>4490</v>
      </c>
      <c r="F171" s="34">
        <v>5.13</v>
      </c>
      <c r="G171" s="34">
        <v>5.29</v>
      </c>
      <c r="H171" s="34">
        <v>6.9</v>
      </c>
      <c r="I171" s="5">
        <v>7639</v>
      </c>
      <c r="J171" s="5">
        <f>df_mep[[#This Row],[volume_BA]]*df_mep[[#This Row],[open_BA]]</f>
        <v>34375500</v>
      </c>
      <c r="K171" s="5">
        <v>1</v>
      </c>
      <c r="L171" s="5">
        <f>df_mep[[#This Row],[volume_D_BA]]*df_mep[[#This Row],[open_D_BA]]</f>
        <v>5.13</v>
      </c>
      <c r="M171" s="3">
        <v>877.19298245614038</v>
      </c>
      <c r="N171" s="3">
        <v>848.77126654064273</v>
      </c>
      <c r="O171" s="3">
        <v>645.6521739130435</v>
      </c>
      <c r="P171" s="37">
        <f>MIN(1-df_mep[[#This Row],[MEP_compra_ARS]]/MEDIAN(N:N),100%)</f>
        <v>6.4945357961285755E-2</v>
      </c>
      <c r="Q171" s="38">
        <f>df_mep[[#This Row],[MEP_compra_USD]]/MEDIAN(O:O)-1</f>
        <v>-0.16912818821494813</v>
      </c>
      <c r="R17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1" s="38">
        <f>ABS(df_mep[[#This Row],[bid_BA]]-df_mep[[#This Row],[ask_BA]])/AVERAGE(df_mep[[#This Row],[bid_BA]:[ask_BA]])</f>
        <v>7.8256008943543877E-3</v>
      </c>
      <c r="T171" s="36">
        <f>ABS(df_mep[[#This Row],[bid_D_BA]]-df_mep[[#This Row],[ask_D_BA]])/AVERAGE(df_mep[[#This Row],[bid_D_BA]:[ask_D_BA]])</f>
        <v>0.26415094339622647</v>
      </c>
    </row>
    <row r="172" spans="1:20" x14ac:dyDescent="0.35">
      <c r="A172" t="s">
        <v>9</v>
      </c>
      <c r="B172" t="s">
        <v>331</v>
      </c>
      <c r="C172" s="4">
        <v>15957</v>
      </c>
      <c r="D172" s="4">
        <v>15525</v>
      </c>
      <c r="E172" s="4">
        <v>15620</v>
      </c>
      <c r="F172" s="34">
        <v>18.5</v>
      </c>
      <c r="G172" s="34">
        <v>18.399999999999999</v>
      </c>
      <c r="H172" s="34">
        <v>18.45</v>
      </c>
      <c r="I172" s="5">
        <v>113499</v>
      </c>
      <c r="J172" s="5">
        <f>df_mep[[#This Row],[volume_BA]]*df_mep[[#This Row],[open_BA]]</f>
        <v>1811103543</v>
      </c>
      <c r="K172" s="5">
        <v>9211</v>
      </c>
      <c r="L172" s="5">
        <f>df_mep[[#This Row],[volume_D_BA]]*df_mep[[#This Row],[open_D_BA]]</f>
        <v>170403.5</v>
      </c>
      <c r="M172" s="3">
        <v>862.54054054054052</v>
      </c>
      <c r="N172" s="3">
        <v>848.91304347826099</v>
      </c>
      <c r="O172" s="3">
        <v>841.46341463414637</v>
      </c>
      <c r="P172" s="37">
        <f>MIN(1-df_mep[[#This Row],[MEP_compra_ARS]]/MEDIAN(N:N),100%)</f>
        <v>6.4789168433105448E-2</v>
      </c>
      <c r="Q172" s="38">
        <f>df_mep[[#This Row],[MEP_compra_USD]]/MEDIAN(O:O)-1</f>
        <v>8.2855847337502952E-2</v>
      </c>
      <c r="R17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72" s="38">
        <f>ABS(df_mep[[#This Row],[bid_BA]]-df_mep[[#This Row],[ask_BA]])/AVERAGE(df_mep[[#This Row],[bid_BA]:[ask_BA]])</f>
        <v>6.1004976721785202E-3</v>
      </c>
      <c r="T172" s="36">
        <f>ABS(df_mep[[#This Row],[bid_D_BA]]-df_mep[[#This Row],[ask_D_BA]])/AVERAGE(df_mep[[#This Row],[bid_D_BA]:[ask_D_BA]])</f>
        <v>2.7137042062415585E-3</v>
      </c>
    </row>
    <row r="173" spans="1:20" hidden="1" x14ac:dyDescent="0.35">
      <c r="A173" t="s">
        <v>151</v>
      </c>
      <c r="B173" t="s">
        <v>557</v>
      </c>
      <c r="C173" s="4">
        <v>8825</v>
      </c>
      <c r="D173" s="4">
        <v>8510.5</v>
      </c>
      <c r="E173" s="4">
        <v>8669</v>
      </c>
      <c r="F173" s="34">
        <v>10.199999999999999</v>
      </c>
      <c r="G173" s="34">
        <v>10.199999999999999</v>
      </c>
      <c r="H173" s="34">
        <v>11.8</v>
      </c>
      <c r="I173" s="5">
        <v>1276</v>
      </c>
      <c r="J173" s="5">
        <f>df_mep[[#This Row],[volume_BA]]*df_mep[[#This Row],[open_BA]]</f>
        <v>11260700</v>
      </c>
      <c r="K173" s="5">
        <v>12</v>
      </c>
      <c r="L173" s="5">
        <f>df_mep[[#This Row],[volume_D_BA]]*df_mep[[#This Row],[open_D_BA]]</f>
        <v>122.39999999999999</v>
      </c>
      <c r="M173" s="3">
        <v>865.1960784313726</v>
      </c>
      <c r="N173" s="3">
        <v>849.90196078431381</v>
      </c>
      <c r="O173" s="3">
        <v>721.22881355932202</v>
      </c>
      <c r="P173" s="37">
        <f>MIN(1-df_mep[[#This Row],[MEP_compra_ARS]]/MEDIAN(N:N),100%)</f>
        <v>6.3699720952884009E-2</v>
      </c>
      <c r="Q173" s="38">
        <f>df_mep[[#This Row],[MEP_compra_USD]]/MEDIAN(O:O)-1</f>
        <v>-7.1870714224027132E-2</v>
      </c>
      <c r="R17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3" s="38">
        <f>ABS(df_mep[[#This Row],[bid_BA]]-df_mep[[#This Row],[ask_BA]])/AVERAGE(df_mep[[#This Row],[bid_BA]:[ask_BA]])</f>
        <v>1.8452225035652959E-2</v>
      </c>
      <c r="T173" s="36">
        <f>ABS(df_mep[[#This Row],[bid_D_BA]]-df_mep[[#This Row],[ask_D_BA]])/AVERAGE(df_mep[[#This Row],[bid_D_BA]:[ask_D_BA]])</f>
        <v>0.14545454545454559</v>
      </c>
    </row>
    <row r="174" spans="1:20" x14ac:dyDescent="0.35">
      <c r="A174" t="s">
        <v>11</v>
      </c>
      <c r="B174" t="s">
        <v>349</v>
      </c>
      <c r="C174" s="4">
        <v>815</v>
      </c>
      <c r="D174" s="4">
        <v>778</v>
      </c>
      <c r="E174" s="4">
        <v>780</v>
      </c>
      <c r="F174" s="34">
        <v>0.94</v>
      </c>
      <c r="G174" s="34">
        <v>0.91700000000000004</v>
      </c>
      <c r="H174" s="34">
        <v>0.94199999999999995</v>
      </c>
      <c r="I174" s="5">
        <v>447466</v>
      </c>
      <c r="J174" s="5">
        <f>df_mep[[#This Row],[volume_BA]]*df_mep[[#This Row],[open_BA]]</f>
        <v>364684790</v>
      </c>
      <c r="K174" s="5">
        <v>10755</v>
      </c>
      <c r="L174" s="5">
        <f>df_mep[[#This Row],[volume_D_BA]]*df_mep[[#This Row],[open_D_BA]]</f>
        <v>10109.699999999999</v>
      </c>
      <c r="M174" s="3">
        <v>867.02127659574478</v>
      </c>
      <c r="N174" s="3">
        <v>850.59978189749177</v>
      </c>
      <c r="O174" s="3">
        <v>825.90233545647561</v>
      </c>
      <c r="P174" s="37">
        <f>MIN(1-df_mep[[#This Row],[MEP_compra_ARS]]/MEDIAN(N:N),100%)</f>
        <v>6.2930961574578115E-2</v>
      </c>
      <c r="Q174" s="38">
        <f>df_mep[[#This Row],[MEP_compra_USD]]/MEDIAN(O:O)-1</f>
        <v>6.2830727664594965E-2</v>
      </c>
      <c r="R17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74" s="38">
        <f>ABS(df_mep[[#This Row],[bid_BA]]-df_mep[[#This Row],[ask_BA]])/AVERAGE(df_mep[[#This Row],[bid_BA]:[ask_BA]])</f>
        <v>2.5673940949935813E-3</v>
      </c>
      <c r="T174" s="36">
        <f>ABS(df_mep[[#This Row],[bid_D_BA]]-df_mep[[#This Row],[ask_D_BA]])/AVERAGE(df_mep[[#This Row],[bid_D_BA]:[ask_D_BA]])</f>
        <v>2.6896180742334495E-2</v>
      </c>
    </row>
    <row r="175" spans="1:20" x14ac:dyDescent="0.35">
      <c r="A175" t="s">
        <v>14</v>
      </c>
      <c r="B175" t="s">
        <v>468</v>
      </c>
      <c r="C175" s="4">
        <v>18850</v>
      </c>
      <c r="D175" s="4">
        <v>17955</v>
      </c>
      <c r="E175" s="4">
        <v>18294</v>
      </c>
      <c r="F175" s="34">
        <v>21.9</v>
      </c>
      <c r="G175" s="34">
        <v>21.5</v>
      </c>
      <c r="H175" s="34">
        <v>22.5</v>
      </c>
      <c r="I175" s="5">
        <v>26621</v>
      </c>
      <c r="J175" s="5">
        <f>df_mep[[#This Row],[volume_BA]]*df_mep[[#This Row],[open_BA]]</f>
        <v>501805850</v>
      </c>
      <c r="K175" s="5">
        <v>1346</v>
      </c>
      <c r="L175" s="5">
        <f>df_mep[[#This Row],[volume_D_BA]]*df_mep[[#This Row],[open_D_BA]]</f>
        <v>29477.399999999998</v>
      </c>
      <c r="M175" s="3">
        <v>860.73059360730599</v>
      </c>
      <c r="N175" s="3">
        <v>850.88372093023258</v>
      </c>
      <c r="O175" s="3">
        <v>798</v>
      </c>
      <c r="P175" s="37">
        <f>MIN(1-df_mep[[#This Row],[MEP_compra_ARS]]/MEDIAN(N:N),100%)</f>
        <v>6.2618158206831698E-2</v>
      </c>
      <c r="Q175" s="38">
        <f>df_mep[[#This Row],[MEP_compra_USD]]/MEDIAN(O:O)-1</f>
        <v>2.6923988788070119E-2</v>
      </c>
      <c r="R175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75" s="38">
        <f>ABS(df_mep[[#This Row],[bid_BA]]-df_mep[[#This Row],[ask_BA]])/AVERAGE(df_mep[[#This Row],[bid_BA]:[ask_BA]])</f>
        <v>1.8703964247289581E-2</v>
      </c>
      <c r="T175" s="36">
        <f>ABS(df_mep[[#This Row],[bid_D_BA]]-df_mep[[#This Row],[ask_D_BA]])/AVERAGE(df_mep[[#This Row],[bid_D_BA]:[ask_D_BA]])</f>
        <v>4.5454545454545456E-2</v>
      </c>
    </row>
    <row r="176" spans="1:20" x14ac:dyDescent="0.35">
      <c r="A176" t="s">
        <v>10</v>
      </c>
      <c r="B176" t="s">
        <v>346</v>
      </c>
      <c r="C176" s="4">
        <v>9405</v>
      </c>
      <c r="D176" s="4">
        <v>9200</v>
      </c>
      <c r="E176" s="4">
        <v>9275</v>
      </c>
      <c r="F176" s="34">
        <v>11</v>
      </c>
      <c r="G176" s="34">
        <v>10.9</v>
      </c>
      <c r="H176" s="34">
        <v>11</v>
      </c>
      <c r="I176" s="5">
        <v>19185</v>
      </c>
      <c r="J176" s="5">
        <f>df_mep[[#This Row],[volume_BA]]*df_mep[[#This Row],[open_BA]]</f>
        <v>180434925</v>
      </c>
      <c r="K176" s="5">
        <v>183</v>
      </c>
      <c r="L176" s="5">
        <f>df_mep[[#This Row],[volume_D_BA]]*df_mep[[#This Row],[open_D_BA]]</f>
        <v>2013</v>
      </c>
      <c r="M176" s="3">
        <v>855</v>
      </c>
      <c r="N176" s="3">
        <v>850.9174311926605</v>
      </c>
      <c r="O176" s="3">
        <v>836.36363636363637</v>
      </c>
      <c r="P176" s="37">
        <f>MIN(1-df_mep[[#This Row],[MEP_compra_ARS]]/MEDIAN(N:N),100%)</f>
        <v>6.2581021066815179E-2</v>
      </c>
      <c r="Q176" s="38">
        <f>df_mep[[#This Row],[MEP_compra_USD]]/MEDIAN(O:O)-1</f>
        <v>7.6293084626366525E-2</v>
      </c>
      <c r="R17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76" s="38">
        <f>ABS(df_mep[[#This Row],[bid_BA]]-df_mep[[#This Row],[ask_BA]])/AVERAGE(df_mep[[#This Row],[bid_BA]:[ask_BA]])</f>
        <v>8.119079837618403E-3</v>
      </c>
      <c r="T176" s="36">
        <f>ABS(df_mep[[#This Row],[bid_D_BA]]-df_mep[[#This Row],[ask_D_BA]])/AVERAGE(df_mep[[#This Row],[bid_D_BA]:[ask_D_BA]])</f>
        <v>9.1324200913241692E-3</v>
      </c>
    </row>
    <row r="177" spans="1:20" hidden="1" x14ac:dyDescent="0.35">
      <c r="A177" t="s">
        <v>163</v>
      </c>
      <c r="B177" t="s">
        <v>593</v>
      </c>
      <c r="C177" s="4">
        <v>15600</v>
      </c>
      <c r="D177" s="4">
        <v>13200</v>
      </c>
      <c r="E177" s="4">
        <v>15785</v>
      </c>
      <c r="F177" s="34">
        <v>19.649999999999999</v>
      </c>
      <c r="G177" s="34">
        <v>18.5</v>
      </c>
      <c r="H177" s="34">
        <v>23.95</v>
      </c>
      <c r="I177" s="5">
        <v>8467</v>
      </c>
      <c r="J177" s="5">
        <f>df_mep[[#This Row],[volume_BA]]*df_mep[[#This Row],[open_BA]]</f>
        <v>132085200</v>
      </c>
      <c r="K177" s="5">
        <v>42</v>
      </c>
      <c r="L177" s="5">
        <f>df_mep[[#This Row],[volume_D_BA]]*df_mep[[#This Row],[open_D_BA]]</f>
        <v>825.3</v>
      </c>
      <c r="M177" s="3">
        <v>793.89312977099246</v>
      </c>
      <c r="N177" s="3">
        <v>853.24324324324323</v>
      </c>
      <c r="O177" s="3">
        <v>551.14822546972857</v>
      </c>
      <c r="P177" s="37">
        <f>MIN(1-df_mep[[#This Row],[MEP_compra_ARS]]/MEDIAN(N:N),100%)</f>
        <v>6.0018774393137408E-2</v>
      </c>
      <c r="Q177" s="38">
        <f>df_mep[[#This Row],[MEP_compra_USD]]/MEDIAN(O:O)-1</f>
        <v>-0.29074268908165368</v>
      </c>
      <c r="R17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7" s="38">
        <f>ABS(df_mep[[#This Row],[bid_BA]]-df_mep[[#This Row],[ask_BA]])/AVERAGE(df_mep[[#This Row],[bid_BA]:[ask_BA]])</f>
        <v>0.17836812144212524</v>
      </c>
      <c r="T177" s="36">
        <f>ABS(df_mep[[#This Row],[bid_D_BA]]-df_mep[[#This Row],[ask_D_BA]])/AVERAGE(df_mep[[#This Row],[bid_D_BA]:[ask_D_BA]])</f>
        <v>0.25677267373380441</v>
      </c>
    </row>
    <row r="178" spans="1:20" x14ac:dyDescent="0.35">
      <c r="A178" t="s">
        <v>13</v>
      </c>
      <c r="B178" t="s">
        <v>458</v>
      </c>
      <c r="C178" s="4">
        <v>9900</v>
      </c>
      <c r="D178" s="4">
        <v>9392</v>
      </c>
      <c r="E178" s="4">
        <v>9410</v>
      </c>
      <c r="F178" s="34">
        <v>11.7</v>
      </c>
      <c r="G178" s="34">
        <v>11</v>
      </c>
      <c r="H178" s="34">
        <v>11.15</v>
      </c>
      <c r="I178" s="5">
        <v>401706</v>
      </c>
      <c r="J178" s="5">
        <f>df_mep[[#This Row],[volume_BA]]*df_mep[[#This Row],[open_BA]]</f>
        <v>3976889400</v>
      </c>
      <c r="K178" s="5">
        <v>23472</v>
      </c>
      <c r="L178" s="5">
        <f>df_mep[[#This Row],[volume_D_BA]]*df_mep[[#This Row],[open_D_BA]]</f>
        <v>274622.39999999997</v>
      </c>
      <c r="M178" s="3">
        <v>846.15384615384619</v>
      </c>
      <c r="N178" s="3">
        <v>855.4545454545455</v>
      </c>
      <c r="O178" s="3">
        <v>842.33183856502239</v>
      </c>
      <c r="P178" s="37">
        <f>MIN(1-df_mep[[#This Row],[MEP_compra_ARS]]/MEDIAN(N:N),100%)</f>
        <v>5.7582678263191855E-2</v>
      </c>
      <c r="Q178" s="38">
        <f>df_mep[[#This Row],[MEP_compra_USD]]/MEDIAN(O:O)-1</f>
        <v>8.397339792278391E-2</v>
      </c>
      <c r="R178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78" s="38">
        <f>ABS(df_mep[[#This Row],[bid_BA]]-df_mep[[#This Row],[ask_BA]])/AVERAGE(df_mep[[#This Row],[bid_BA]:[ask_BA]])</f>
        <v>1.9146899266035528E-3</v>
      </c>
      <c r="T178" s="36">
        <f>ABS(df_mep[[#This Row],[bid_D_BA]]-df_mep[[#This Row],[ask_D_BA]])/AVERAGE(df_mep[[#This Row],[bid_D_BA]:[ask_D_BA]])</f>
        <v>1.3544018058690778E-2</v>
      </c>
    </row>
    <row r="179" spans="1:20" x14ac:dyDescent="0.35">
      <c r="A179" t="s">
        <v>78</v>
      </c>
      <c r="B179" t="s">
        <v>598</v>
      </c>
      <c r="C179" s="4">
        <v>40100</v>
      </c>
      <c r="D179" s="4">
        <v>38376</v>
      </c>
      <c r="E179" s="4">
        <v>38520</v>
      </c>
      <c r="F179" s="34">
        <v>45.5</v>
      </c>
      <c r="G179" s="34">
        <v>45</v>
      </c>
      <c r="H179" s="34">
        <v>45.45</v>
      </c>
      <c r="I179" s="5">
        <v>4751</v>
      </c>
      <c r="J179" s="5">
        <f>df_mep[[#This Row],[volume_BA]]*df_mep[[#This Row],[open_BA]]</f>
        <v>190515100</v>
      </c>
      <c r="K179" s="5">
        <v>382</v>
      </c>
      <c r="L179" s="5">
        <f>df_mep[[#This Row],[volume_D_BA]]*df_mep[[#This Row],[open_D_BA]]</f>
        <v>17381</v>
      </c>
      <c r="M179" s="3">
        <v>881.31868131868134</v>
      </c>
      <c r="N179" s="3">
        <v>856</v>
      </c>
      <c r="O179" s="3">
        <v>844.35643564356428</v>
      </c>
      <c r="P179" s="37">
        <f>MIN(1-df_mep[[#This Row],[MEP_compra_ARS]]/MEDIAN(N:N),100%)</f>
        <v>5.6981774551138731E-2</v>
      </c>
      <c r="Q179" s="38">
        <f>df_mep[[#This Row],[MEP_compra_USD]]/MEDIAN(O:O)-1</f>
        <v>8.6578795551336407E-2</v>
      </c>
      <c r="R179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79" s="38">
        <f>ABS(df_mep[[#This Row],[bid_BA]]-df_mep[[#This Row],[ask_BA]])/AVERAGE(df_mep[[#This Row],[bid_BA]:[ask_BA]])</f>
        <v>3.7453183520599251E-3</v>
      </c>
      <c r="T179" s="36">
        <f>ABS(df_mep[[#This Row],[bid_D_BA]]-df_mep[[#This Row],[ask_D_BA]])/AVERAGE(df_mep[[#This Row],[bid_D_BA]:[ask_D_BA]])</f>
        <v>9.9502487562189677E-3</v>
      </c>
    </row>
    <row r="180" spans="1:20" x14ac:dyDescent="0.35">
      <c r="A180" t="s">
        <v>15</v>
      </c>
      <c r="B180" t="s">
        <v>477</v>
      </c>
      <c r="C180" s="4">
        <v>9623.5</v>
      </c>
      <c r="D180" s="4">
        <v>9453</v>
      </c>
      <c r="E180" s="4">
        <v>9545</v>
      </c>
      <c r="F180" s="34">
        <v>11.5</v>
      </c>
      <c r="G180" s="34">
        <v>11.15</v>
      </c>
      <c r="H180" s="34">
        <v>11.5</v>
      </c>
      <c r="I180" s="5">
        <v>38336</v>
      </c>
      <c r="J180" s="5">
        <f>df_mep[[#This Row],[volume_BA]]*df_mep[[#This Row],[open_BA]]</f>
        <v>368926496</v>
      </c>
      <c r="K180" s="5">
        <v>776</v>
      </c>
      <c r="L180" s="5">
        <f>df_mep[[#This Row],[volume_D_BA]]*df_mep[[#This Row],[open_D_BA]]</f>
        <v>8924</v>
      </c>
      <c r="M180" s="3">
        <v>836.82608695652175</v>
      </c>
      <c r="N180" s="3">
        <v>856.05381165919277</v>
      </c>
      <c r="O180" s="3">
        <v>822</v>
      </c>
      <c r="P180" s="37">
        <f>MIN(1-df_mep[[#This Row],[MEP_compra_ARS]]/MEDIAN(N:N),100%)</f>
        <v>5.6922492570577465E-2</v>
      </c>
      <c r="Q180" s="38">
        <f>df_mep[[#This Row],[MEP_compra_USD]]/MEDIAN(O:O)-1</f>
        <v>5.7808920781696305E-2</v>
      </c>
      <c r="R180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80" s="38">
        <f>ABS(df_mep[[#This Row],[bid_BA]]-df_mep[[#This Row],[ask_BA]])/AVERAGE(df_mep[[#This Row],[bid_BA]:[ask_BA]])</f>
        <v>9.6852300242130755E-3</v>
      </c>
      <c r="T180" s="36">
        <f>ABS(df_mep[[#This Row],[bid_D_BA]]-df_mep[[#This Row],[ask_D_BA]])/AVERAGE(df_mep[[#This Row],[bid_D_BA]:[ask_D_BA]])</f>
        <v>3.0905077262693127E-2</v>
      </c>
    </row>
    <row r="181" spans="1:20" hidden="1" x14ac:dyDescent="0.35">
      <c r="A181" t="s">
        <v>92</v>
      </c>
      <c r="B181" t="s">
        <v>334</v>
      </c>
      <c r="C181" s="4">
        <v>7900</v>
      </c>
      <c r="D181" s="4">
        <v>7400</v>
      </c>
      <c r="E181" s="4">
        <v>7500</v>
      </c>
      <c r="F181" s="34">
        <v>9.76</v>
      </c>
      <c r="G181" s="34">
        <v>8.76</v>
      </c>
      <c r="H181" s="34">
        <v>9.76</v>
      </c>
      <c r="I181" s="5">
        <v>1203</v>
      </c>
      <c r="J181" s="5">
        <f>df_mep[[#This Row],[volume_BA]]*df_mep[[#This Row],[open_BA]]</f>
        <v>9503700</v>
      </c>
      <c r="K181" s="5">
        <v>10</v>
      </c>
      <c r="L181" s="5">
        <f>df_mep[[#This Row],[volume_D_BA]]*df_mep[[#This Row],[open_D_BA]]</f>
        <v>97.6</v>
      </c>
      <c r="M181" s="3">
        <v>809.42622950819668</v>
      </c>
      <c r="N181" s="3">
        <v>856.16438356164383</v>
      </c>
      <c r="O181" s="3">
        <v>758.19672131147547</v>
      </c>
      <c r="P181" s="37">
        <f>MIN(1-df_mep[[#This Row],[MEP_compra_ARS]]/MEDIAN(N:N),100%)</f>
        <v>5.680068028175278E-2</v>
      </c>
      <c r="Q181" s="38">
        <f>df_mep[[#This Row],[MEP_compra_USD]]/MEDIAN(O:O)-1</f>
        <v>-2.4297742687697688E-2</v>
      </c>
      <c r="R18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1" s="38">
        <f>ABS(df_mep[[#This Row],[bid_BA]]-df_mep[[#This Row],[ask_BA]])/AVERAGE(df_mep[[#This Row],[bid_BA]:[ask_BA]])</f>
        <v>1.3422818791946308E-2</v>
      </c>
      <c r="T181" s="36">
        <f>ABS(df_mep[[#This Row],[bid_D_BA]]-df_mep[[#This Row],[ask_D_BA]])/AVERAGE(df_mep[[#This Row],[bid_D_BA]:[ask_D_BA]])</f>
        <v>0.10799136069114471</v>
      </c>
    </row>
    <row r="182" spans="1:20" x14ac:dyDescent="0.35">
      <c r="A182" t="s">
        <v>171</v>
      </c>
      <c r="B182" t="s">
        <v>203</v>
      </c>
      <c r="C182" s="4">
        <v>14400</v>
      </c>
      <c r="D182" s="4">
        <v>14100</v>
      </c>
      <c r="E182" s="4">
        <v>14130</v>
      </c>
      <c r="F182" s="34">
        <v>17.350000000000001</v>
      </c>
      <c r="G182" s="34">
        <v>16.5</v>
      </c>
      <c r="H182" s="34">
        <v>16.8</v>
      </c>
      <c r="I182" s="5">
        <v>35375</v>
      </c>
      <c r="J182" s="5">
        <f>df_mep[[#This Row],[volume_BA]]*df_mep[[#This Row],[open_BA]]</f>
        <v>509400000</v>
      </c>
      <c r="K182" s="5">
        <v>660</v>
      </c>
      <c r="L182" s="5">
        <f>df_mep[[#This Row],[volume_D_BA]]*df_mep[[#This Row],[open_D_BA]]</f>
        <v>11451.000000000002</v>
      </c>
      <c r="M182" s="3">
        <v>829.97118155619592</v>
      </c>
      <c r="N182" s="3">
        <v>856.36363636363637</v>
      </c>
      <c r="O182" s="3">
        <v>839.28571428571422</v>
      </c>
      <c r="P182" s="37">
        <f>MIN(1-df_mep[[#This Row],[MEP_compra_ARS]]/MEDIAN(N:N),100%)</f>
        <v>5.6581172076436537E-2</v>
      </c>
      <c r="Q182" s="38">
        <f>df_mep[[#This Row],[MEP_compra_USD]]/MEDIAN(O:O)-1</f>
        <v>8.0053425372343723E-2</v>
      </c>
      <c r="R18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82" s="38">
        <f>ABS(df_mep[[#This Row],[bid_BA]]-df_mep[[#This Row],[ask_BA]])/AVERAGE(df_mep[[#This Row],[bid_BA]:[ask_BA]])</f>
        <v>2.1253985122210413E-3</v>
      </c>
      <c r="T182" s="36">
        <f>ABS(df_mep[[#This Row],[bid_D_BA]]-df_mep[[#This Row],[ask_D_BA]])/AVERAGE(df_mep[[#This Row],[bid_D_BA]:[ask_D_BA]])</f>
        <v>1.8018018018018063E-2</v>
      </c>
    </row>
    <row r="183" spans="1:20" hidden="1" x14ac:dyDescent="0.35">
      <c r="A183" t="s">
        <v>139</v>
      </c>
      <c r="B183" t="s">
        <v>517</v>
      </c>
      <c r="C183" s="4">
        <v>8920.5</v>
      </c>
      <c r="D183" s="4">
        <v>8700</v>
      </c>
      <c r="E183" s="4">
        <v>8919</v>
      </c>
      <c r="F183" s="34">
        <v>10.4</v>
      </c>
      <c r="G183" s="34">
        <v>10.4</v>
      </c>
      <c r="H183" s="34">
        <v>10.95</v>
      </c>
      <c r="I183" s="5">
        <v>20771</v>
      </c>
      <c r="J183" s="5">
        <f>df_mep[[#This Row],[volume_BA]]*df_mep[[#This Row],[open_BA]]</f>
        <v>185287705.5</v>
      </c>
      <c r="K183" s="5">
        <v>10</v>
      </c>
      <c r="L183" s="5">
        <f>df_mep[[#This Row],[volume_D_BA]]*df_mep[[#This Row],[open_D_BA]]</f>
        <v>104</v>
      </c>
      <c r="M183" s="3">
        <v>857.74038461538464</v>
      </c>
      <c r="N183" s="3">
        <v>857.59615384615381</v>
      </c>
      <c r="O183" s="3">
        <v>794.52054794520552</v>
      </c>
      <c r="P183" s="37">
        <f>MIN(1-df_mep[[#This Row],[MEP_compra_ARS]]/MEDIAN(N:N),100%)</f>
        <v>5.5223360804008581E-2</v>
      </c>
      <c r="Q183" s="38">
        <f>df_mep[[#This Row],[MEP_compra_USD]]/MEDIAN(O:O)-1</f>
        <v>2.2446378784428012E-2</v>
      </c>
      <c r="R18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3" s="38">
        <f>ABS(df_mep[[#This Row],[bid_BA]]-df_mep[[#This Row],[ask_BA]])/AVERAGE(df_mep[[#This Row],[bid_BA]:[ask_BA]])</f>
        <v>2.4859526647369318E-2</v>
      </c>
      <c r="T183" s="36">
        <f>ABS(df_mep[[#This Row],[bid_D_BA]]-df_mep[[#This Row],[ask_D_BA]])/AVERAGE(df_mep[[#This Row],[bid_D_BA]:[ask_D_BA]])</f>
        <v>5.1522248243559617E-2</v>
      </c>
    </row>
    <row r="184" spans="1:20" x14ac:dyDescent="0.35">
      <c r="A184" t="s">
        <v>21</v>
      </c>
      <c r="B184" t="s">
        <v>597</v>
      </c>
      <c r="C184" s="4">
        <v>19900</v>
      </c>
      <c r="D184" s="4">
        <v>19000</v>
      </c>
      <c r="E184" s="4">
        <v>19100</v>
      </c>
      <c r="F184" s="34">
        <v>22.55</v>
      </c>
      <c r="G184" s="34">
        <v>22.25</v>
      </c>
      <c r="H184" s="34">
        <v>22.4</v>
      </c>
      <c r="I184" s="5">
        <v>696566</v>
      </c>
      <c r="J184" s="5">
        <f>df_mep[[#This Row],[volume_BA]]*df_mep[[#This Row],[open_BA]]</f>
        <v>13861663400</v>
      </c>
      <c r="K184" s="5">
        <v>4039</v>
      </c>
      <c r="L184" s="5">
        <f>df_mep[[#This Row],[volume_D_BA]]*df_mep[[#This Row],[open_D_BA]]</f>
        <v>91079.45</v>
      </c>
      <c r="M184" s="3">
        <v>882.48337028824835</v>
      </c>
      <c r="N184" s="3">
        <v>858.42696629213481</v>
      </c>
      <c r="O184" s="3">
        <v>848.21428571428578</v>
      </c>
      <c r="P184" s="37">
        <f>MIN(1-df_mep[[#This Row],[MEP_compra_ARS]]/MEDIAN(N:N),100%)</f>
        <v>5.4308090618856997E-2</v>
      </c>
      <c r="Q184" s="38">
        <f>df_mep[[#This Row],[MEP_compra_USD]]/MEDIAN(O:O)-1</f>
        <v>9.1543355429496431E-2</v>
      </c>
      <c r="R18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84" s="38">
        <f>ABS(df_mep[[#This Row],[bid_BA]]-df_mep[[#This Row],[ask_BA]])/AVERAGE(df_mep[[#This Row],[bid_BA]:[ask_BA]])</f>
        <v>5.2493438320209973E-3</v>
      </c>
      <c r="T184" s="36">
        <f>ABS(df_mep[[#This Row],[bid_D_BA]]-df_mep[[#This Row],[ask_D_BA]])/AVERAGE(df_mep[[#This Row],[bid_D_BA]:[ask_D_BA]])</f>
        <v>6.7189249720044156E-3</v>
      </c>
    </row>
    <row r="185" spans="1:20" hidden="1" x14ac:dyDescent="0.35">
      <c r="A185" t="s">
        <v>131</v>
      </c>
      <c r="B185" t="s">
        <v>473</v>
      </c>
      <c r="C185" s="4">
        <v>15999</v>
      </c>
      <c r="D185" s="4">
        <v>16100</v>
      </c>
      <c r="E185" s="4">
        <v>16150</v>
      </c>
      <c r="F185" s="34">
        <v>19.5</v>
      </c>
      <c r="G185" s="34">
        <v>18.8</v>
      </c>
      <c r="H185" s="34">
        <v>19.399999999999999</v>
      </c>
      <c r="I185" s="5">
        <v>695</v>
      </c>
      <c r="J185" s="5">
        <f>df_mep[[#This Row],[volume_BA]]*df_mep[[#This Row],[open_BA]]</f>
        <v>11119305</v>
      </c>
      <c r="K185" s="5">
        <v>45</v>
      </c>
      <c r="L185" s="5">
        <f>df_mep[[#This Row],[volume_D_BA]]*df_mep[[#This Row],[open_D_BA]]</f>
        <v>877.5</v>
      </c>
      <c r="M185" s="3">
        <v>820.46153846153845</v>
      </c>
      <c r="N185" s="3">
        <v>859.04255319148933</v>
      </c>
      <c r="O185" s="3">
        <v>829.89690721649492</v>
      </c>
      <c r="P185" s="37">
        <f>MIN(1-df_mep[[#This Row],[MEP_compra_ARS]]/MEDIAN(N:N),100%)</f>
        <v>5.3629925121848943E-2</v>
      </c>
      <c r="Q185" s="38">
        <f>df_mep[[#This Row],[MEP_compra_USD]]/MEDIAN(O:O)-1</f>
        <v>6.7971230879255717E-2</v>
      </c>
      <c r="R18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5" s="38">
        <f>ABS(df_mep[[#This Row],[bid_BA]]-df_mep[[#This Row],[ask_BA]])/AVERAGE(df_mep[[#This Row],[bid_BA]:[ask_BA]])</f>
        <v>3.1007751937984496E-3</v>
      </c>
      <c r="T185" s="36">
        <f>ABS(df_mep[[#This Row],[bid_D_BA]]-df_mep[[#This Row],[ask_D_BA]])/AVERAGE(df_mep[[#This Row],[bid_D_BA]:[ask_D_BA]])</f>
        <v>3.1413612565444914E-2</v>
      </c>
    </row>
    <row r="186" spans="1:20" x14ac:dyDescent="0.35">
      <c r="A186" t="s">
        <v>185</v>
      </c>
      <c r="B186" t="s">
        <v>469</v>
      </c>
      <c r="C186" s="4">
        <v>11489</v>
      </c>
      <c r="D186" s="4">
        <v>11326</v>
      </c>
      <c r="E186" s="4">
        <v>11274</v>
      </c>
      <c r="F186" s="34">
        <v>14.4</v>
      </c>
      <c r="G186" s="34">
        <v>13.1</v>
      </c>
      <c r="H186" s="34">
        <v>13.45</v>
      </c>
      <c r="I186" s="5">
        <v>28685</v>
      </c>
      <c r="J186" s="5">
        <f>df_mep[[#This Row],[volume_BA]]*df_mep[[#This Row],[open_BA]]</f>
        <v>329561965</v>
      </c>
      <c r="K186" s="5">
        <v>1349</v>
      </c>
      <c r="L186" s="5">
        <f>df_mep[[#This Row],[volume_D_BA]]*df_mep[[#This Row],[open_D_BA]]</f>
        <v>19425.600000000002</v>
      </c>
      <c r="M186" s="3">
        <v>797.84722222222217</v>
      </c>
      <c r="N186" s="3">
        <v>860.61068702290083</v>
      </c>
      <c r="O186" s="3">
        <v>842.08178438661719</v>
      </c>
      <c r="P186" s="37">
        <f>MIN(1-df_mep[[#This Row],[MEP_compra_ARS]]/MEDIAN(N:N),100%)</f>
        <v>5.1902379814647959E-2</v>
      </c>
      <c r="Q186" s="38">
        <f>df_mep[[#This Row],[MEP_compra_USD]]/MEDIAN(O:O)-1</f>
        <v>8.3651610160502043E-2</v>
      </c>
      <c r="R18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86" s="38">
        <f>ABS(df_mep[[#This Row],[bid_BA]]-df_mep[[#This Row],[ask_BA]])/AVERAGE(df_mep[[#This Row],[bid_BA]:[ask_BA]])</f>
        <v>4.6017699115044244E-3</v>
      </c>
      <c r="T186" s="36">
        <f>ABS(df_mep[[#This Row],[bid_D_BA]]-df_mep[[#This Row],[ask_D_BA]])/AVERAGE(df_mep[[#This Row],[bid_D_BA]:[ask_D_BA]])</f>
        <v>2.6365348399246681E-2</v>
      </c>
    </row>
    <row r="187" spans="1:20" x14ac:dyDescent="0.35">
      <c r="A187" t="s">
        <v>12</v>
      </c>
      <c r="B187" t="s">
        <v>357</v>
      </c>
      <c r="C187" s="4">
        <v>8430.5</v>
      </c>
      <c r="D187" s="4">
        <v>8302</v>
      </c>
      <c r="E187" s="4">
        <v>8310</v>
      </c>
      <c r="F187" s="34">
        <v>9.99</v>
      </c>
      <c r="G187" s="34">
        <v>9.65</v>
      </c>
      <c r="H187" s="34">
        <v>9.8000000000000007</v>
      </c>
      <c r="I187" s="5">
        <v>27864</v>
      </c>
      <c r="J187" s="5">
        <f>df_mep[[#This Row],[volume_BA]]*df_mep[[#This Row],[open_BA]]</f>
        <v>234907452</v>
      </c>
      <c r="K187" s="5">
        <v>602</v>
      </c>
      <c r="L187" s="5">
        <f>df_mep[[#This Row],[volume_D_BA]]*df_mep[[#This Row],[open_D_BA]]</f>
        <v>6013.9800000000005</v>
      </c>
      <c r="M187" s="3">
        <v>843.89389389389385</v>
      </c>
      <c r="N187" s="3">
        <v>861.13989637305701</v>
      </c>
      <c r="O187" s="3">
        <v>847.14285714285711</v>
      </c>
      <c r="P187" s="37">
        <f>MIN(1-df_mep[[#This Row],[MEP_compra_ARS]]/MEDIAN(N:N),100%)</f>
        <v>5.1319372732550828E-2</v>
      </c>
      <c r="Q187" s="38">
        <f>df_mep[[#This Row],[MEP_compra_USD]]/MEDIAN(O:O)-1</f>
        <v>9.0164563822638044E-2</v>
      </c>
      <c r="R187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87" s="38">
        <f>ABS(df_mep[[#This Row],[bid_BA]]-df_mep[[#This Row],[ask_BA]])/AVERAGE(df_mep[[#This Row],[bid_BA]:[ask_BA]])</f>
        <v>9.6315916205152899E-4</v>
      </c>
      <c r="T187" s="36">
        <f>ABS(df_mep[[#This Row],[bid_D_BA]]-df_mep[[#This Row],[ask_D_BA]])/AVERAGE(df_mep[[#This Row],[bid_D_BA]:[ask_D_BA]])</f>
        <v>1.5424164524421628E-2</v>
      </c>
    </row>
    <row r="188" spans="1:20" x14ac:dyDescent="0.35">
      <c r="A188" t="s">
        <v>27</v>
      </c>
      <c r="B188" t="s">
        <v>505</v>
      </c>
      <c r="C188" s="4">
        <v>12850</v>
      </c>
      <c r="D188" s="4">
        <v>12220</v>
      </c>
      <c r="E188" s="4">
        <v>12295</v>
      </c>
      <c r="F188" s="34">
        <v>14.5</v>
      </c>
      <c r="G188" s="34">
        <v>14.25</v>
      </c>
      <c r="H188" s="34">
        <v>14.5</v>
      </c>
      <c r="I188" s="5">
        <v>13843</v>
      </c>
      <c r="J188" s="5">
        <f>df_mep[[#This Row],[volume_BA]]*df_mep[[#This Row],[open_BA]]</f>
        <v>177882550</v>
      </c>
      <c r="K188" s="5">
        <v>634</v>
      </c>
      <c r="L188" s="5">
        <f>df_mep[[#This Row],[volume_D_BA]]*df_mep[[#This Row],[open_D_BA]]</f>
        <v>9193</v>
      </c>
      <c r="M188" s="3">
        <v>886.20689655172418</v>
      </c>
      <c r="N188" s="3">
        <v>862.80701754385962</v>
      </c>
      <c r="O188" s="3">
        <v>842.75862068965512</v>
      </c>
      <c r="P188" s="37">
        <f>MIN(1-df_mep[[#This Row],[MEP_compra_ARS]]/MEDIAN(N:N),100%)</f>
        <v>4.94827773492581E-2</v>
      </c>
      <c r="Q188" s="38">
        <f>df_mep[[#This Row],[MEP_compra_USD]]/MEDIAN(O:O)-1</f>
        <v>8.4522611960091254E-2</v>
      </c>
      <c r="R188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88" s="38">
        <f>ABS(df_mep[[#This Row],[bid_BA]]-df_mep[[#This Row],[ask_BA]])/AVERAGE(df_mep[[#This Row],[bid_BA]:[ask_BA]])</f>
        <v>6.1187028349989799E-3</v>
      </c>
      <c r="T188" s="36">
        <f>ABS(df_mep[[#This Row],[bid_D_BA]]-df_mep[[#This Row],[ask_D_BA]])/AVERAGE(df_mep[[#This Row],[bid_D_BA]:[ask_D_BA]])</f>
        <v>1.7391304347826087E-2</v>
      </c>
    </row>
    <row r="189" spans="1:20" hidden="1" x14ac:dyDescent="0.35">
      <c r="A189" t="s">
        <v>73</v>
      </c>
      <c r="B189" t="s">
        <v>576</v>
      </c>
      <c r="C189" s="4">
        <v>14300</v>
      </c>
      <c r="D189" s="4">
        <v>14435</v>
      </c>
      <c r="E189" s="4">
        <v>14735</v>
      </c>
      <c r="F189" s="34">
        <v>17.25</v>
      </c>
      <c r="G189" s="34">
        <v>17.100000000000001</v>
      </c>
      <c r="H189" s="34">
        <v>18.05</v>
      </c>
      <c r="I189" s="5">
        <v>1282</v>
      </c>
      <c r="J189" s="5">
        <f>df_mep[[#This Row],[volume_BA]]*df_mep[[#This Row],[open_BA]]</f>
        <v>18332600</v>
      </c>
      <c r="K189" s="5">
        <v>4</v>
      </c>
      <c r="L189" s="5">
        <f>df_mep[[#This Row],[volume_D_BA]]*df_mep[[#This Row],[open_D_BA]]</f>
        <v>69</v>
      </c>
      <c r="M189" s="3">
        <v>828.98550724637676</v>
      </c>
      <c r="N189" s="3">
        <v>861.69590643274842</v>
      </c>
      <c r="O189" s="3">
        <v>799.72299168975064</v>
      </c>
      <c r="P189" s="37">
        <f>MIN(1-df_mep[[#This Row],[MEP_compra_ARS]]/MEDIAN(N:N),100%)</f>
        <v>5.0706840466403724E-2</v>
      </c>
      <c r="Q189" s="38">
        <f>df_mep[[#This Row],[MEP_compra_USD]]/MEDIAN(O:O)-1</f>
        <v>2.9141258836550721E-2</v>
      </c>
      <c r="R18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9" s="38">
        <f>ABS(df_mep[[#This Row],[bid_BA]]-df_mep[[#This Row],[ask_BA]])/AVERAGE(df_mep[[#This Row],[bid_BA]:[ask_BA]])</f>
        <v>2.0569077819677751E-2</v>
      </c>
      <c r="T189" s="36">
        <f>ABS(df_mep[[#This Row],[bid_D_BA]]-df_mep[[#This Row],[ask_D_BA]])/AVERAGE(df_mep[[#This Row],[bid_D_BA]:[ask_D_BA]])</f>
        <v>5.4054054054054002E-2</v>
      </c>
    </row>
    <row r="190" spans="1:20" x14ac:dyDescent="0.35">
      <c r="A190" t="s">
        <v>159</v>
      </c>
      <c r="B190" t="s">
        <v>581</v>
      </c>
      <c r="C190" s="4">
        <v>24300</v>
      </c>
      <c r="D190" s="4">
        <v>23500</v>
      </c>
      <c r="E190" s="4">
        <v>23542.5</v>
      </c>
      <c r="F190" s="34">
        <v>29.25</v>
      </c>
      <c r="G190" s="34">
        <v>27.2</v>
      </c>
      <c r="H190" s="34">
        <v>29.2</v>
      </c>
      <c r="I190" s="5">
        <v>15963</v>
      </c>
      <c r="J190" s="5">
        <f>df_mep[[#This Row],[volume_BA]]*df_mep[[#This Row],[open_BA]]</f>
        <v>387900900</v>
      </c>
      <c r="K190" s="5">
        <v>190</v>
      </c>
      <c r="L190" s="5">
        <f>df_mep[[#This Row],[volume_D_BA]]*df_mep[[#This Row],[open_D_BA]]</f>
        <v>5557.5</v>
      </c>
      <c r="M190" s="3">
        <v>830.76923076923072</v>
      </c>
      <c r="N190" s="3">
        <v>865.53308823529414</v>
      </c>
      <c r="O190" s="3">
        <v>804.79452054794524</v>
      </c>
      <c r="P190" s="37">
        <f>MIN(1-df_mep[[#This Row],[MEP_compra_ARS]]/MEDIAN(N:N),100%)</f>
        <v>4.6479583019953585E-2</v>
      </c>
      <c r="Q190" s="38">
        <f>df_mep[[#This Row],[MEP_compra_USD]]/MEDIAN(O:O)-1</f>
        <v>3.5667668165261235E-2</v>
      </c>
      <c r="R190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90" s="38">
        <f>ABS(df_mep[[#This Row],[bid_BA]]-df_mep[[#This Row],[ask_BA]])/AVERAGE(df_mep[[#This Row],[bid_BA]:[ask_BA]])</f>
        <v>1.8068767603762555E-3</v>
      </c>
      <c r="T190" s="36">
        <f>ABS(df_mep[[#This Row],[bid_D_BA]]-df_mep[[#This Row],[ask_D_BA]])/AVERAGE(df_mep[[#This Row],[bid_D_BA]:[ask_D_BA]])</f>
        <v>7.0921985815602842E-2</v>
      </c>
    </row>
    <row r="191" spans="1:20" hidden="1" x14ac:dyDescent="0.35">
      <c r="A191" t="s">
        <v>156</v>
      </c>
      <c r="B191" t="s">
        <v>565</v>
      </c>
      <c r="C191" s="4">
        <v>14260</v>
      </c>
      <c r="D191" s="4">
        <v>14253.5</v>
      </c>
      <c r="E191" s="4">
        <v>14500</v>
      </c>
      <c r="F191" s="34">
        <v>16.600000000000001</v>
      </c>
      <c r="G191" s="34">
        <v>16.8</v>
      </c>
      <c r="H191" s="34">
        <v>18</v>
      </c>
      <c r="I191" s="5">
        <v>1116</v>
      </c>
      <c r="J191" s="5">
        <f>df_mep[[#This Row],[volume_BA]]*df_mep[[#This Row],[open_BA]]</f>
        <v>15914160</v>
      </c>
      <c r="K191" s="5">
        <v>1</v>
      </c>
      <c r="L191" s="5">
        <f>df_mep[[#This Row],[volume_D_BA]]*df_mep[[#This Row],[open_D_BA]]</f>
        <v>16.600000000000001</v>
      </c>
      <c r="M191" s="3">
        <v>859.03614457831316</v>
      </c>
      <c r="N191" s="3">
        <v>863.09523809523807</v>
      </c>
      <c r="O191" s="3">
        <v>791.86111111111109</v>
      </c>
      <c r="P191" s="37">
        <f>MIN(1-df_mep[[#This Row],[MEP_compra_ARS]]/MEDIAN(N:N),100%)</f>
        <v>4.9165257217366976E-2</v>
      </c>
      <c r="Q191" s="38">
        <f>df_mep[[#This Row],[MEP_compra_USD]]/MEDIAN(O:O)-1</f>
        <v>1.9024023544330193E-2</v>
      </c>
      <c r="R19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1" s="38">
        <f>ABS(df_mep[[#This Row],[bid_BA]]-df_mep[[#This Row],[ask_BA]])/AVERAGE(df_mep[[#This Row],[bid_BA]:[ask_BA]])</f>
        <v>1.7145738779626829E-2</v>
      </c>
      <c r="T191" s="36">
        <f>ABS(df_mep[[#This Row],[bid_D_BA]]-df_mep[[#This Row],[ask_D_BA]])/AVERAGE(df_mep[[#This Row],[bid_D_BA]:[ask_D_BA]])</f>
        <v>6.8965517241379282E-2</v>
      </c>
    </row>
    <row r="192" spans="1:20" hidden="1" x14ac:dyDescent="0.35">
      <c r="A192" t="s">
        <v>33</v>
      </c>
      <c r="B192" t="s">
        <v>571</v>
      </c>
      <c r="C192" s="4">
        <v>5800</v>
      </c>
      <c r="D192" s="4">
        <v>5699</v>
      </c>
      <c r="E192" s="4">
        <v>5700</v>
      </c>
      <c r="F192" s="34">
        <v>6.94</v>
      </c>
      <c r="G192" s="34">
        <v>6.6</v>
      </c>
      <c r="H192" s="34">
        <v>6.94</v>
      </c>
      <c r="I192" s="5">
        <v>25484</v>
      </c>
      <c r="J192" s="5">
        <f>df_mep[[#This Row],[volume_BA]]*df_mep[[#This Row],[open_BA]]</f>
        <v>147807200</v>
      </c>
      <c r="K192" s="5">
        <v>83</v>
      </c>
      <c r="L192" s="5">
        <f>df_mep[[#This Row],[volume_D_BA]]*df_mep[[#This Row],[open_D_BA]]</f>
        <v>576.02</v>
      </c>
      <c r="M192" s="3">
        <v>835.73487031700279</v>
      </c>
      <c r="N192" s="3">
        <v>863.63636363636363</v>
      </c>
      <c r="O192" s="3">
        <v>821.18155619596541</v>
      </c>
      <c r="P192" s="37">
        <f>MIN(1-df_mep[[#This Row],[MEP_compra_ARS]]/MEDIAN(N:N),100%)</f>
        <v>4.8569122582393542E-2</v>
      </c>
      <c r="Q192" s="38">
        <f>df_mep[[#This Row],[MEP_compra_USD]]/MEDIAN(O:O)-1</f>
        <v>5.6755688230520907E-2</v>
      </c>
      <c r="R19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2" s="38">
        <f>ABS(df_mep[[#This Row],[bid_BA]]-df_mep[[#This Row],[ask_BA]])/AVERAGE(df_mep[[#This Row],[bid_BA]:[ask_BA]])</f>
        <v>1.7545398719185894E-4</v>
      </c>
      <c r="T192" s="36">
        <f>ABS(df_mep[[#This Row],[bid_D_BA]]-df_mep[[#This Row],[ask_D_BA]])/AVERAGE(df_mep[[#This Row],[bid_D_BA]:[ask_D_BA]])</f>
        <v>5.0221565731167025E-2</v>
      </c>
    </row>
    <row r="193" spans="1:20" x14ac:dyDescent="0.35">
      <c r="A193" t="s">
        <v>77</v>
      </c>
      <c r="B193" t="s">
        <v>596</v>
      </c>
      <c r="C193" s="4">
        <v>16850</v>
      </c>
      <c r="D193" s="4">
        <v>16000</v>
      </c>
      <c r="E193" s="4">
        <v>16200</v>
      </c>
      <c r="F193" s="34">
        <v>19.5</v>
      </c>
      <c r="G193" s="34">
        <v>18.649999999999999</v>
      </c>
      <c r="H193" s="34">
        <v>19.05</v>
      </c>
      <c r="I193" s="5">
        <v>56992</v>
      </c>
      <c r="J193" s="5">
        <f>df_mep[[#This Row],[volume_BA]]*df_mep[[#This Row],[open_BA]]</f>
        <v>960315200</v>
      </c>
      <c r="K193" s="5">
        <v>765</v>
      </c>
      <c r="L193" s="5">
        <f>df_mep[[#This Row],[volume_D_BA]]*df_mep[[#This Row],[open_D_BA]]</f>
        <v>14917.5</v>
      </c>
      <c r="M193" s="3">
        <v>864.10256410256409</v>
      </c>
      <c r="N193" s="3">
        <v>868.63270777479897</v>
      </c>
      <c r="O193" s="3">
        <v>839.8950131233596</v>
      </c>
      <c r="P193" s="37">
        <f>MIN(1-df_mep[[#This Row],[MEP_compra_ARS]]/MEDIAN(N:N),100%)</f>
        <v>4.3064866060011364E-2</v>
      </c>
      <c r="Q193" s="38">
        <f>df_mep[[#This Row],[MEP_compra_USD]]/MEDIAN(O:O)-1</f>
        <v>8.083751508753001E-2</v>
      </c>
      <c r="R193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93" s="38">
        <f>ABS(df_mep[[#This Row],[bid_BA]]-df_mep[[#This Row],[ask_BA]])/AVERAGE(df_mep[[#This Row],[bid_BA]:[ask_BA]])</f>
        <v>1.2422360248447204E-2</v>
      </c>
      <c r="T193" s="36">
        <f>ABS(df_mep[[#This Row],[bid_D_BA]]-df_mep[[#This Row],[ask_D_BA]])/AVERAGE(df_mep[[#This Row],[bid_D_BA]:[ask_D_BA]])</f>
        <v>2.1220159151193744E-2</v>
      </c>
    </row>
    <row r="194" spans="1:20" x14ac:dyDescent="0.35">
      <c r="A194" t="s">
        <v>30</v>
      </c>
      <c r="B194" t="s">
        <v>592</v>
      </c>
      <c r="C194" s="4">
        <v>15199.5</v>
      </c>
      <c r="D194" s="4">
        <v>14712.5</v>
      </c>
      <c r="E194" s="4">
        <v>14879</v>
      </c>
      <c r="F194" s="34">
        <v>16.899999999999999</v>
      </c>
      <c r="G194" s="34">
        <v>17.100000000000001</v>
      </c>
      <c r="H194" s="34">
        <v>17.95</v>
      </c>
      <c r="I194" s="5">
        <v>76715</v>
      </c>
      <c r="J194" s="5">
        <f>df_mep[[#This Row],[volume_BA]]*df_mep[[#This Row],[open_BA]]</f>
        <v>1166029642.5</v>
      </c>
      <c r="K194" s="5">
        <v>729</v>
      </c>
      <c r="L194" s="5">
        <f>df_mep[[#This Row],[volume_D_BA]]*df_mep[[#This Row],[open_D_BA]]</f>
        <v>12320.099999999999</v>
      </c>
      <c r="M194" s="3">
        <v>899.3786982248522</v>
      </c>
      <c r="N194" s="3">
        <v>870.11695906432738</v>
      </c>
      <c r="O194" s="3">
        <v>819.63788300835654</v>
      </c>
      <c r="P194" s="37">
        <f>MIN(1-df_mep[[#This Row],[MEP_compra_ARS]]/MEDIAN(N:N),100%)</f>
        <v>4.1429730525932795E-2</v>
      </c>
      <c r="Q194" s="38">
        <f>df_mep[[#This Row],[MEP_compra_USD]]/MEDIAN(O:O)-1</f>
        <v>5.4769178171367283E-2</v>
      </c>
      <c r="R19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94" s="38">
        <f>ABS(df_mep[[#This Row],[bid_BA]]-df_mep[[#This Row],[ask_BA]])/AVERAGE(df_mep[[#This Row],[bid_BA]:[ask_BA]])</f>
        <v>1.1253231502289509E-2</v>
      </c>
      <c r="T194" s="36">
        <f>ABS(df_mep[[#This Row],[bid_D_BA]]-df_mep[[#This Row],[ask_D_BA]])/AVERAGE(df_mep[[#This Row],[bid_D_BA]:[ask_D_BA]])</f>
        <v>4.8502139800285192E-2</v>
      </c>
    </row>
    <row r="195" spans="1:20" hidden="1" x14ac:dyDescent="0.35">
      <c r="A195" t="s">
        <v>66</v>
      </c>
      <c r="B195" t="s">
        <v>361</v>
      </c>
      <c r="C195" s="4">
        <v>2540</v>
      </c>
      <c r="D195" s="4">
        <v>2500</v>
      </c>
      <c r="E195" s="4">
        <v>2530</v>
      </c>
      <c r="F195" s="34">
        <v>3.1</v>
      </c>
      <c r="G195" s="34">
        <v>2.92</v>
      </c>
      <c r="H195" s="34">
        <v>3</v>
      </c>
      <c r="I195" s="5">
        <v>18516</v>
      </c>
      <c r="J195" s="5">
        <f>df_mep[[#This Row],[volume_BA]]*df_mep[[#This Row],[open_BA]]</f>
        <v>47030640</v>
      </c>
      <c r="K195" s="5">
        <v>307</v>
      </c>
      <c r="L195" s="5">
        <f>df_mep[[#This Row],[volume_D_BA]]*df_mep[[#This Row],[open_D_BA]]</f>
        <v>951.7</v>
      </c>
      <c r="M195" s="3">
        <v>819.35483870967744</v>
      </c>
      <c r="N195" s="3">
        <v>866.43835616438355</v>
      </c>
      <c r="O195" s="3">
        <v>833.33333333333337</v>
      </c>
      <c r="P195" s="37">
        <f>MIN(1-df_mep[[#This Row],[MEP_compra_ARS]]/MEDIAN(N:N),100%)</f>
        <v>4.5482288445133801E-2</v>
      </c>
      <c r="Q195" s="38">
        <f>df_mep[[#This Row],[MEP_compra_USD]]/MEDIAN(O:O)-1</f>
        <v>7.2393472000908732E-2</v>
      </c>
      <c r="R19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5" s="38">
        <f>ABS(df_mep[[#This Row],[bid_BA]]-df_mep[[#This Row],[ask_BA]])/AVERAGE(df_mep[[#This Row],[bid_BA]:[ask_BA]])</f>
        <v>1.1928429423459244E-2</v>
      </c>
      <c r="T195" s="36">
        <f>ABS(df_mep[[#This Row],[bid_D_BA]]-df_mep[[#This Row],[ask_D_BA]])/AVERAGE(df_mep[[#This Row],[bid_D_BA]:[ask_D_BA]])</f>
        <v>2.7027027027027053E-2</v>
      </c>
    </row>
    <row r="196" spans="1:20" x14ac:dyDescent="0.35">
      <c r="A196" t="s">
        <v>112</v>
      </c>
      <c r="B196" t="s">
        <v>395</v>
      </c>
      <c r="C196" s="4">
        <v>5964</v>
      </c>
      <c r="D196" s="4">
        <v>6000</v>
      </c>
      <c r="E196" s="4">
        <v>6149</v>
      </c>
      <c r="F196" s="34">
        <v>7</v>
      </c>
      <c r="G196" s="34">
        <v>7</v>
      </c>
      <c r="H196" s="34">
        <v>7.4</v>
      </c>
      <c r="I196" s="5">
        <v>27394</v>
      </c>
      <c r="J196" s="5">
        <f>df_mep[[#This Row],[volume_BA]]*df_mep[[#This Row],[open_BA]]</f>
        <v>163377816</v>
      </c>
      <c r="K196" s="5">
        <v>881</v>
      </c>
      <c r="L196" s="5">
        <f>df_mep[[#This Row],[volume_D_BA]]*df_mep[[#This Row],[open_D_BA]]</f>
        <v>6167</v>
      </c>
      <c r="M196" s="3">
        <v>852</v>
      </c>
      <c r="N196" s="3">
        <v>878.42857142857144</v>
      </c>
      <c r="O196" s="3">
        <v>810.81081081081072</v>
      </c>
      <c r="P196" s="37">
        <f>MIN(1-df_mep[[#This Row],[MEP_compra_ARS]]/MEDIAN(N:N),100%)</f>
        <v>3.2273186200759585E-2</v>
      </c>
      <c r="Q196" s="38">
        <f>df_mep[[#This Row],[MEP_compra_USD]]/MEDIAN(O:O)-1</f>
        <v>4.340986464953267E-2</v>
      </c>
      <c r="R19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96" s="38">
        <f>ABS(df_mep[[#This Row],[bid_BA]]-df_mep[[#This Row],[ask_BA]])/AVERAGE(df_mep[[#This Row],[bid_BA]:[ask_BA]])</f>
        <v>2.4528767799818916E-2</v>
      </c>
      <c r="T196" s="36">
        <f>ABS(df_mep[[#This Row],[bid_D_BA]]-df_mep[[#This Row],[ask_D_BA]])/AVERAGE(df_mep[[#This Row],[bid_D_BA]:[ask_D_BA]])</f>
        <v>5.5555555555555601E-2</v>
      </c>
    </row>
    <row r="197" spans="1:20" hidden="1" x14ac:dyDescent="0.35">
      <c r="A197" t="s">
        <v>108</v>
      </c>
      <c r="B197" t="s">
        <v>387</v>
      </c>
      <c r="C197" s="4">
        <v>10200</v>
      </c>
      <c r="D197" s="4">
        <v>9559.5</v>
      </c>
      <c r="E197" s="4">
        <v>10862</v>
      </c>
      <c r="F197" s="34">
        <v>13.9</v>
      </c>
      <c r="G197" s="34">
        <v>12.5</v>
      </c>
      <c r="H197" s="34">
        <v>14.3</v>
      </c>
      <c r="I197" s="5">
        <v>522</v>
      </c>
      <c r="J197" s="5">
        <f>df_mep[[#This Row],[volume_BA]]*df_mep[[#This Row],[open_BA]]</f>
        <v>5324400</v>
      </c>
      <c r="K197" s="5">
        <v>7</v>
      </c>
      <c r="L197" s="5">
        <f>df_mep[[#This Row],[volume_D_BA]]*df_mep[[#This Row],[open_D_BA]]</f>
        <v>97.3</v>
      </c>
      <c r="M197" s="3">
        <v>733.8129496402878</v>
      </c>
      <c r="N197" s="3">
        <v>868.96</v>
      </c>
      <c r="O197" s="3">
        <v>668.49650349650346</v>
      </c>
      <c r="P197" s="37">
        <f>MIN(1-df_mep[[#This Row],[MEP_compra_ARS]]/MEDIAN(N:N),100%)</f>
        <v>4.270430235275402E-2</v>
      </c>
      <c r="Q197" s="38">
        <f>df_mep[[#This Row],[MEP_compra_USD]]/MEDIAN(O:O)-1</f>
        <v>-0.13973045631390046</v>
      </c>
      <c r="R19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7" s="38">
        <f>ABS(df_mep[[#This Row],[bid_BA]]-df_mep[[#This Row],[ask_BA]])/AVERAGE(df_mep[[#This Row],[bid_BA]:[ask_BA]])</f>
        <v>0.12756163846926033</v>
      </c>
      <c r="T197" s="36">
        <f>ABS(df_mep[[#This Row],[bid_D_BA]]-df_mep[[#This Row],[ask_D_BA]])/AVERAGE(df_mep[[#This Row],[bid_D_BA]:[ask_D_BA]])</f>
        <v>0.13432835820895528</v>
      </c>
    </row>
    <row r="198" spans="1:20" x14ac:dyDescent="0.35">
      <c r="A198" t="s">
        <v>74</v>
      </c>
      <c r="B198" t="s">
        <v>579</v>
      </c>
      <c r="C198" s="4">
        <v>7000</v>
      </c>
      <c r="D198" s="4">
        <v>6489</v>
      </c>
      <c r="E198" s="4">
        <v>6600</v>
      </c>
      <c r="F198" s="34">
        <v>8.5</v>
      </c>
      <c r="G198" s="34">
        <v>7.5</v>
      </c>
      <c r="H198" s="34">
        <v>8</v>
      </c>
      <c r="I198" s="5">
        <v>2483</v>
      </c>
      <c r="J198" s="5">
        <f>df_mep[[#This Row],[volume_BA]]*df_mep[[#This Row],[open_BA]]</f>
        <v>17381000</v>
      </c>
      <c r="K198" s="5">
        <v>320</v>
      </c>
      <c r="L198" s="5">
        <f>df_mep[[#This Row],[volume_D_BA]]*df_mep[[#This Row],[open_D_BA]]</f>
        <v>2720</v>
      </c>
      <c r="M198" s="3">
        <v>823.52941176470586</v>
      </c>
      <c r="N198" s="3">
        <v>880</v>
      </c>
      <c r="O198" s="3">
        <v>811.125</v>
      </c>
      <c r="P198" s="37">
        <f>MIN(1-df_mep[[#This Row],[MEP_compra_ARS]]/MEDIAN(N:N),100%)</f>
        <v>3.0542011220796805E-2</v>
      </c>
      <c r="Q198" s="38">
        <f>df_mep[[#This Row],[MEP_compra_USD]]/MEDIAN(O:O)-1</f>
        <v>4.3814185972084418E-2</v>
      </c>
      <c r="R198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98" s="38">
        <f>ABS(df_mep[[#This Row],[bid_BA]]-df_mep[[#This Row],[ask_BA]])/AVERAGE(df_mep[[#This Row],[bid_BA]:[ask_BA]])</f>
        <v>1.6960806784322713E-2</v>
      </c>
      <c r="T198" s="36">
        <f>ABS(df_mep[[#This Row],[bid_D_BA]]-df_mep[[#This Row],[ask_D_BA]])/AVERAGE(df_mep[[#This Row],[bid_D_BA]:[ask_D_BA]])</f>
        <v>6.4516129032258063E-2</v>
      </c>
    </row>
    <row r="199" spans="1:20" x14ac:dyDescent="0.35">
      <c r="A199" t="s">
        <v>137</v>
      </c>
      <c r="B199" t="s">
        <v>508</v>
      </c>
      <c r="C199" s="4">
        <v>25699</v>
      </c>
      <c r="D199" s="4">
        <v>26450</v>
      </c>
      <c r="E199" s="4">
        <v>26750</v>
      </c>
      <c r="F199" s="34">
        <v>33.5</v>
      </c>
      <c r="G199" s="34">
        <v>30.1</v>
      </c>
      <c r="H199" s="34">
        <v>33.5</v>
      </c>
      <c r="I199" s="5">
        <v>3020</v>
      </c>
      <c r="J199" s="5">
        <f>df_mep[[#This Row],[volume_BA]]*df_mep[[#This Row],[open_BA]]</f>
        <v>77610980</v>
      </c>
      <c r="K199" s="5">
        <v>129</v>
      </c>
      <c r="L199" s="5">
        <f>df_mep[[#This Row],[volume_D_BA]]*df_mep[[#This Row],[open_D_BA]]</f>
        <v>4321.5</v>
      </c>
      <c r="M199" s="3">
        <v>767.1343283582089</v>
      </c>
      <c r="N199" s="3">
        <v>888.70431893687703</v>
      </c>
      <c r="O199" s="3">
        <v>789.55223880597021</v>
      </c>
      <c r="P199" s="37">
        <f>MIN(1-df_mep[[#This Row],[MEP_compra_ARS]]/MEDIAN(N:N),100%)</f>
        <v>2.0952839027345016E-2</v>
      </c>
      <c r="Q199" s="38">
        <f>df_mep[[#This Row],[MEP_compra_USD]]/MEDIAN(O:O)-1</f>
        <v>1.6052800039070059E-2</v>
      </c>
      <c r="R199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99" s="38">
        <f>ABS(df_mep[[#This Row],[bid_BA]]-df_mep[[#This Row],[ask_BA]])/AVERAGE(df_mep[[#This Row],[bid_BA]:[ask_BA]])</f>
        <v>1.1278195488721804E-2</v>
      </c>
      <c r="T199" s="36">
        <f>ABS(df_mep[[#This Row],[bid_D_BA]]-df_mep[[#This Row],[ask_D_BA]])/AVERAGE(df_mep[[#This Row],[bid_D_BA]:[ask_D_BA]])</f>
        <v>0.10691823899371064</v>
      </c>
    </row>
    <row r="200" spans="1:20" hidden="1" x14ac:dyDescent="0.35">
      <c r="A200" t="s">
        <v>53</v>
      </c>
      <c r="B200" t="s">
        <v>540</v>
      </c>
      <c r="C200" s="4">
        <v>4493.5</v>
      </c>
      <c r="D200" s="4">
        <v>4436</v>
      </c>
      <c r="E200" s="4">
        <v>4635</v>
      </c>
      <c r="F200" s="34">
        <v>5.3</v>
      </c>
      <c r="G200" s="34">
        <v>5.3</v>
      </c>
      <c r="H200" s="34">
        <v>5.6</v>
      </c>
      <c r="I200" s="5">
        <v>8321</v>
      </c>
      <c r="J200" s="5">
        <f>df_mep[[#This Row],[volume_BA]]*df_mep[[#This Row],[open_BA]]</f>
        <v>37390413.5</v>
      </c>
      <c r="K200" s="5">
        <v>56</v>
      </c>
      <c r="L200" s="5">
        <f>df_mep[[#This Row],[volume_D_BA]]*df_mep[[#This Row],[open_D_BA]]</f>
        <v>296.8</v>
      </c>
      <c r="M200" s="3">
        <v>847.83018867924534</v>
      </c>
      <c r="N200" s="3">
        <v>874.52830188679252</v>
      </c>
      <c r="O200" s="3">
        <v>792.14285714285722</v>
      </c>
      <c r="P200" s="37">
        <f>MIN(1-df_mep[[#This Row],[MEP_compra_ARS]]/MEDIAN(N:N),100%)</f>
        <v>3.6569944684475275E-2</v>
      </c>
      <c r="Q200" s="38">
        <f>df_mep[[#This Row],[MEP_compra_USD]]/MEDIAN(O:O)-1</f>
        <v>1.9386594670578239E-2</v>
      </c>
      <c r="R20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0" s="38">
        <f>ABS(df_mep[[#This Row],[bid_BA]]-df_mep[[#This Row],[ask_BA]])/AVERAGE(df_mep[[#This Row],[bid_BA]:[ask_BA]])</f>
        <v>4.3876088634108697E-2</v>
      </c>
      <c r="T200" s="36">
        <f>ABS(df_mep[[#This Row],[bid_D_BA]]-df_mep[[#This Row],[ask_D_BA]])/AVERAGE(df_mep[[#This Row],[bid_D_BA]:[ask_D_BA]])</f>
        <v>5.5045871559633003E-2</v>
      </c>
    </row>
    <row r="201" spans="1:20" hidden="1" x14ac:dyDescent="0.35">
      <c r="A201" t="s">
        <v>289</v>
      </c>
      <c r="B201" t="s">
        <v>536</v>
      </c>
      <c r="C201" s="4">
        <v>19000</v>
      </c>
      <c r="D201" s="4">
        <v>17406</v>
      </c>
      <c r="E201" s="4">
        <v>18459</v>
      </c>
      <c r="F201" s="34">
        <v>0</v>
      </c>
      <c r="G201" s="34">
        <v>21.1</v>
      </c>
      <c r="H201" s="34">
        <v>24.2</v>
      </c>
      <c r="I201" s="5">
        <v>252</v>
      </c>
      <c r="J201" s="5">
        <f>df_mep[[#This Row],[volume_BA]]*df_mep[[#This Row],[open_BA]]</f>
        <v>4788000</v>
      </c>
      <c r="K201" s="5">
        <v>0</v>
      </c>
      <c r="L201" s="5">
        <f>df_mep[[#This Row],[volume_D_BA]]*df_mep[[#This Row],[open_D_BA]]</f>
        <v>0</v>
      </c>
      <c r="N201" s="3">
        <v>874.83412322274876</v>
      </c>
      <c r="O201" s="3">
        <v>719.25619834710744</v>
      </c>
      <c r="P201" s="37">
        <f>MIN(1-df_mep[[#This Row],[MEP_compra_ARS]]/MEDIAN(N:N),100%)</f>
        <v>3.6233034528473151E-2</v>
      </c>
      <c r="Q201" s="38">
        <f>df_mep[[#This Row],[MEP_compra_USD]]/MEDIAN(O:O)-1</f>
        <v>-7.4409217835645358E-2</v>
      </c>
      <c r="R20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1" s="38">
        <f>ABS(df_mep[[#This Row],[bid_BA]]-df_mep[[#This Row],[ask_BA]])/AVERAGE(df_mep[[#This Row],[bid_BA]:[ask_BA]])</f>
        <v>5.8720200752823089E-2</v>
      </c>
      <c r="T201" s="36">
        <f>ABS(df_mep[[#This Row],[bid_D_BA]]-df_mep[[#This Row],[ask_D_BA]])/AVERAGE(df_mep[[#This Row],[bid_D_BA]:[ask_D_BA]])</f>
        <v>0.13686534216335533</v>
      </c>
    </row>
    <row r="202" spans="1:20" hidden="1" x14ac:dyDescent="0.35">
      <c r="A202" t="s">
        <v>142</v>
      </c>
      <c r="B202" t="s">
        <v>143</v>
      </c>
      <c r="C202" s="4">
        <v>1031</v>
      </c>
      <c r="D202" s="4">
        <v>1006</v>
      </c>
      <c r="E202" s="4">
        <v>1025</v>
      </c>
      <c r="F202" s="34">
        <v>1.49</v>
      </c>
      <c r="G202" s="34">
        <v>1.17</v>
      </c>
      <c r="H202" s="34">
        <v>1.48</v>
      </c>
      <c r="I202" s="5">
        <v>6361</v>
      </c>
      <c r="J202" s="5">
        <f>df_mep[[#This Row],[volume_BA]]*df_mep[[#This Row],[open_BA]]</f>
        <v>6558191</v>
      </c>
      <c r="K202" s="5">
        <v>4</v>
      </c>
      <c r="L202" s="5">
        <f>df_mep[[#This Row],[volume_D_BA]]*df_mep[[#This Row],[open_D_BA]]</f>
        <v>5.96</v>
      </c>
      <c r="M202" s="3">
        <v>691.94630872483219</v>
      </c>
      <c r="N202" s="3">
        <v>876.0683760683761</v>
      </c>
      <c r="O202" s="3">
        <v>679.72972972972968</v>
      </c>
      <c r="P202" s="37">
        <f>MIN(1-df_mep[[#This Row],[MEP_compra_ARS]]/MEDIAN(N:N),100%)</f>
        <v>3.487331148146533E-2</v>
      </c>
      <c r="Q202" s="38">
        <f>df_mep[[#This Row],[MEP_compra_USD]]/MEDIAN(O:O)-1</f>
        <v>-0.12527473013547508</v>
      </c>
      <c r="R20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2" s="38">
        <f>ABS(df_mep[[#This Row],[bid_BA]]-df_mep[[#This Row],[ask_BA]])/AVERAGE(df_mep[[#This Row],[bid_BA]:[ask_BA]])</f>
        <v>1.8709995076317085E-2</v>
      </c>
      <c r="T202" s="36">
        <f>ABS(df_mep[[#This Row],[bid_D_BA]]-df_mep[[#This Row],[ask_D_BA]])/AVERAGE(df_mep[[#This Row],[bid_D_BA]:[ask_D_BA]])</f>
        <v>0.23396226415094346</v>
      </c>
    </row>
    <row r="203" spans="1:20" hidden="1" x14ac:dyDescent="0.35">
      <c r="A203" t="s">
        <v>174</v>
      </c>
      <c r="B203" t="s">
        <v>594</v>
      </c>
      <c r="C203" s="4">
        <v>6750</v>
      </c>
      <c r="D203" s="4">
        <v>6400.5</v>
      </c>
      <c r="E203" s="4">
        <v>6660</v>
      </c>
      <c r="F203" s="34">
        <v>7.6</v>
      </c>
      <c r="G203" s="34">
        <v>7.6</v>
      </c>
      <c r="H203" s="34">
        <v>8.1</v>
      </c>
      <c r="I203" s="5">
        <v>2468</v>
      </c>
      <c r="J203" s="5">
        <f>df_mep[[#This Row],[volume_BA]]*df_mep[[#This Row],[open_BA]]</f>
        <v>16659000</v>
      </c>
      <c r="K203" s="5">
        <v>63</v>
      </c>
      <c r="L203" s="5">
        <f>df_mep[[#This Row],[volume_D_BA]]*df_mep[[#This Row],[open_D_BA]]</f>
        <v>478.79999999999995</v>
      </c>
      <c r="M203" s="3">
        <v>888.1578947368422</v>
      </c>
      <c r="N203" s="3">
        <v>876.31578947368428</v>
      </c>
      <c r="O203" s="3">
        <v>790.18518518518522</v>
      </c>
      <c r="P203" s="37">
        <f>MIN(1-df_mep[[#This Row],[MEP_compra_ARS]]/MEDIAN(N:N),100%)</f>
        <v>3.460074681975267E-2</v>
      </c>
      <c r="Q203" s="38">
        <f>df_mep[[#This Row],[MEP_compra_USD]]/MEDIAN(O:O)-1</f>
        <v>1.6867321117306266E-2</v>
      </c>
      <c r="R20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3" s="38">
        <f>ABS(df_mep[[#This Row],[bid_BA]]-df_mep[[#This Row],[ask_BA]])/AVERAGE(df_mep[[#This Row],[bid_BA]:[ask_BA]])</f>
        <v>3.973814172504881E-2</v>
      </c>
      <c r="T203" s="36">
        <f>ABS(df_mep[[#This Row],[bid_D_BA]]-df_mep[[#This Row],[ask_D_BA]])/AVERAGE(df_mep[[#This Row],[bid_D_BA]:[ask_D_BA]])</f>
        <v>6.3694267515923567E-2</v>
      </c>
    </row>
    <row r="204" spans="1:20" hidden="1" x14ac:dyDescent="0.35">
      <c r="A204" t="s">
        <v>140</v>
      </c>
      <c r="B204" t="s">
        <v>518</v>
      </c>
      <c r="C204" s="4">
        <v>13700</v>
      </c>
      <c r="D204" s="4">
        <v>14050</v>
      </c>
      <c r="E204" s="4">
        <v>14200</v>
      </c>
      <c r="F204" s="34">
        <v>16.2</v>
      </c>
      <c r="G204" s="34">
        <v>16.2</v>
      </c>
      <c r="H204" s="34">
        <v>16.5</v>
      </c>
      <c r="I204" s="5">
        <v>877</v>
      </c>
      <c r="J204" s="5">
        <f>df_mep[[#This Row],[volume_BA]]*df_mep[[#This Row],[open_BA]]</f>
        <v>12014900</v>
      </c>
      <c r="K204" s="5">
        <v>2</v>
      </c>
      <c r="L204" s="5">
        <f>df_mep[[#This Row],[volume_D_BA]]*df_mep[[#This Row],[open_D_BA]]</f>
        <v>32.4</v>
      </c>
      <c r="M204" s="3">
        <v>845.6790123456791</v>
      </c>
      <c r="N204" s="3">
        <v>876.5432098765433</v>
      </c>
      <c r="O204" s="3">
        <v>851.5151515151515</v>
      </c>
      <c r="P204" s="37">
        <f>MIN(1-df_mep[[#This Row],[MEP_compra_ARS]]/MEDIAN(N:N),100%)</f>
        <v>3.4350207585249204E-2</v>
      </c>
      <c r="Q204" s="38">
        <f>df_mep[[#This Row],[MEP_compra_USD]]/MEDIAN(O:O)-1</f>
        <v>9.5791147753655714E-2</v>
      </c>
      <c r="R20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4" s="38">
        <f>ABS(df_mep[[#This Row],[bid_BA]]-df_mep[[#This Row],[ask_BA]])/AVERAGE(df_mep[[#This Row],[bid_BA]:[ask_BA]])</f>
        <v>1.0619469026548672E-2</v>
      </c>
      <c r="T204" s="36">
        <f>ABS(df_mep[[#This Row],[bid_D_BA]]-df_mep[[#This Row],[ask_D_BA]])/AVERAGE(df_mep[[#This Row],[bid_D_BA]:[ask_D_BA]])</f>
        <v>1.8348623853211052E-2</v>
      </c>
    </row>
    <row r="205" spans="1:20" hidden="1" x14ac:dyDescent="0.35">
      <c r="A205" t="s">
        <v>200</v>
      </c>
      <c r="B205" t="s">
        <v>201</v>
      </c>
      <c r="C205" s="4">
        <v>7864</v>
      </c>
      <c r="D205" s="4">
        <v>7010</v>
      </c>
      <c r="E205" s="4">
        <v>7890</v>
      </c>
      <c r="F205" s="34">
        <v>0</v>
      </c>
      <c r="G205" s="34">
        <v>9</v>
      </c>
      <c r="H205" s="34">
        <v>0</v>
      </c>
      <c r="I205" s="5">
        <v>127</v>
      </c>
      <c r="J205" s="5">
        <f>df_mep[[#This Row],[volume_BA]]*df_mep[[#This Row],[open_BA]]</f>
        <v>998728</v>
      </c>
      <c r="K205" s="5">
        <v>0</v>
      </c>
      <c r="L205" s="5">
        <f>df_mep[[#This Row],[volume_D_BA]]*df_mep[[#This Row],[open_D_BA]]</f>
        <v>0</v>
      </c>
      <c r="N205" s="3">
        <v>876.66666666666663</v>
      </c>
      <c r="P205" s="37">
        <f>MIN(1-df_mep[[#This Row],[MEP_compra_ARS]]/MEDIAN(N:N),100%)</f>
        <v>3.4214200572233233E-2</v>
      </c>
      <c r="Q205" s="38">
        <f>df_mep[[#This Row],[MEP_compra_USD]]/MEDIAN(O:O)-1</f>
        <v>-1</v>
      </c>
      <c r="R20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5" s="38">
        <f>ABS(df_mep[[#This Row],[bid_BA]]-df_mep[[#This Row],[ask_BA]])/AVERAGE(df_mep[[#This Row],[bid_BA]:[ask_BA]])</f>
        <v>0.11812080536912752</v>
      </c>
      <c r="T205" s="36">
        <f>ABS(df_mep[[#This Row],[bid_D_BA]]-df_mep[[#This Row],[ask_D_BA]])/AVERAGE(df_mep[[#This Row],[bid_D_BA]:[ask_D_BA]])</f>
        <v>2</v>
      </c>
    </row>
    <row r="206" spans="1:20" x14ac:dyDescent="0.35">
      <c r="A206" t="s">
        <v>164</v>
      </c>
      <c r="B206" t="s">
        <v>595</v>
      </c>
      <c r="C206" s="4">
        <v>13175</v>
      </c>
      <c r="D206" s="4">
        <v>12870</v>
      </c>
      <c r="E206" s="4">
        <v>13004</v>
      </c>
      <c r="F206" s="34">
        <v>15.4</v>
      </c>
      <c r="G206" s="34">
        <v>14</v>
      </c>
      <c r="H206" s="34">
        <v>20</v>
      </c>
      <c r="I206" s="5">
        <v>4126</v>
      </c>
      <c r="J206" s="5">
        <f>df_mep[[#This Row],[volume_BA]]*df_mep[[#This Row],[open_BA]]</f>
        <v>54360050</v>
      </c>
      <c r="K206" s="5">
        <v>230</v>
      </c>
      <c r="L206" s="5">
        <f>df_mep[[#This Row],[volume_D_BA]]*df_mep[[#This Row],[open_D_BA]]</f>
        <v>3542</v>
      </c>
      <c r="M206" s="3">
        <v>855.51948051948045</v>
      </c>
      <c r="N206" s="3">
        <v>928.85714285714289</v>
      </c>
      <c r="O206" s="3">
        <v>643.5</v>
      </c>
      <c r="P206" s="37">
        <f>MIN(1-df_mep[[#This Row],[MEP_compra_ARS]]/MEDIAN(N:N),100%)</f>
        <v>-2.3281792701685067E-2</v>
      </c>
      <c r="Q206" s="38">
        <f>df_mep[[#This Row],[MEP_compra_USD]]/MEDIAN(O:O)-1</f>
        <v>-0.17189776092089826</v>
      </c>
      <c r="R20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206" s="38">
        <f>ABS(df_mep[[#This Row],[bid_BA]]-df_mep[[#This Row],[ask_BA]])/AVERAGE(df_mep[[#This Row],[bid_BA]:[ask_BA]])</f>
        <v>1.035788822756435E-2</v>
      </c>
      <c r="T206" s="36">
        <f>ABS(df_mep[[#This Row],[bid_D_BA]]-df_mep[[#This Row],[ask_D_BA]])/AVERAGE(df_mep[[#This Row],[bid_D_BA]:[ask_D_BA]])</f>
        <v>0.35294117647058826</v>
      </c>
    </row>
    <row r="207" spans="1:20" hidden="1" x14ac:dyDescent="0.35">
      <c r="A207" t="s">
        <v>70</v>
      </c>
      <c r="B207" t="s">
        <v>487</v>
      </c>
      <c r="C207" s="4">
        <v>2070</v>
      </c>
      <c r="D207" s="4">
        <v>1933</v>
      </c>
      <c r="E207" s="4">
        <v>1934</v>
      </c>
      <c r="F207" s="34">
        <v>2.4</v>
      </c>
      <c r="G207" s="34">
        <v>2.2000000000000002</v>
      </c>
      <c r="H207" s="34">
        <v>2.33</v>
      </c>
      <c r="I207" s="5">
        <v>41421</v>
      </c>
      <c r="J207" s="5">
        <f>df_mep[[#This Row],[volume_BA]]*df_mep[[#This Row],[open_BA]]</f>
        <v>85741470</v>
      </c>
      <c r="K207" s="5">
        <v>353</v>
      </c>
      <c r="L207" s="5">
        <f>df_mep[[#This Row],[volume_D_BA]]*df_mep[[#This Row],[open_D_BA]]</f>
        <v>847.19999999999993</v>
      </c>
      <c r="M207" s="3">
        <v>862.5</v>
      </c>
      <c r="N207" s="3">
        <v>879.09090909090901</v>
      </c>
      <c r="O207" s="3">
        <v>829.61373390557935</v>
      </c>
      <c r="P207" s="37">
        <f>MIN(1-df_mep[[#This Row],[MEP_compra_ARS]]/MEDIAN(N:N),100%)</f>
        <v>3.1543517407552235E-2</v>
      </c>
      <c r="Q207" s="38">
        <f>df_mep[[#This Row],[MEP_compra_USD]]/MEDIAN(O:O)-1</f>
        <v>6.7606823027170693E-2</v>
      </c>
      <c r="R20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7" s="38">
        <f>ABS(df_mep[[#This Row],[bid_BA]]-df_mep[[#This Row],[ask_BA]])/AVERAGE(df_mep[[#This Row],[bid_BA]:[ask_BA]])</f>
        <v>5.1719679337988104E-4</v>
      </c>
      <c r="T207" s="36">
        <f>ABS(df_mep[[#This Row],[bid_D_BA]]-df_mep[[#This Row],[ask_D_BA]])/AVERAGE(df_mep[[#This Row],[bid_D_BA]:[ask_D_BA]])</f>
        <v>5.7395143487858673E-2</v>
      </c>
    </row>
    <row r="208" spans="1:20" hidden="1" x14ac:dyDescent="0.35">
      <c r="A208" t="s">
        <v>196</v>
      </c>
      <c r="B208" t="s">
        <v>203</v>
      </c>
      <c r="C208" s="4">
        <v>27500</v>
      </c>
      <c r="D208" s="4">
        <v>25874.5</v>
      </c>
      <c r="E208" s="4">
        <v>27166</v>
      </c>
      <c r="F208" s="34">
        <v>30.9</v>
      </c>
      <c r="G208" s="34">
        <v>30.9</v>
      </c>
      <c r="H208" s="34">
        <v>36.5</v>
      </c>
      <c r="I208" s="5">
        <v>2135</v>
      </c>
      <c r="J208" s="5">
        <f>df_mep[[#This Row],[volume_BA]]*df_mep[[#This Row],[open_BA]]</f>
        <v>58712500</v>
      </c>
      <c r="K208" s="5">
        <v>8</v>
      </c>
      <c r="L208" s="5">
        <f>df_mep[[#This Row],[volume_D_BA]]*df_mep[[#This Row],[open_D_BA]]</f>
        <v>247.2</v>
      </c>
      <c r="M208" s="3">
        <v>889.9676375404531</v>
      </c>
      <c r="N208" s="3">
        <v>879.15857605177996</v>
      </c>
      <c r="O208" s="3">
        <v>708.89041095890411</v>
      </c>
      <c r="P208" s="37">
        <f>MIN(1-df_mep[[#This Row],[MEP_compra_ARS]]/MEDIAN(N:N),100%)</f>
        <v>3.1468971639605936E-2</v>
      </c>
      <c r="Q208" s="38">
        <f>df_mep[[#This Row],[MEP_compra_USD]]/MEDIAN(O:O)-1</f>
        <v>-8.7748661108355774E-2</v>
      </c>
      <c r="R20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8" s="38">
        <f>ABS(df_mep[[#This Row],[bid_BA]]-df_mep[[#This Row],[ask_BA]])/AVERAGE(df_mep[[#This Row],[bid_BA]:[ask_BA]])</f>
        <v>4.8698635948002E-2</v>
      </c>
      <c r="T208" s="36">
        <f>ABS(df_mep[[#This Row],[bid_D_BA]]-df_mep[[#This Row],[ask_D_BA]])/AVERAGE(df_mep[[#This Row],[bid_D_BA]:[ask_D_BA]])</f>
        <v>0.16617210682492584</v>
      </c>
    </row>
    <row r="209" spans="1:20" x14ac:dyDescent="0.35">
      <c r="A209" t="s">
        <v>69</v>
      </c>
      <c r="B209" t="s">
        <v>88</v>
      </c>
      <c r="C209" s="4">
        <v>9600</v>
      </c>
      <c r="D209" s="4">
        <v>9283</v>
      </c>
      <c r="E209" s="4">
        <v>9390</v>
      </c>
      <c r="F209" s="34">
        <v>11.1</v>
      </c>
      <c r="G209" s="34">
        <v>10</v>
      </c>
      <c r="H209" s="34">
        <v>12.2</v>
      </c>
      <c r="I209" s="5">
        <v>17102</v>
      </c>
      <c r="J209" s="5">
        <f>df_mep[[#This Row],[volume_BA]]*df_mep[[#This Row],[open_BA]]</f>
        <v>164179200</v>
      </c>
      <c r="K209" s="5">
        <v>249</v>
      </c>
      <c r="L209" s="5">
        <f>df_mep[[#This Row],[volume_D_BA]]*df_mep[[#This Row],[open_D_BA]]</f>
        <v>2763.9</v>
      </c>
      <c r="M209" s="3">
        <v>864.8648648648649</v>
      </c>
      <c r="N209" s="3">
        <v>939</v>
      </c>
      <c r="O209" s="3">
        <v>760.90163934426232</v>
      </c>
      <c r="P209" s="37">
        <f>MIN(1-df_mep[[#This Row],[MEP_compra_ARS]]/MEDIAN(N:N),100%)</f>
        <v>-3.4455740299627058E-2</v>
      </c>
      <c r="Q209" s="38">
        <f>df_mep[[#This Row],[MEP_compra_USD]]/MEDIAN(O:O)-1</f>
        <v>-2.0816858958907947E-2</v>
      </c>
      <c r="R209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209" s="38">
        <f>ABS(df_mep[[#This Row],[bid_BA]]-df_mep[[#This Row],[ask_BA]])/AVERAGE(df_mep[[#This Row],[bid_BA]:[ask_BA]])</f>
        <v>1.1460397365179672E-2</v>
      </c>
      <c r="T209" s="36">
        <f>ABS(df_mep[[#This Row],[bid_D_BA]]-df_mep[[#This Row],[ask_D_BA]])/AVERAGE(df_mep[[#This Row],[bid_D_BA]:[ask_D_BA]])</f>
        <v>0.19819819819819814</v>
      </c>
    </row>
    <row r="210" spans="1:20" x14ac:dyDescent="0.35">
      <c r="A210" t="s">
        <v>34</v>
      </c>
      <c r="B210" t="s">
        <v>443</v>
      </c>
      <c r="C210" s="4">
        <v>6500</v>
      </c>
      <c r="D210" s="4">
        <v>5760</v>
      </c>
      <c r="E210" s="4">
        <v>6401</v>
      </c>
      <c r="F210" s="34">
        <v>7.65</v>
      </c>
      <c r="G210" s="34">
        <v>6.5</v>
      </c>
      <c r="H210" s="34">
        <v>7.78</v>
      </c>
      <c r="I210" s="5">
        <v>9943</v>
      </c>
      <c r="J210" s="5">
        <f>df_mep[[#This Row],[volume_BA]]*df_mep[[#This Row],[open_BA]]</f>
        <v>64629500</v>
      </c>
      <c r="K210" s="5">
        <v>269</v>
      </c>
      <c r="L210" s="5">
        <f>df_mep[[#This Row],[volume_D_BA]]*df_mep[[#This Row],[open_D_BA]]</f>
        <v>2057.85</v>
      </c>
      <c r="M210" s="3">
        <v>849.67320261437908</v>
      </c>
      <c r="N210" s="3">
        <v>984.76923076923072</v>
      </c>
      <c r="O210" s="3">
        <v>740.35989717223651</v>
      </c>
      <c r="P210" s="37">
        <f>MIN(1-df_mep[[#This Row],[MEP_compra_ARS]]/MEDIAN(N:N),100%)</f>
        <v>-8.487772485588807E-2</v>
      </c>
      <c r="Q210" s="38">
        <f>df_mep[[#This Row],[MEP_compra_USD]]/MEDIAN(O:O)-1</f>
        <v>-4.7251455209475379E-2</v>
      </c>
      <c r="R210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210" s="38">
        <f>ABS(df_mep[[#This Row],[bid_BA]]-df_mep[[#This Row],[ask_BA]])/AVERAGE(df_mep[[#This Row],[bid_BA]:[ask_BA]])</f>
        <v>0.10541896225639338</v>
      </c>
      <c r="T210" s="36">
        <f>ABS(df_mep[[#This Row],[bid_D_BA]]-df_mep[[#This Row],[ask_D_BA]])/AVERAGE(df_mep[[#This Row],[bid_D_BA]:[ask_D_BA]])</f>
        <v>0.17927170868347342</v>
      </c>
    </row>
    <row r="211" spans="1:20" hidden="1" x14ac:dyDescent="0.35">
      <c r="A211" t="s">
        <v>115</v>
      </c>
      <c r="B211" t="s">
        <v>116</v>
      </c>
      <c r="C211" s="4">
        <v>7800</v>
      </c>
      <c r="D211" s="4">
        <v>8671</v>
      </c>
      <c r="E211" s="4">
        <v>9100</v>
      </c>
      <c r="F211" s="34">
        <v>10</v>
      </c>
      <c r="G211" s="34">
        <v>10.3</v>
      </c>
      <c r="H211" s="34">
        <v>11</v>
      </c>
      <c r="I211" s="5">
        <v>841</v>
      </c>
      <c r="J211" s="5">
        <f>df_mep[[#This Row],[volume_BA]]*df_mep[[#This Row],[open_BA]]</f>
        <v>6559800</v>
      </c>
      <c r="K211" s="5">
        <v>12</v>
      </c>
      <c r="L211" s="5">
        <f>df_mep[[#This Row],[volume_D_BA]]*df_mep[[#This Row],[open_D_BA]]</f>
        <v>120</v>
      </c>
      <c r="M211" s="3">
        <v>780</v>
      </c>
      <c r="N211" s="3">
        <v>883.49514563106789</v>
      </c>
      <c r="O211" s="3">
        <v>788.27272727272725</v>
      </c>
      <c r="P211" s="37">
        <f>MIN(1-df_mep[[#This Row],[MEP_compra_ARS]]/MEDIAN(N:N),100%)</f>
        <v>2.6691560250358681E-2</v>
      </c>
      <c r="Q211" s="38">
        <f>df_mep[[#This Row],[MEP_compra_USD]]/MEDIAN(O:O)-1</f>
        <v>1.4406232260350427E-2</v>
      </c>
      <c r="R21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1" s="38">
        <f>ABS(df_mep[[#This Row],[bid_BA]]-df_mep[[#This Row],[ask_BA]])/AVERAGE(df_mep[[#This Row],[bid_BA]:[ask_BA]])</f>
        <v>4.8280907095830286E-2</v>
      </c>
      <c r="T211" s="36">
        <f>ABS(df_mep[[#This Row],[bid_D_BA]]-df_mep[[#This Row],[ask_D_BA]])/AVERAGE(df_mep[[#This Row],[bid_D_BA]:[ask_D_BA]])</f>
        <v>6.5727699530516367E-2</v>
      </c>
    </row>
    <row r="212" spans="1:20" x14ac:dyDescent="0.35">
      <c r="A212" t="s">
        <v>128</v>
      </c>
      <c r="B212" t="s">
        <v>450</v>
      </c>
      <c r="C212" s="4">
        <v>25935</v>
      </c>
      <c r="D212" s="4">
        <v>25258</v>
      </c>
      <c r="E212" s="4">
        <v>25612</v>
      </c>
      <c r="F212" s="34">
        <v>29.8</v>
      </c>
      <c r="G212" s="34">
        <v>23.9</v>
      </c>
      <c r="H212" s="34">
        <v>31</v>
      </c>
      <c r="I212" s="5">
        <v>21862</v>
      </c>
      <c r="J212" s="5">
        <f>df_mep[[#This Row],[volume_BA]]*df_mep[[#This Row],[open_BA]]</f>
        <v>566990970</v>
      </c>
      <c r="K212" s="5">
        <v>80</v>
      </c>
      <c r="L212" s="5">
        <f>df_mep[[#This Row],[volume_D_BA]]*df_mep[[#This Row],[open_D_BA]]</f>
        <v>2384</v>
      </c>
      <c r="M212" s="3">
        <v>870.30201342281873</v>
      </c>
      <c r="N212" s="3">
        <v>1071.6317991631799</v>
      </c>
      <c r="O212" s="3">
        <v>814.77419354838707</v>
      </c>
      <c r="P212" s="37">
        <f>MIN(1-df_mep[[#This Row],[MEP_compra_ARS]]/MEDIAN(N:N),100%)</f>
        <v>-0.18057046446429026</v>
      </c>
      <c r="Q212" s="38">
        <f>df_mep[[#This Row],[MEP_compra_USD]]/MEDIAN(O:O)-1</f>
        <v>4.8510231579314222E-2</v>
      </c>
      <c r="R21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212" s="38">
        <f>ABS(df_mep[[#This Row],[bid_BA]]-df_mep[[#This Row],[ask_BA]])/AVERAGE(df_mep[[#This Row],[bid_BA]:[ask_BA]])</f>
        <v>1.3917829762138786E-2</v>
      </c>
      <c r="T212" s="36">
        <f>ABS(df_mep[[#This Row],[bid_D_BA]]-df_mep[[#This Row],[ask_D_BA]])/AVERAGE(df_mep[[#This Row],[bid_D_BA]:[ask_D_BA]])</f>
        <v>0.25865209471766853</v>
      </c>
    </row>
    <row r="213" spans="1:20" x14ac:dyDescent="0.35">
      <c r="A213" t="s">
        <v>122</v>
      </c>
      <c r="B213" t="s">
        <v>421</v>
      </c>
      <c r="C213" s="4">
        <v>2040</v>
      </c>
      <c r="D213" s="4">
        <v>2020</v>
      </c>
      <c r="E213" s="4">
        <v>2150</v>
      </c>
      <c r="F213" s="34">
        <v>2.4</v>
      </c>
      <c r="G213" s="34">
        <v>1.72</v>
      </c>
      <c r="H213" s="34">
        <v>2.65</v>
      </c>
      <c r="I213" s="5">
        <v>232850</v>
      </c>
      <c r="J213" s="5">
        <f>df_mep[[#This Row],[volume_BA]]*df_mep[[#This Row],[open_BA]]</f>
        <v>475014000</v>
      </c>
      <c r="K213" s="5">
        <v>4027</v>
      </c>
      <c r="L213" s="5">
        <f>df_mep[[#This Row],[volume_D_BA]]*df_mep[[#This Row],[open_D_BA]]</f>
        <v>9664.7999999999993</v>
      </c>
      <c r="M213" s="3">
        <v>850</v>
      </c>
      <c r="N213" s="3">
        <v>1250</v>
      </c>
      <c r="O213" s="3">
        <v>762.2641509433962</v>
      </c>
      <c r="P213" s="37">
        <f>MIN(1-df_mep[[#This Row],[MEP_compra_ARS]]/MEDIAN(N:N),100%)</f>
        <v>-0.37707100678864092</v>
      </c>
      <c r="Q213" s="38">
        <f>df_mep[[#This Row],[MEP_compra_USD]]/MEDIAN(O:O)-1</f>
        <v>-1.9063480705583835E-2</v>
      </c>
      <c r="R213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213" s="38">
        <f>ABS(df_mep[[#This Row],[bid_BA]]-df_mep[[#This Row],[ask_BA]])/AVERAGE(df_mep[[#This Row],[bid_BA]:[ask_BA]])</f>
        <v>6.235011990407674E-2</v>
      </c>
      <c r="T213" s="36">
        <f>ABS(df_mep[[#This Row],[bid_D_BA]]-df_mep[[#This Row],[ask_D_BA]])/AVERAGE(df_mep[[#This Row],[bid_D_BA]:[ask_D_BA]])</f>
        <v>0.42562929061784893</v>
      </c>
    </row>
    <row r="214" spans="1:20" hidden="1" x14ac:dyDescent="0.35">
      <c r="A214" t="s">
        <v>157</v>
      </c>
      <c r="B214" t="s">
        <v>158</v>
      </c>
      <c r="C214" s="4">
        <v>5000</v>
      </c>
      <c r="D214" s="4">
        <v>4755</v>
      </c>
      <c r="E214" s="4">
        <v>4889.5</v>
      </c>
      <c r="F214" s="34">
        <v>6.33</v>
      </c>
      <c r="G214" s="34">
        <v>5.5</v>
      </c>
      <c r="H214" s="34">
        <v>6.7</v>
      </c>
      <c r="I214" s="5">
        <v>1244</v>
      </c>
      <c r="J214" s="5">
        <f>df_mep[[#This Row],[volume_BA]]*df_mep[[#This Row],[open_BA]]</f>
        <v>6220000</v>
      </c>
      <c r="K214" s="5">
        <v>1</v>
      </c>
      <c r="L214" s="5">
        <f>df_mep[[#This Row],[volume_D_BA]]*df_mep[[#This Row],[open_D_BA]]</f>
        <v>6.33</v>
      </c>
      <c r="M214" s="3">
        <v>789.88941548183254</v>
      </c>
      <c r="N214" s="3">
        <v>889</v>
      </c>
      <c r="O214" s="3">
        <v>709.70149253731347</v>
      </c>
      <c r="P214" s="37">
        <f>MIN(1-df_mep[[#This Row],[MEP_compra_ARS]]/MEDIAN(N:N),100%)</f>
        <v>2.0627099971918583E-2</v>
      </c>
      <c r="Q214" s="38">
        <f>df_mep[[#This Row],[MEP_compra_USD]]/MEDIAN(O:O)-1</f>
        <v>-8.6704902800420092E-2</v>
      </c>
      <c r="R21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4" s="38">
        <f>ABS(df_mep[[#This Row],[bid_BA]]-df_mep[[#This Row],[ask_BA]])/AVERAGE(df_mep[[#This Row],[bid_BA]:[ask_BA]])</f>
        <v>2.7891544403546062E-2</v>
      </c>
      <c r="T214" s="36">
        <f>ABS(df_mep[[#This Row],[bid_D_BA]]-df_mep[[#This Row],[ask_D_BA]])/AVERAGE(df_mep[[#This Row],[bid_D_BA]:[ask_D_BA]])</f>
        <v>0.19672131147540989</v>
      </c>
    </row>
    <row r="215" spans="1:20" hidden="1" x14ac:dyDescent="0.35">
      <c r="A215" t="s">
        <v>107</v>
      </c>
      <c r="B215" t="s">
        <v>372</v>
      </c>
      <c r="C215" s="4">
        <v>6590</v>
      </c>
      <c r="D215" s="4">
        <v>6499</v>
      </c>
      <c r="E215" s="4">
        <v>6499.5</v>
      </c>
      <c r="F215" s="34">
        <v>8.6</v>
      </c>
      <c r="G215" s="34">
        <v>7.28</v>
      </c>
      <c r="H215" s="34">
        <v>7.77</v>
      </c>
      <c r="I215" s="5">
        <v>392</v>
      </c>
      <c r="J215" s="5">
        <f>df_mep[[#This Row],[volume_BA]]*df_mep[[#This Row],[open_BA]]</f>
        <v>2583280</v>
      </c>
      <c r="K215" s="5">
        <v>1</v>
      </c>
      <c r="L215" s="5">
        <f>df_mep[[#This Row],[volume_D_BA]]*df_mep[[#This Row],[open_D_BA]]</f>
        <v>8.6</v>
      </c>
      <c r="M215" s="3">
        <v>766.27906976744191</v>
      </c>
      <c r="N215" s="3">
        <v>892.78846153846155</v>
      </c>
      <c r="O215" s="3">
        <v>836.42213642213642</v>
      </c>
      <c r="P215" s="37">
        <f>MIN(1-df_mep[[#This Row],[MEP_compra_ARS]]/MEDIAN(N:N),100%)</f>
        <v>1.6453515535959196E-2</v>
      </c>
      <c r="Q215" s="38">
        <f>df_mep[[#This Row],[MEP_compra_USD]]/MEDIAN(O:O)-1</f>
        <v>7.6368366723383208E-2</v>
      </c>
      <c r="R21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5" s="38">
        <f>ABS(df_mep[[#This Row],[bid_BA]]-df_mep[[#This Row],[ask_BA]])/AVERAGE(df_mep[[#This Row],[bid_BA]:[ask_BA]])</f>
        <v>7.6931953686963886E-5</v>
      </c>
      <c r="T215" s="36">
        <f>ABS(df_mep[[#This Row],[bid_D_BA]]-df_mep[[#This Row],[ask_D_BA]])/AVERAGE(df_mep[[#This Row],[bid_D_BA]:[ask_D_BA]])</f>
        <v>6.5116279069767344E-2</v>
      </c>
    </row>
    <row r="216" spans="1:20" hidden="1" x14ac:dyDescent="0.35">
      <c r="A216" t="s">
        <v>76</v>
      </c>
      <c r="B216" t="s">
        <v>385</v>
      </c>
      <c r="C216" s="4">
        <v>2470</v>
      </c>
      <c r="D216" s="4">
        <v>2472</v>
      </c>
      <c r="E216" s="4">
        <v>2500</v>
      </c>
      <c r="F216" s="34">
        <v>3.16</v>
      </c>
      <c r="G216" s="34">
        <v>2.8</v>
      </c>
      <c r="H216" s="34">
        <v>3</v>
      </c>
      <c r="I216" s="5">
        <v>14117</v>
      </c>
      <c r="J216" s="5">
        <f>df_mep[[#This Row],[volume_BA]]*df_mep[[#This Row],[open_BA]]</f>
        <v>34868990</v>
      </c>
      <c r="K216" s="5">
        <v>102</v>
      </c>
      <c r="L216" s="5">
        <f>df_mep[[#This Row],[volume_D_BA]]*df_mep[[#This Row],[open_D_BA]]</f>
        <v>322.32</v>
      </c>
      <c r="M216" s="3">
        <v>781.64556962025313</v>
      </c>
      <c r="N216" s="3">
        <v>892.85714285714289</v>
      </c>
      <c r="O216" s="3">
        <v>824</v>
      </c>
      <c r="P216" s="37">
        <f>MIN(1-df_mep[[#This Row],[MEP_compra_ARS]]/MEDIAN(N:N),100%)</f>
        <v>1.6377852293827933E-2</v>
      </c>
      <c r="Q216" s="38">
        <f>df_mep[[#This Row],[MEP_compra_USD]]/MEDIAN(O:O)-1</f>
        <v>6.0382665114498524E-2</v>
      </c>
      <c r="R21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6" s="38">
        <f>ABS(df_mep[[#This Row],[bid_BA]]-df_mep[[#This Row],[ask_BA]])/AVERAGE(df_mep[[#This Row],[bid_BA]:[ask_BA]])</f>
        <v>1.1263073209975865E-2</v>
      </c>
      <c r="T216" s="36">
        <f>ABS(df_mep[[#This Row],[bid_D_BA]]-df_mep[[#This Row],[ask_D_BA]])/AVERAGE(df_mep[[#This Row],[bid_D_BA]:[ask_D_BA]])</f>
        <v>6.8965517241379379E-2</v>
      </c>
    </row>
    <row r="217" spans="1:20" hidden="1" x14ac:dyDescent="0.35">
      <c r="A217" t="s">
        <v>36</v>
      </c>
      <c r="B217" t="s">
        <v>580</v>
      </c>
      <c r="C217" s="4">
        <v>7026</v>
      </c>
      <c r="D217" s="4">
        <v>6861</v>
      </c>
      <c r="E217" s="4">
        <v>7050</v>
      </c>
      <c r="F217" s="34">
        <v>8.3000000000000007</v>
      </c>
      <c r="G217" s="34">
        <v>7.89</v>
      </c>
      <c r="H217" s="34">
        <v>8.2899999999999991</v>
      </c>
      <c r="I217" s="5">
        <v>552</v>
      </c>
      <c r="J217" s="5">
        <f>df_mep[[#This Row],[volume_BA]]*df_mep[[#This Row],[open_BA]]</f>
        <v>3878352</v>
      </c>
      <c r="K217" s="5">
        <v>5</v>
      </c>
      <c r="L217" s="5">
        <f>df_mep[[#This Row],[volume_D_BA]]*df_mep[[#This Row],[open_D_BA]]</f>
        <v>41.5</v>
      </c>
      <c r="M217" s="3">
        <v>846.50602409638543</v>
      </c>
      <c r="N217" s="3">
        <v>893.53612167300389</v>
      </c>
      <c r="O217" s="3">
        <v>827.6236429433053</v>
      </c>
      <c r="P217" s="37">
        <f>MIN(1-df_mep[[#This Row],[MEP_compra_ARS]]/MEDIAN(N:N),100%)</f>
        <v>1.5629850660591194E-2</v>
      </c>
      <c r="Q217" s="38">
        <f>df_mep[[#This Row],[MEP_compra_USD]]/MEDIAN(O:O)-1</f>
        <v>6.5045830359213852E-2</v>
      </c>
      <c r="R21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7" s="38">
        <f>ABS(df_mep[[#This Row],[bid_BA]]-df_mep[[#This Row],[ask_BA]])/AVERAGE(df_mep[[#This Row],[bid_BA]:[ask_BA]])</f>
        <v>2.7172740996333836E-2</v>
      </c>
      <c r="T217" s="36">
        <f>ABS(df_mep[[#This Row],[bid_D_BA]]-df_mep[[#This Row],[ask_D_BA]])/AVERAGE(df_mep[[#This Row],[bid_D_BA]:[ask_D_BA]])</f>
        <v>4.9443757725587081E-2</v>
      </c>
    </row>
    <row r="218" spans="1:20" hidden="1" x14ac:dyDescent="0.35">
      <c r="A218" t="s">
        <v>181</v>
      </c>
      <c r="B218" t="s">
        <v>423</v>
      </c>
      <c r="C218" s="4">
        <v>21450</v>
      </c>
      <c r="D218" s="4">
        <v>18300</v>
      </c>
      <c r="E218" s="4">
        <v>21525</v>
      </c>
      <c r="F218" s="34">
        <v>0</v>
      </c>
      <c r="G218" s="34">
        <v>24.05</v>
      </c>
      <c r="H218" s="34">
        <v>30.1</v>
      </c>
      <c r="I218" s="5">
        <v>1105</v>
      </c>
      <c r="J218" s="5">
        <f>df_mep[[#This Row],[volume_BA]]*df_mep[[#This Row],[open_BA]]</f>
        <v>23702250</v>
      </c>
      <c r="K218" s="5">
        <v>0</v>
      </c>
      <c r="L218" s="5">
        <f>df_mep[[#This Row],[volume_D_BA]]*df_mep[[#This Row],[open_D_BA]]</f>
        <v>0</v>
      </c>
      <c r="N218" s="3">
        <v>895.01039501039497</v>
      </c>
      <c r="O218" s="3">
        <v>607.97342192691031</v>
      </c>
      <c r="P218" s="37">
        <f>MIN(1-df_mep[[#This Row],[MEP_compra_ARS]]/MEDIAN(N:N),100%)</f>
        <v>1.4005707405388979E-2</v>
      </c>
      <c r="Q218" s="38">
        <f>df_mep[[#This Row],[MEP_compra_USD]]/MEDIAN(O:O)-1</f>
        <v>-0.21761592541063268</v>
      </c>
      <c r="R21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8" s="38">
        <f>ABS(df_mep[[#This Row],[bid_BA]]-df_mep[[#This Row],[ask_BA]])/AVERAGE(df_mep[[#This Row],[bid_BA]:[ask_BA]])</f>
        <v>0.16195856873822975</v>
      </c>
      <c r="T218" s="36">
        <f>ABS(df_mep[[#This Row],[bid_D_BA]]-df_mep[[#This Row],[ask_D_BA]])/AVERAGE(df_mep[[#This Row],[bid_D_BA]:[ask_D_BA]])</f>
        <v>0.2234533702677747</v>
      </c>
    </row>
    <row r="219" spans="1:20" hidden="1" x14ac:dyDescent="0.35">
      <c r="A219" t="s">
        <v>188</v>
      </c>
      <c r="B219" t="s">
        <v>189</v>
      </c>
      <c r="C219" s="4">
        <v>12856.5</v>
      </c>
      <c r="D219" s="4">
        <v>12613</v>
      </c>
      <c r="E219" s="4">
        <v>12622</v>
      </c>
      <c r="F219" s="34">
        <v>14.35</v>
      </c>
      <c r="G219" s="34">
        <v>14.1</v>
      </c>
      <c r="H219" s="34">
        <v>14.25</v>
      </c>
      <c r="I219" s="5">
        <v>121</v>
      </c>
      <c r="J219" s="5">
        <f>df_mep[[#This Row],[volume_BA]]*df_mep[[#This Row],[open_BA]]</f>
        <v>1555636.5</v>
      </c>
      <c r="K219" s="5">
        <v>10</v>
      </c>
      <c r="L219" s="5">
        <f>df_mep[[#This Row],[volume_D_BA]]*df_mep[[#This Row],[open_D_BA]]</f>
        <v>143.5</v>
      </c>
      <c r="M219" s="3">
        <v>895.92334494773525</v>
      </c>
      <c r="N219" s="3">
        <v>895.17730496453908</v>
      </c>
      <c r="O219" s="3">
        <v>885.12280701754389</v>
      </c>
      <c r="P219" s="37">
        <f>MIN(1-df_mep[[#This Row],[MEP_compra_ARS]]/MEDIAN(N:N),100%)</f>
        <v>1.3821829918511996E-2</v>
      </c>
      <c r="Q219" s="38">
        <f>df_mep[[#This Row],[MEP_compra_USD]]/MEDIAN(O:O)-1</f>
        <v>0.13903990419768109</v>
      </c>
      <c r="R21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9" s="38">
        <f>ABS(df_mep[[#This Row],[bid_BA]]-df_mep[[#This Row],[ask_BA]])/AVERAGE(df_mep[[#This Row],[bid_BA]:[ask_BA]])</f>
        <v>7.1329502674856351E-4</v>
      </c>
      <c r="T219" s="36">
        <f>ABS(df_mep[[#This Row],[bid_D_BA]]-df_mep[[#This Row],[ask_D_BA]])/AVERAGE(df_mep[[#This Row],[bid_D_BA]:[ask_D_BA]])</f>
        <v>1.0582010582010606E-2</v>
      </c>
    </row>
    <row r="220" spans="1:20" hidden="1" x14ac:dyDescent="0.35">
      <c r="A220" t="s">
        <v>194</v>
      </c>
      <c r="B220" t="s">
        <v>527</v>
      </c>
      <c r="C220" s="4">
        <v>1179.5</v>
      </c>
      <c r="D220" s="4">
        <v>1140</v>
      </c>
      <c r="E220" s="4">
        <v>1168</v>
      </c>
      <c r="F220" s="34">
        <v>0</v>
      </c>
      <c r="G220" s="34">
        <v>1.3</v>
      </c>
      <c r="H220" s="34">
        <v>1.55</v>
      </c>
      <c r="I220" s="5">
        <v>6294</v>
      </c>
      <c r="J220" s="5">
        <f>df_mep[[#This Row],[volume_BA]]*df_mep[[#This Row],[open_BA]]</f>
        <v>7423773</v>
      </c>
      <c r="K220" s="5">
        <v>0</v>
      </c>
      <c r="L220" s="5">
        <f>df_mep[[#This Row],[volume_D_BA]]*df_mep[[#This Row],[open_D_BA]]</f>
        <v>0</v>
      </c>
      <c r="N220" s="3">
        <v>898.46153846153845</v>
      </c>
      <c r="O220" s="3">
        <v>735.48387096774195</v>
      </c>
      <c r="P220" s="37">
        <f>MIN(1-df_mep[[#This Row],[MEP_compra_ARS]]/MEDIAN(N:N),100%)</f>
        <v>1.0203731735918375E-2</v>
      </c>
      <c r="Q220" s="38">
        <f>df_mep[[#This Row],[MEP_compra_USD]]/MEDIAN(O:O)-1</f>
        <v>-5.3526277614681761E-2</v>
      </c>
      <c r="R22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0" s="38">
        <f>ABS(df_mep[[#This Row],[bid_BA]]-df_mep[[#This Row],[ask_BA]])/AVERAGE(df_mep[[#This Row],[bid_BA]:[ask_BA]])</f>
        <v>2.4263431542461005E-2</v>
      </c>
      <c r="T220" s="36">
        <f>ABS(df_mep[[#This Row],[bid_D_BA]]-df_mep[[#This Row],[ask_D_BA]])/AVERAGE(df_mep[[#This Row],[bid_D_BA]:[ask_D_BA]])</f>
        <v>0.17543859649122806</v>
      </c>
    </row>
    <row r="221" spans="1:20" hidden="1" x14ac:dyDescent="0.35">
      <c r="A221" t="s">
        <v>65</v>
      </c>
      <c r="B221" t="s">
        <v>330</v>
      </c>
      <c r="C221" s="4">
        <v>5800</v>
      </c>
      <c r="D221" s="4">
        <v>6200</v>
      </c>
      <c r="E221" s="4">
        <v>6294</v>
      </c>
      <c r="F221" s="34">
        <v>7</v>
      </c>
      <c r="G221" s="34">
        <v>7</v>
      </c>
      <c r="H221" s="34">
        <v>7.4</v>
      </c>
      <c r="I221" s="5">
        <v>13635</v>
      </c>
      <c r="J221" s="5">
        <f>df_mep[[#This Row],[volume_BA]]*df_mep[[#This Row],[open_BA]]</f>
        <v>79083000</v>
      </c>
      <c r="K221" s="5">
        <v>68</v>
      </c>
      <c r="L221" s="5">
        <f>df_mep[[#This Row],[volume_D_BA]]*df_mep[[#This Row],[open_D_BA]]</f>
        <v>476</v>
      </c>
      <c r="M221" s="3">
        <v>828.57142857142856</v>
      </c>
      <c r="N221" s="3">
        <v>899.14285714285711</v>
      </c>
      <c r="O221" s="3">
        <v>837.83783783783781</v>
      </c>
      <c r="P221" s="37">
        <f>MIN(1-df_mep[[#This Row],[MEP_compra_ARS]]/MEDIAN(N:N),100%)</f>
        <v>9.4531523739764811E-3</v>
      </c>
      <c r="Q221" s="38">
        <f>df_mep[[#This Row],[MEP_compra_USD]]/MEDIAN(O:O)-1</f>
        <v>7.8190193471183944E-2</v>
      </c>
      <c r="R22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1" s="38">
        <f>ABS(df_mep[[#This Row],[bid_BA]]-df_mep[[#This Row],[ask_BA]])/AVERAGE(df_mep[[#This Row],[bid_BA]:[ask_BA]])</f>
        <v>1.5047222666880102E-2</v>
      </c>
      <c r="T221" s="36">
        <f>ABS(df_mep[[#This Row],[bid_D_BA]]-df_mep[[#This Row],[ask_D_BA]])/AVERAGE(df_mep[[#This Row],[bid_D_BA]:[ask_D_BA]])</f>
        <v>5.5555555555555601E-2</v>
      </c>
    </row>
    <row r="222" spans="1:20" hidden="1" x14ac:dyDescent="0.35">
      <c r="A222" t="s">
        <v>104</v>
      </c>
      <c r="B222" t="s">
        <v>369</v>
      </c>
      <c r="C222" s="4">
        <v>18800</v>
      </c>
      <c r="D222" s="4">
        <v>18600</v>
      </c>
      <c r="E222" s="4">
        <v>18990</v>
      </c>
      <c r="F222" s="34">
        <v>23.8</v>
      </c>
      <c r="G222" s="34">
        <v>21.05</v>
      </c>
      <c r="H222" s="34">
        <v>22.95</v>
      </c>
      <c r="I222" s="5">
        <v>1602</v>
      </c>
      <c r="J222" s="5">
        <f>df_mep[[#This Row],[volume_BA]]*df_mep[[#This Row],[open_BA]]</f>
        <v>30117600</v>
      </c>
      <c r="K222" s="5">
        <v>9</v>
      </c>
      <c r="L222" s="5">
        <f>df_mep[[#This Row],[volume_D_BA]]*df_mep[[#This Row],[open_D_BA]]</f>
        <v>214.20000000000002</v>
      </c>
      <c r="M222" s="3">
        <v>789.9159663865546</v>
      </c>
      <c r="N222" s="3">
        <v>902.13776722090256</v>
      </c>
      <c r="O222" s="3">
        <v>810.45751633986936</v>
      </c>
      <c r="P222" s="37">
        <f>MIN(1-df_mep[[#This Row],[MEP_compra_ARS]]/MEDIAN(N:N),100%)</f>
        <v>6.153789304844115E-3</v>
      </c>
      <c r="Q222" s="38">
        <f>df_mep[[#This Row],[MEP_compra_USD]]/MEDIAN(O:O)-1</f>
        <v>4.2955219828334945E-2</v>
      </c>
      <c r="R22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2" s="38">
        <f>ABS(df_mep[[#This Row],[bid_BA]]-df_mep[[#This Row],[ask_BA]])/AVERAGE(df_mep[[#This Row],[bid_BA]:[ask_BA]])</f>
        <v>2.0750199521149242E-2</v>
      </c>
      <c r="T222" s="36">
        <f>ABS(df_mep[[#This Row],[bid_D_BA]]-df_mep[[#This Row],[ask_D_BA]])/AVERAGE(df_mep[[#This Row],[bid_D_BA]:[ask_D_BA]])</f>
        <v>8.6363636363636295E-2</v>
      </c>
    </row>
    <row r="223" spans="1:20" hidden="1" x14ac:dyDescent="0.35">
      <c r="A223" t="s">
        <v>165</v>
      </c>
      <c r="B223" t="s">
        <v>599</v>
      </c>
      <c r="C223" s="4">
        <v>15296</v>
      </c>
      <c r="D223" s="4">
        <v>14700</v>
      </c>
      <c r="E223" s="4">
        <v>14940</v>
      </c>
      <c r="F223" s="34">
        <v>17.45</v>
      </c>
      <c r="G223" s="34">
        <v>16.5</v>
      </c>
      <c r="H223" s="34">
        <v>17.45</v>
      </c>
      <c r="I223" s="5">
        <v>4465</v>
      </c>
      <c r="J223" s="5">
        <f>df_mep[[#This Row],[volume_BA]]*df_mep[[#This Row],[open_BA]]</f>
        <v>68296640</v>
      </c>
      <c r="K223" s="5">
        <v>38</v>
      </c>
      <c r="L223" s="5">
        <f>df_mep[[#This Row],[volume_D_BA]]*df_mep[[#This Row],[open_D_BA]]</f>
        <v>663.1</v>
      </c>
      <c r="M223" s="3">
        <v>876.56160458452723</v>
      </c>
      <c r="N223" s="3">
        <v>905.4545454545455</v>
      </c>
      <c r="O223" s="3">
        <v>842.40687679083101</v>
      </c>
      <c r="P223" s="37">
        <f>MIN(1-df_mep[[#This Row],[MEP_compra_ARS]]/MEDIAN(N:N),100%)</f>
        <v>2.4998379916462143E-3</v>
      </c>
      <c r="Q223" s="38">
        <f>df_mep[[#This Row],[MEP_compra_USD]]/MEDIAN(O:O)-1</f>
        <v>8.4069962526993169E-2</v>
      </c>
      <c r="R22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3" s="38">
        <f>ABS(df_mep[[#This Row],[bid_BA]]-df_mep[[#This Row],[ask_BA]])/AVERAGE(df_mep[[#This Row],[bid_BA]:[ask_BA]])</f>
        <v>1.6194331983805668E-2</v>
      </c>
      <c r="T223" s="36">
        <f>ABS(df_mep[[#This Row],[bid_D_BA]]-df_mep[[#This Row],[ask_D_BA]])/AVERAGE(df_mep[[#This Row],[bid_D_BA]:[ask_D_BA]])</f>
        <v>5.5964653902798187E-2</v>
      </c>
    </row>
    <row r="224" spans="1:20" hidden="1" x14ac:dyDescent="0.35">
      <c r="A224" t="s">
        <v>150</v>
      </c>
      <c r="B224" t="s">
        <v>549</v>
      </c>
      <c r="C224" s="4">
        <v>31606.5</v>
      </c>
      <c r="D224" s="4">
        <v>31900</v>
      </c>
      <c r="E224" s="4">
        <v>34250</v>
      </c>
      <c r="F224" s="34">
        <v>37.9</v>
      </c>
      <c r="G224" s="34">
        <v>36.9</v>
      </c>
      <c r="H224" s="34">
        <v>41</v>
      </c>
      <c r="I224" s="5">
        <v>276</v>
      </c>
      <c r="J224" s="5">
        <f>df_mep[[#This Row],[volume_BA]]*df_mep[[#This Row],[open_BA]]</f>
        <v>8723394</v>
      </c>
      <c r="K224" s="5">
        <v>51</v>
      </c>
      <c r="L224" s="5">
        <f>df_mep[[#This Row],[volume_D_BA]]*df_mep[[#This Row],[open_D_BA]]</f>
        <v>1932.8999999999999</v>
      </c>
      <c r="M224" s="3">
        <v>833.94459102902374</v>
      </c>
      <c r="N224" s="3">
        <v>928.18428184281845</v>
      </c>
      <c r="O224" s="3">
        <v>778.04878048780483</v>
      </c>
      <c r="P224" s="37">
        <f>MIN(1-df_mep[[#This Row],[MEP_compra_ARS]]/MEDIAN(N:N),100%)</f>
        <v>-2.2540530786145263E-2</v>
      </c>
      <c r="Q224" s="38">
        <f>df_mep[[#This Row],[MEP_compra_USD]]/MEDIAN(O:O)-1</f>
        <v>1.2493197120679866E-3</v>
      </c>
      <c r="R22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4" s="38">
        <f>ABS(df_mep[[#This Row],[bid_BA]]-df_mep[[#This Row],[ask_BA]])/AVERAGE(df_mep[[#This Row],[bid_BA]:[ask_BA]])</f>
        <v>7.1050642479213902E-2</v>
      </c>
      <c r="T224" s="36">
        <f>ABS(df_mep[[#This Row],[bid_D_BA]]-df_mep[[#This Row],[ask_D_BA]])/AVERAGE(df_mep[[#This Row],[bid_D_BA]:[ask_D_BA]])</f>
        <v>0.10526315789473686</v>
      </c>
    </row>
    <row r="225" spans="1:20" hidden="1" x14ac:dyDescent="0.35">
      <c r="A225" t="s">
        <v>117</v>
      </c>
      <c r="B225" t="s">
        <v>398</v>
      </c>
      <c r="C225" s="4">
        <v>20000</v>
      </c>
      <c r="D225" s="4">
        <v>18211</v>
      </c>
      <c r="E225" s="4">
        <v>19120.5</v>
      </c>
      <c r="F225" s="34">
        <v>22</v>
      </c>
      <c r="G225" s="34">
        <v>21.1</v>
      </c>
      <c r="H225" s="34">
        <v>26.9</v>
      </c>
      <c r="I225" s="5">
        <v>37</v>
      </c>
      <c r="J225" s="5">
        <f>df_mep[[#This Row],[volume_BA]]*df_mep[[#This Row],[open_BA]]</f>
        <v>740000</v>
      </c>
      <c r="K225" s="5">
        <v>26</v>
      </c>
      <c r="L225" s="5">
        <f>df_mep[[#This Row],[volume_D_BA]]*df_mep[[#This Row],[open_D_BA]]</f>
        <v>572</v>
      </c>
      <c r="M225" s="3">
        <v>909.09090909090912</v>
      </c>
      <c r="N225" s="3">
        <v>906.18483412322269</v>
      </c>
      <c r="O225" s="3">
        <v>676.98884758364318</v>
      </c>
      <c r="P225" s="37">
        <f>MIN(1-df_mep[[#This Row],[MEP_compra_ARS]]/MEDIAN(N:N),100%)</f>
        <v>1.6953105098689303E-3</v>
      </c>
      <c r="Q225" s="38">
        <f>df_mep[[#This Row],[MEP_compra_USD]]/MEDIAN(O:O)-1</f>
        <v>-0.12880189508065942</v>
      </c>
      <c r="R22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5" s="38">
        <f>ABS(df_mep[[#This Row],[bid_BA]]-df_mep[[#This Row],[ask_BA]])/AVERAGE(df_mep[[#This Row],[bid_BA]:[ask_BA]])</f>
        <v>4.8725607061061035E-2</v>
      </c>
      <c r="T225" s="36">
        <f>ABS(df_mep[[#This Row],[bid_D_BA]]-df_mep[[#This Row],[ask_D_BA]])/AVERAGE(df_mep[[#This Row],[bid_D_BA]:[ask_D_BA]])</f>
        <v>0.24166666666666656</v>
      </c>
    </row>
    <row r="226" spans="1:20" hidden="1" x14ac:dyDescent="0.35">
      <c r="A226" t="s">
        <v>173</v>
      </c>
      <c r="B226" t="s">
        <v>396</v>
      </c>
      <c r="C226" s="4">
        <v>1733.5</v>
      </c>
      <c r="D226" s="4">
        <v>1660</v>
      </c>
      <c r="E226" s="4">
        <v>1695</v>
      </c>
      <c r="F226" s="34">
        <v>0</v>
      </c>
      <c r="G226" s="34">
        <v>1.87</v>
      </c>
      <c r="H226" s="34">
        <v>2.8</v>
      </c>
      <c r="I226" s="5">
        <v>220</v>
      </c>
      <c r="J226" s="5">
        <f>df_mep[[#This Row],[volume_BA]]*df_mep[[#This Row],[open_BA]]</f>
        <v>381370</v>
      </c>
      <c r="K226" s="5">
        <v>0</v>
      </c>
      <c r="L226" s="5">
        <f>df_mep[[#This Row],[volume_D_BA]]*df_mep[[#This Row],[open_D_BA]]</f>
        <v>0</v>
      </c>
      <c r="N226" s="3">
        <v>906.4171122994652</v>
      </c>
      <c r="O226" s="3">
        <v>592.85714285714289</v>
      </c>
      <c r="P226" s="37">
        <f>MIN(1-df_mep[[#This Row],[MEP_compra_ARS]]/MEDIAN(N:N),100%)</f>
        <v>1.4394196762582689E-3</v>
      </c>
      <c r="Q226" s="38">
        <f>df_mep[[#This Row],[MEP_compra_USD]]/MEDIAN(O:O)-1</f>
        <v>-0.23706864420506779</v>
      </c>
      <c r="R22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6" s="38">
        <f>ABS(df_mep[[#This Row],[bid_BA]]-df_mep[[#This Row],[ask_BA]])/AVERAGE(df_mep[[#This Row],[bid_BA]:[ask_BA]])</f>
        <v>2.0864381520119227E-2</v>
      </c>
      <c r="T226" s="36">
        <f>ABS(df_mep[[#This Row],[bid_D_BA]]-df_mep[[#This Row],[ask_D_BA]])/AVERAGE(df_mep[[#This Row],[bid_D_BA]:[ask_D_BA]])</f>
        <v>0.39828693790149883</v>
      </c>
    </row>
    <row r="227" spans="1:20" hidden="1" x14ac:dyDescent="0.35">
      <c r="A227" t="s">
        <v>152</v>
      </c>
      <c r="B227" t="s">
        <v>562</v>
      </c>
      <c r="C227" s="4">
        <v>29148.5</v>
      </c>
      <c r="D227" s="4">
        <v>29000</v>
      </c>
      <c r="E227" s="4">
        <v>29998</v>
      </c>
      <c r="F227" s="34">
        <v>0</v>
      </c>
      <c r="G227" s="34">
        <v>33</v>
      </c>
      <c r="H227" s="34">
        <v>0</v>
      </c>
      <c r="I227" s="5">
        <v>117</v>
      </c>
      <c r="J227" s="5">
        <f>df_mep[[#This Row],[volume_BA]]*df_mep[[#This Row],[open_BA]]</f>
        <v>3410374.5</v>
      </c>
      <c r="K227" s="5">
        <v>0</v>
      </c>
      <c r="L227" s="5">
        <f>df_mep[[#This Row],[volume_D_BA]]*df_mep[[#This Row],[open_D_BA]]</f>
        <v>0</v>
      </c>
      <c r="N227" s="3">
        <v>909.030303030303</v>
      </c>
      <c r="P227" s="37">
        <f>MIN(1-df_mep[[#This Row],[MEP_compra_ARS]]/MEDIAN(N:N),100%)</f>
        <v>-1.4394196762581579E-3</v>
      </c>
      <c r="Q227" s="38">
        <f>df_mep[[#This Row],[MEP_compra_USD]]/MEDIAN(O:O)-1</f>
        <v>-1</v>
      </c>
      <c r="R22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7" s="38">
        <f>ABS(df_mep[[#This Row],[bid_BA]]-df_mep[[#This Row],[ask_BA]])/AVERAGE(df_mep[[#This Row],[bid_BA]:[ask_BA]])</f>
        <v>3.3831655310349505E-2</v>
      </c>
      <c r="T227" s="36">
        <f>ABS(df_mep[[#This Row],[bid_D_BA]]-df_mep[[#This Row],[ask_D_BA]])/AVERAGE(df_mep[[#This Row],[bid_D_BA]:[ask_D_BA]])</f>
        <v>2</v>
      </c>
    </row>
    <row r="228" spans="1:20" hidden="1" x14ac:dyDescent="0.35">
      <c r="A228" t="s">
        <v>101</v>
      </c>
      <c r="B228" t="s">
        <v>356</v>
      </c>
      <c r="C228" s="4">
        <v>28300</v>
      </c>
      <c r="D228" s="4">
        <v>28000</v>
      </c>
      <c r="E228" s="4">
        <v>28240</v>
      </c>
      <c r="F228" s="34">
        <v>0</v>
      </c>
      <c r="G228" s="34">
        <v>31.05</v>
      </c>
      <c r="H228" s="34">
        <v>39.5</v>
      </c>
      <c r="I228" s="5">
        <v>1912</v>
      </c>
      <c r="J228" s="5">
        <f>df_mep[[#This Row],[volume_BA]]*df_mep[[#This Row],[open_BA]]</f>
        <v>54109600</v>
      </c>
      <c r="K228" s="5">
        <v>0</v>
      </c>
      <c r="L228" s="5">
        <f>df_mep[[#This Row],[volume_D_BA]]*df_mep[[#This Row],[open_D_BA]]</f>
        <v>0</v>
      </c>
      <c r="N228" s="3">
        <v>909.50080515297907</v>
      </c>
      <c r="O228" s="3">
        <v>708.86075949367091</v>
      </c>
      <c r="P228" s="37">
        <f>MIN(1-df_mep[[#This Row],[MEP_compra_ARS]]/MEDIAN(N:N),100%)</f>
        <v>-1.957751541673991E-3</v>
      </c>
      <c r="Q228" s="38">
        <f>df_mep[[#This Row],[MEP_compra_USD]]/MEDIAN(O:O)-1</f>
        <v>-8.7786818753657347E-2</v>
      </c>
      <c r="R22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8" s="38">
        <f>ABS(df_mep[[#This Row],[bid_BA]]-df_mep[[#This Row],[ask_BA]])/AVERAGE(df_mep[[#This Row],[bid_BA]:[ask_BA]])</f>
        <v>8.5348506401137988E-3</v>
      </c>
      <c r="T228" s="36">
        <f>ABS(df_mep[[#This Row],[bid_D_BA]]-df_mep[[#This Row],[ask_D_BA]])/AVERAGE(df_mep[[#This Row],[bid_D_BA]:[ask_D_BA]])</f>
        <v>0.23954642097802975</v>
      </c>
    </row>
    <row r="229" spans="1:20" hidden="1" x14ac:dyDescent="0.35">
      <c r="A229" t="s">
        <v>29</v>
      </c>
      <c r="B229" t="s">
        <v>570</v>
      </c>
      <c r="C229" s="4">
        <v>12000</v>
      </c>
      <c r="D229" s="4">
        <v>11420</v>
      </c>
      <c r="E229" s="4">
        <v>11619.5</v>
      </c>
      <c r="F229" s="34">
        <v>14.4</v>
      </c>
      <c r="G229" s="34">
        <v>13.45</v>
      </c>
      <c r="H229" s="34">
        <v>14.4</v>
      </c>
      <c r="I229" s="5">
        <v>35447</v>
      </c>
      <c r="J229" s="5">
        <f>df_mep[[#This Row],[volume_BA]]*df_mep[[#This Row],[open_BA]]</f>
        <v>425364000</v>
      </c>
      <c r="K229" s="5">
        <v>130</v>
      </c>
      <c r="L229" s="5">
        <f>df_mep[[#This Row],[volume_D_BA]]*df_mep[[#This Row],[open_D_BA]]</f>
        <v>1872</v>
      </c>
      <c r="M229" s="3">
        <v>833.33333333333326</v>
      </c>
      <c r="N229" s="3">
        <v>863.90334572490713</v>
      </c>
      <c r="O229" s="3">
        <v>793.05555555555554</v>
      </c>
      <c r="P229" s="37">
        <f>MIN(1-df_mep[[#This Row],[MEP_compra_ARS]]/MEDIAN(N:N),100%)</f>
        <v>4.8274999947621411E-2</v>
      </c>
      <c r="Q229" s="38">
        <f>df_mep[[#This Row],[MEP_compra_USD]]/MEDIAN(O:O)-1</f>
        <v>2.0561120854198034E-2</v>
      </c>
      <c r="R22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9" s="38">
        <f>ABS(df_mep[[#This Row],[bid_BA]]-df_mep[[#This Row],[ask_BA]])/AVERAGE(df_mep[[#This Row],[bid_BA]:[ask_BA]])</f>
        <v>1.7318084159812498E-2</v>
      </c>
      <c r="T229" s="36">
        <f>ABS(df_mep[[#This Row],[bid_D_BA]]-df_mep[[#This Row],[ask_D_BA]])/AVERAGE(df_mep[[#This Row],[bid_D_BA]:[ask_D_BA]])</f>
        <v>6.8222621184919285E-2</v>
      </c>
    </row>
    <row r="230" spans="1:20" hidden="1" x14ac:dyDescent="0.35">
      <c r="A230" t="s">
        <v>148</v>
      </c>
      <c r="B230" t="s">
        <v>537</v>
      </c>
      <c r="C230" s="4">
        <v>1830</v>
      </c>
      <c r="D230" s="4">
        <v>1930</v>
      </c>
      <c r="E230" s="4">
        <v>1940</v>
      </c>
      <c r="F230" s="34">
        <v>2.36</v>
      </c>
      <c r="G230" s="34">
        <v>2.13</v>
      </c>
      <c r="H230" s="34">
        <v>2.39</v>
      </c>
      <c r="I230" s="5">
        <v>11290</v>
      </c>
      <c r="J230" s="5">
        <f>df_mep[[#This Row],[volume_BA]]*df_mep[[#This Row],[open_BA]]</f>
        <v>20660700</v>
      </c>
      <c r="K230" s="5">
        <v>300</v>
      </c>
      <c r="L230" s="5">
        <f>df_mep[[#This Row],[volume_D_BA]]*df_mep[[#This Row],[open_D_BA]]</f>
        <v>708</v>
      </c>
      <c r="M230" s="3">
        <v>775.42372881355936</v>
      </c>
      <c r="N230" s="3">
        <v>910.79812206572774</v>
      </c>
      <c r="O230" s="3">
        <v>807.53138075313802</v>
      </c>
      <c r="P230" s="37">
        <f>MIN(1-df_mep[[#This Row],[MEP_compra_ARS]]/MEDIAN(N:N),100%)</f>
        <v>-3.38694954740415E-3</v>
      </c>
      <c r="Q230" s="38">
        <f>df_mep[[#This Row],[MEP_compra_USD]]/MEDIAN(O:O)-1</f>
        <v>3.9189657386654586E-2</v>
      </c>
      <c r="R23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0" s="38">
        <f>ABS(df_mep[[#This Row],[bid_BA]]-df_mep[[#This Row],[ask_BA]])/AVERAGE(df_mep[[#This Row],[bid_BA]:[ask_BA]])</f>
        <v>5.1679586563307496E-3</v>
      </c>
      <c r="T230" s="36">
        <f>ABS(df_mep[[#This Row],[bid_D_BA]]-df_mep[[#This Row],[ask_D_BA]])/AVERAGE(df_mep[[#This Row],[bid_D_BA]:[ask_D_BA]])</f>
        <v>0.11504424778761073</v>
      </c>
    </row>
    <row r="231" spans="1:20" hidden="1" x14ac:dyDescent="0.35">
      <c r="A231" t="s">
        <v>20</v>
      </c>
      <c r="B231" t="s">
        <v>591</v>
      </c>
      <c r="C231" s="4">
        <v>3600</v>
      </c>
      <c r="D231" s="4">
        <v>3437.5</v>
      </c>
      <c r="E231" s="4">
        <v>3595</v>
      </c>
      <c r="F231" s="34">
        <v>4.0999999999999996</v>
      </c>
      <c r="G231" s="34">
        <v>3.75</v>
      </c>
      <c r="H231" s="34">
        <v>4.16</v>
      </c>
      <c r="I231" s="5">
        <v>9935</v>
      </c>
      <c r="J231" s="5">
        <f>df_mep[[#This Row],[volume_BA]]*df_mep[[#This Row],[open_BA]]</f>
        <v>35766000</v>
      </c>
      <c r="K231" s="5">
        <v>420</v>
      </c>
      <c r="L231" s="5">
        <f>df_mep[[#This Row],[volume_D_BA]]*df_mep[[#This Row],[open_D_BA]]</f>
        <v>1721.9999999999998</v>
      </c>
      <c r="M231" s="3">
        <v>878.04878048780495</v>
      </c>
      <c r="N231" s="3">
        <v>958.66666666666663</v>
      </c>
      <c r="O231" s="3">
        <v>826.32211538461536</v>
      </c>
      <c r="P231" s="37">
        <f>MIN(1-df_mep[[#This Row],[MEP_compra_ARS]]/MEDIAN(N:N),100%)</f>
        <v>-5.6121657473101605E-2</v>
      </c>
      <c r="Q231" s="38">
        <f>df_mep[[#This Row],[MEP_compra_USD]]/MEDIAN(O:O)-1</f>
        <v>6.3370930770131784E-2</v>
      </c>
      <c r="R23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1" s="38">
        <f>ABS(df_mep[[#This Row],[bid_BA]]-df_mep[[#This Row],[ask_BA]])/AVERAGE(df_mep[[#This Row],[bid_BA]:[ask_BA]])</f>
        <v>4.4792036971205117E-2</v>
      </c>
      <c r="T231" s="36">
        <f>ABS(df_mep[[#This Row],[bid_D_BA]]-df_mep[[#This Row],[ask_D_BA]])/AVERAGE(df_mep[[#This Row],[bid_D_BA]:[ask_D_BA]])</f>
        <v>0.10366624525916565</v>
      </c>
    </row>
    <row r="232" spans="1:20" hidden="1" x14ac:dyDescent="0.35">
      <c r="A232" t="s">
        <v>99</v>
      </c>
      <c r="B232" t="s">
        <v>354</v>
      </c>
      <c r="C232" s="4">
        <v>8900</v>
      </c>
      <c r="D232" s="4">
        <v>8600</v>
      </c>
      <c r="E232" s="4">
        <v>9075</v>
      </c>
      <c r="F232" s="34">
        <v>10</v>
      </c>
      <c r="G232" s="34">
        <v>9.9499999999999993</v>
      </c>
      <c r="H232" s="34">
        <v>11.6</v>
      </c>
      <c r="I232" s="5">
        <v>1863</v>
      </c>
      <c r="J232" s="5">
        <f>df_mep[[#This Row],[volume_BA]]*df_mep[[#This Row],[open_BA]]</f>
        <v>16580700</v>
      </c>
      <c r="K232" s="5">
        <v>52</v>
      </c>
      <c r="L232" s="5">
        <f>df_mep[[#This Row],[volume_D_BA]]*df_mep[[#This Row],[open_D_BA]]</f>
        <v>520</v>
      </c>
      <c r="M232" s="3">
        <v>890</v>
      </c>
      <c r="N232" s="3">
        <v>912.0603015075377</v>
      </c>
      <c r="O232" s="3">
        <v>741.37931034482756</v>
      </c>
      <c r="P232" s="37">
        <f>MIN(1-df_mep[[#This Row],[MEP_compra_ARS]]/MEDIAN(N:N),100%)</f>
        <v>-4.7774381191489912E-3</v>
      </c>
      <c r="Q232" s="38">
        <f>df_mep[[#This Row],[MEP_compra_USD]]/MEDIAN(O:O)-1</f>
        <v>-4.5939600771605416E-2</v>
      </c>
      <c r="R23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2" s="38">
        <f>ABS(df_mep[[#This Row],[bid_BA]]-df_mep[[#This Row],[ask_BA]])/AVERAGE(df_mep[[#This Row],[bid_BA]:[ask_BA]])</f>
        <v>5.3748231966053751E-2</v>
      </c>
      <c r="T232" s="36">
        <f>ABS(df_mep[[#This Row],[bid_D_BA]]-df_mep[[#This Row],[ask_D_BA]])/AVERAGE(df_mep[[#This Row],[bid_D_BA]:[ask_D_BA]])</f>
        <v>0.15313225058004645</v>
      </c>
    </row>
    <row r="233" spans="1:20" hidden="1" x14ac:dyDescent="0.35">
      <c r="A233" t="s">
        <v>28</v>
      </c>
      <c r="B233" t="s">
        <v>89</v>
      </c>
      <c r="C233" s="4">
        <v>459.5</v>
      </c>
      <c r="D233" s="4">
        <v>432</v>
      </c>
      <c r="E233" s="4">
        <v>447</v>
      </c>
      <c r="F233" s="34">
        <v>0.49</v>
      </c>
      <c r="G233" s="34">
        <v>0.49</v>
      </c>
      <c r="H233" s="34">
        <v>0.54</v>
      </c>
      <c r="I233" s="5">
        <v>35582</v>
      </c>
      <c r="J233" s="5">
        <f>df_mep[[#This Row],[volume_BA]]*df_mep[[#This Row],[open_BA]]</f>
        <v>16349929</v>
      </c>
      <c r="K233" s="5">
        <v>153</v>
      </c>
      <c r="L233" s="5">
        <f>df_mep[[#This Row],[volume_D_BA]]*df_mep[[#This Row],[open_D_BA]]</f>
        <v>74.97</v>
      </c>
      <c r="M233" s="3">
        <v>937.75510204081638</v>
      </c>
      <c r="N233" s="3">
        <v>912.24489795918373</v>
      </c>
      <c r="O233" s="3">
        <v>800</v>
      </c>
      <c r="P233" s="37">
        <f>MIN(1-df_mep[[#This Row],[MEP_compra_ARS]]/MEDIAN(N:N),100%)</f>
        <v>-4.9808000563633659E-3</v>
      </c>
      <c r="Q233" s="38">
        <f>df_mep[[#This Row],[MEP_compra_USD]]/MEDIAN(O:O)-1</f>
        <v>2.9497733120872338E-2</v>
      </c>
      <c r="R23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3" s="38">
        <f>ABS(df_mep[[#This Row],[bid_BA]]-df_mep[[#This Row],[ask_BA]])/AVERAGE(df_mep[[#This Row],[bid_BA]:[ask_BA]])</f>
        <v>3.4129692832764506E-2</v>
      </c>
      <c r="T233" s="36">
        <f>ABS(df_mep[[#This Row],[bid_D_BA]]-df_mep[[#This Row],[ask_D_BA]])/AVERAGE(df_mep[[#This Row],[bid_D_BA]:[ask_D_BA]])</f>
        <v>9.7087378640776781E-2</v>
      </c>
    </row>
    <row r="234" spans="1:20" hidden="1" x14ac:dyDescent="0.35">
      <c r="A234" t="s">
        <v>187</v>
      </c>
      <c r="B234" t="s">
        <v>479</v>
      </c>
      <c r="C234" s="4">
        <v>14530</v>
      </c>
      <c r="D234" s="4">
        <v>14530</v>
      </c>
      <c r="E234" s="4">
        <v>14999</v>
      </c>
      <c r="F234" s="34">
        <v>20.7</v>
      </c>
      <c r="G234" s="34">
        <v>16.399999999999999</v>
      </c>
      <c r="H234" s="34">
        <v>21</v>
      </c>
      <c r="I234" s="5">
        <v>217</v>
      </c>
      <c r="J234" s="5">
        <f>df_mep[[#This Row],[volume_BA]]*df_mep[[#This Row],[open_BA]]</f>
        <v>3153010</v>
      </c>
      <c r="K234" s="5">
        <v>4</v>
      </c>
      <c r="L234" s="5">
        <f>df_mep[[#This Row],[volume_D_BA]]*df_mep[[#This Row],[open_D_BA]]</f>
        <v>82.8</v>
      </c>
      <c r="M234" s="3">
        <v>701.93236714975853</v>
      </c>
      <c r="N234" s="3">
        <v>914.57317073170736</v>
      </c>
      <c r="O234" s="3">
        <v>691.90476190476193</v>
      </c>
      <c r="P234" s="37">
        <f>MIN(1-df_mep[[#This Row],[MEP_compra_ARS]]/MEDIAN(N:N),100%)</f>
        <v>-7.5457576011135341E-3</v>
      </c>
      <c r="Q234" s="38">
        <f>df_mep[[#This Row],[MEP_compra_USD]]/MEDIAN(O:O)-1</f>
        <v>-0.10960702010438828</v>
      </c>
      <c r="R23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4" s="38">
        <f>ABS(df_mep[[#This Row],[bid_BA]]-df_mep[[#This Row],[ask_BA]])/AVERAGE(df_mep[[#This Row],[bid_BA]:[ask_BA]])</f>
        <v>3.176538318263402E-2</v>
      </c>
      <c r="T234" s="36">
        <f>ABS(df_mep[[#This Row],[bid_D_BA]]-df_mep[[#This Row],[ask_D_BA]])/AVERAGE(df_mep[[#This Row],[bid_D_BA]:[ask_D_BA]])</f>
        <v>0.24598930481283432</v>
      </c>
    </row>
    <row r="235" spans="1:20" hidden="1" x14ac:dyDescent="0.35">
      <c r="A235" t="s">
        <v>26</v>
      </c>
      <c r="B235" t="s">
        <v>488</v>
      </c>
      <c r="C235" s="4">
        <v>7300</v>
      </c>
      <c r="D235" s="4">
        <v>7256.5</v>
      </c>
      <c r="E235" s="4">
        <v>7519.5</v>
      </c>
      <c r="F235" s="34">
        <v>8.6</v>
      </c>
      <c r="G235" s="34">
        <v>8.48</v>
      </c>
      <c r="H235" s="34">
        <v>8.9499999999999993</v>
      </c>
      <c r="I235" s="5">
        <v>32473</v>
      </c>
      <c r="J235" s="5">
        <f>df_mep[[#This Row],[volume_BA]]*df_mep[[#This Row],[open_BA]]</f>
        <v>237052900</v>
      </c>
      <c r="K235" s="5">
        <v>197</v>
      </c>
      <c r="L235" s="5">
        <f>df_mep[[#This Row],[volume_D_BA]]*df_mep[[#This Row],[open_D_BA]]</f>
        <v>1694.1999999999998</v>
      </c>
      <c r="M235" s="3">
        <v>848.83720930232562</v>
      </c>
      <c r="N235" s="3">
        <v>886.73349056603774</v>
      </c>
      <c r="O235" s="3">
        <v>810.78212290502802</v>
      </c>
      <c r="P235" s="37">
        <f>MIN(1-df_mep[[#This Row],[MEP_compra_ARS]]/MEDIAN(N:N),100%)</f>
        <v>2.3124015514416452E-2</v>
      </c>
      <c r="Q235" s="38">
        <f>df_mep[[#This Row],[MEP_compra_USD]]/MEDIAN(O:O)-1</f>
        <v>4.3372946982068505E-2</v>
      </c>
      <c r="R23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5" s="38">
        <f>ABS(df_mep[[#This Row],[bid_BA]]-df_mep[[#This Row],[ask_BA]])/AVERAGE(df_mep[[#This Row],[bid_BA]:[ask_BA]])</f>
        <v>3.5598267460747159E-2</v>
      </c>
      <c r="T235" s="36">
        <f>ABS(df_mep[[#This Row],[bid_D_BA]]-df_mep[[#This Row],[ask_D_BA]])/AVERAGE(df_mep[[#This Row],[bid_D_BA]:[ask_D_BA]])</f>
        <v>5.3930005737234527E-2</v>
      </c>
    </row>
    <row r="236" spans="1:20" hidden="1" x14ac:dyDescent="0.35">
      <c r="A236" t="s">
        <v>134</v>
      </c>
      <c r="B236" t="s">
        <v>501</v>
      </c>
      <c r="C236" s="4">
        <v>10900</v>
      </c>
      <c r="D236" s="4">
        <v>10615</v>
      </c>
      <c r="E236" s="4">
        <v>10630</v>
      </c>
      <c r="F236" s="34">
        <v>12.95</v>
      </c>
      <c r="G236" s="34">
        <v>11.6</v>
      </c>
      <c r="H236" s="34">
        <v>14.45</v>
      </c>
      <c r="I236" s="5">
        <v>2424</v>
      </c>
      <c r="J236" s="5">
        <f>df_mep[[#This Row],[volume_BA]]*df_mep[[#This Row],[open_BA]]</f>
        <v>26421600</v>
      </c>
      <c r="K236" s="5">
        <v>1</v>
      </c>
      <c r="L236" s="5">
        <f>df_mep[[#This Row],[volume_D_BA]]*df_mep[[#This Row],[open_D_BA]]</f>
        <v>12.95</v>
      </c>
      <c r="M236" s="3">
        <v>841.69884169884176</v>
      </c>
      <c r="N236" s="3">
        <v>916.37931034482756</v>
      </c>
      <c r="O236" s="3">
        <v>734.60207612456747</v>
      </c>
      <c r="P236" s="37">
        <f>MIN(1-df_mep[[#This Row],[MEP_compra_ARS]]/MEDIAN(N:N),100%)</f>
        <v>-9.5355035974657998E-3</v>
      </c>
      <c r="Q236" s="38">
        <f>df_mep[[#This Row],[MEP_compra_USD]]/MEDIAN(O:O)-1</f>
        <v>-5.4661034854839086E-2</v>
      </c>
      <c r="R23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6" s="38">
        <f>ABS(df_mep[[#This Row],[bid_BA]]-df_mep[[#This Row],[ask_BA]])/AVERAGE(df_mep[[#This Row],[bid_BA]:[ask_BA]])</f>
        <v>1.4120969639915275E-3</v>
      </c>
      <c r="T236" s="36">
        <f>ABS(df_mep[[#This Row],[bid_D_BA]]-df_mep[[#This Row],[ask_D_BA]])/AVERAGE(df_mep[[#This Row],[bid_D_BA]:[ask_D_BA]])</f>
        <v>0.21880998080614203</v>
      </c>
    </row>
    <row r="237" spans="1:20" hidden="1" x14ac:dyDescent="0.35">
      <c r="A237" t="s">
        <v>109</v>
      </c>
      <c r="B237" t="s">
        <v>388</v>
      </c>
      <c r="C237" s="4">
        <v>9683</v>
      </c>
      <c r="D237" s="4">
        <v>9541</v>
      </c>
      <c r="E237" s="4">
        <v>9999</v>
      </c>
      <c r="F237" s="34">
        <v>10.9</v>
      </c>
      <c r="G237" s="34">
        <v>10.9</v>
      </c>
      <c r="H237" s="34">
        <v>15.9</v>
      </c>
      <c r="I237" s="5">
        <v>1441</v>
      </c>
      <c r="J237" s="5">
        <f>df_mep[[#This Row],[volume_BA]]*df_mep[[#This Row],[open_BA]]</f>
        <v>13953203</v>
      </c>
      <c r="K237" s="5">
        <v>1</v>
      </c>
      <c r="L237" s="5">
        <f>df_mep[[#This Row],[volume_D_BA]]*df_mep[[#This Row],[open_D_BA]]</f>
        <v>10.9</v>
      </c>
      <c r="M237" s="3">
        <v>888.34862385321094</v>
      </c>
      <c r="N237" s="3">
        <v>917.33944954128435</v>
      </c>
      <c r="O237" s="3">
        <v>600.06289308176099</v>
      </c>
      <c r="P237" s="37">
        <f>MIN(1-df_mep[[#This Row],[MEP_compra_ARS]]/MEDIAN(N:N),100%)</f>
        <v>-1.0593247477403311E-2</v>
      </c>
      <c r="Q237" s="38">
        <f>df_mep[[#This Row],[MEP_compra_USD]]/MEDIAN(O:O)-1</f>
        <v>-0.22779576480296826</v>
      </c>
      <c r="R23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7" s="38">
        <f>ABS(df_mep[[#This Row],[bid_BA]]-df_mep[[#This Row],[ask_BA]])/AVERAGE(df_mep[[#This Row],[bid_BA]:[ask_BA]])</f>
        <v>4.6878198567041965E-2</v>
      </c>
      <c r="T237" s="36">
        <f>ABS(df_mep[[#This Row],[bid_D_BA]]-df_mep[[#This Row],[ask_D_BA]])/AVERAGE(df_mep[[#This Row],[bid_D_BA]:[ask_D_BA]])</f>
        <v>0.37313432835820892</v>
      </c>
    </row>
    <row r="238" spans="1:20" hidden="1" x14ac:dyDescent="0.35">
      <c r="A238" t="s">
        <v>170</v>
      </c>
      <c r="B238" t="s">
        <v>333</v>
      </c>
      <c r="C238" s="4">
        <v>7000</v>
      </c>
      <c r="D238" s="4">
        <v>6815</v>
      </c>
      <c r="E238" s="4">
        <v>6900</v>
      </c>
      <c r="F238" s="34">
        <v>0</v>
      </c>
      <c r="G238" s="34">
        <v>7.5</v>
      </c>
      <c r="H238" s="34">
        <v>8</v>
      </c>
      <c r="I238" s="5">
        <v>191</v>
      </c>
      <c r="J238" s="5">
        <f>df_mep[[#This Row],[volume_BA]]*df_mep[[#This Row],[open_BA]]</f>
        <v>1337000</v>
      </c>
      <c r="K238" s="5">
        <v>0</v>
      </c>
      <c r="L238" s="5">
        <f>df_mep[[#This Row],[volume_D_BA]]*df_mep[[#This Row],[open_D_BA]]</f>
        <v>0</v>
      </c>
      <c r="N238" s="3">
        <v>920</v>
      </c>
      <c r="O238" s="3">
        <v>851.875</v>
      </c>
      <c r="P238" s="37">
        <f>MIN(1-df_mep[[#This Row],[MEP_compra_ARS]]/MEDIAN(N:N),100%)</f>
        <v>-1.3524260996439663E-2</v>
      </c>
      <c r="Q238" s="38">
        <f>df_mep[[#This Row],[MEP_compra_USD]]/MEDIAN(O:O)-1</f>
        <v>9.625422675292894E-2</v>
      </c>
      <c r="R23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8" s="38">
        <f>ABS(df_mep[[#This Row],[bid_BA]]-df_mep[[#This Row],[ask_BA]])/AVERAGE(df_mep[[#This Row],[bid_BA]:[ask_BA]])</f>
        <v>1.2395187750637988E-2</v>
      </c>
      <c r="T238" s="36">
        <f>ABS(df_mep[[#This Row],[bid_D_BA]]-df_mep[[#This Row],[ask_D_BA]])/AVERAGE(df_mep[[#This Row],[bid_D_BA]:[ask_D_BA]])</f>
        <v>6.4516129032258063E-2</v>
      </c>
    </row>
    <row r="239" spans="1:20" hidden="1" x14ac:dyDescent="0.35">
      <c r="A239" t="s">
        <v>192</v>
      </c>
      <c r="B239" t="s">
        <v>193</v>
      </c>
      <c r="C239" s="4">
        <v>4253.5</v>
      </c>
      <c r="D239" s="4">
        <v>4350.5</v>
      </c>
      <c r="E239" s="4">
        <v>4500</v>
      </c>
      <c r="F239" s="34">
        <v>0</v>
      </c>
      <c r="G239" s="34">
        <v>4.87</v>
      </c>
      <c r="H239" s="34">
        <v>0</v>
      </c>
      <c r="I239" s="5">
        <v>178</v>
      </c>
      <c r="J239" s="5">
        <f>df_mep[[#This Row],[volume_BA]]*df_mep[[#This Row],[open_BA]]</f>
        <v>757123</v>
      </c>
      <c r="K239" s="5">
        <v>0</v>
      </c>
      <c r="L239" s="5">
        <f>df_mep[[#This Row],[volume_D_BA]]*df_mep[[#This Row],[open_D_BA]]</f>
        <v>0</v>
      </c>
      <c r="N239" s="3">
        <v>924.02464065708421</v>
      </c>
      <c r="P239" s="37">
        <f>MIN(1-df_mep[[#This Row],[MEP_compra_ARS]]/MEDIAN(N:N),100%)</f>
        <v>-1.7958033765730574E-2</v>
      </c>
      <c r="Q239" s="38">
        <f>df_mep[[#This Row],[MEP_compra_USD]]/MEDIAN(O:O)-1</f>
        <v>-1</v>
      </c>
      <c r="R23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9" s="38">
        <f>ABS(df_mep[[#This Row],[bid_BA]]-df_mep[[#This Row],[ask_BA]])/AVERAGE(df_mep[[#This Row],[bid_BA]:[ask_BA]])</f>
        <v>3.3783402067679789E-2</v>
      </c>
      <c r="T239" s="36">
        <f>ABS(df_mep[[#This Row],[bid_D_BA]]-df_mep[[#This Row],[ask_D_BA]])/AVERAGE(df_mep[[#This Row],[bid_D_BA]:[ask_D_BA]])</f>
        <v>2</v>
      </c>
    </row>
    <row r="240" spans="1:20" hidden="1" x14ac:dyDescent="0.35">
      <c r="A240" t="s">
        <v>103</v>
      </c>
      <c r="B240" t="s">
        <v>367</v>
      </c>
      <c r="C240" s="4">
        <v>10920</v>
      </c>
      <c r="D240" s="4">
        <v>10200</v>
      </c>
      <c r="E240" s="4">
        <v>10914.5</v>
      </c>
      <c r="F240" s="34">
        <v>12.6</v>
      </c>
      <c r="G240" s="34">
        <v>11.8</v>
      </c>
      <c r="H240" s="34">
        <v>13.25</v>
      </c>
      <c r="I240" s="5">
        <v>4262</v>
      </c>
      <c r="J240" s="5">
        <f>df_mep[[#This Row],[volume_BA]]*df_mep[[#This Row],[open_BA]]</f>
        <v>46541040</v>
      </c>
      <c r="K240" s="5">
        <v>38</v>
      </c>
      <c r="L240" s="5">
        <f>df_mep[[#This Row],[volume_D_BA]]*df_mep[[#This Row],[open_D_BA]]</f>
        <v>478.8</v>
      </c>
      <c r="M240" s="3">
        <v>866.66666666666674</v>
      </c>
      <c r="N240" s="3">
        <v>924.95762711864404</v>
      </c>
      <c r="O240" s="3">
        <v>769.81132075471703</v>
      </c>
      <c r="P240" s="37">
        <f>MIN(1-df_mep[[#This Row],[MEP_compra_ARS]]/MEDIAN(N:N),100%)</f>
        <v>-1.8985864650482798E-2</v>
      </c>
      <c r="Q240" s="38">
        <f>df_mep[[#This Row],[MEP_compra_USD]]/MEDIAN(O:O)-1</f>
        <v>-9.3512379402925783E-3</v>
      </c>
      <c r="R24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0" s="38">
        <f>ABS(df_mep[[#This Row],[bid_BA]]-df_mep[[#This Row],[ask_BA]])/AVERAGE(df_mep[[#This Row],[bid_BA]:[ask_BA]])</f>
        <v>6.767860948637193E-2</v>
      </c>
      <c r="T240" s="36">
        <f>ABS(df_mep[[#This Row],[bid_D_BA]]-df_mep[[#This Row],[ask_D_BA]])/AVERAGE(df_mep[[#This Row],[bid_D_BA]:[ask_D_BA]])</f>
        <v>0.11576846307385223</v>
      </c>
    </row>
    <row r="241" spans="1:20" hidden="1" x14ac:dyDescent="0.35">
      <c r="A241" t="s">
        <v>149</v>
      </c>
      <c r="B241" t="s">
        <v>545</v>
      </c>
      <c r="C241" s="4">
        <v>4000</v>
      </c>
      <c r="D241" s="4">
        <v>4010</v>
      </c>
      <c r="E241" s="4">
        <v>4080</v>
      </c>
      <c r="F241" s="34">
        <v>5.4</v>
      </c>
      <c r="G241" s="34">
        <v>4.41</v>
      </c>
      <c r="H241" s="34">
        <v>6.8</v>
      </c>
      <c r="I241" s="5">
        <v>1085</v>
      </c>
      <c r="J241" s="5">
        <f>df_mep[[#This Row],[volume_BA]]*df_mep[[#This Row],[open_BA]]</f>
        <v>4340000</v>
      </c>
      <c r="K241" s="5">
        <v>44</v>
      </c>
      <c r="L241" s="5">
        <f>df_mep[[#This Row],[volume_D_BA]]*df_mep[[#This Row],[open_D_BA]]</f>
        <v>237.60000000000002</v>
      </c>
      <c r="M241" s="3">
        <v>740.74074074074065</v>
      </c>
      <c r="N241" s="3">
        <v>925.17006802721085</v>
      </c>
      <c r="O241" s="3">
        <v>589.70588235294122</v>
      </c>
      <c r="P241" s="37">
        <f>MIN(1-df_mep[[#This Row],[MEP_compra_ARS]]/MEDIAN(N:N),100%)</f>
        <v>-1.9219901623157343E-2</v>
      </c>
      <c r="Q241" s="38">
        <f>df_mep[[#This Row],[MEP_compra_USD]]/MEDIAN(O:O)-1</f>
        <v>-0.24112391363700392</v>
      </c>
      <c r="R24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1" s="38">
        <f>ABS(df_mep[[#This Row],[bid_BA]]-df_mep[[#This Row],[ask_BA]])/AVERAGE(df_mep[[#This Row],[bid_BA]:[ask_BA]])</f>
        <v>1.73053152039555E-2</v>
      </c>
      <c r="T241" s="36">
        <f>ABS(df_mep[[#This Row],[bid_D_BA]]-df_mep[[#This Row],[ask_D_BA]])/AVERAGE(df_mep[[#This Row],[bid_D_BA]:[ask_D_BA]])</f>
        <v>0.42640499553969663</v>
      </c>
    </row>
    <row r="242" spans="1:20" hidden="1" x14ac:dyDescent="0.35">
      <c r="A242" t="s">
        <v>211</v>
      </c>
      <c r="B242" t="s">
        <v>347</v>
      </c>
      <c r="C242" s="4">
        <v>23005</v>
      </c>
      <c r="D242" s="4">
        <v>22800</v>
      </c>
      <c r="E242" s="4">
        <v>25000</v>
      </c>
      <c r="F242" s="34">
        <v>27.2</v>
      </c>
      <c r="G242" s="34">
        <v>27</v>
      </c>
      <c r="H242" s="34">
        <v>29.95</v>
      </c>
      <c r="I242" s="5">
        <v>118</v>
      </c>
      <c r="J242" s="5">
        <f>df_mep[[#This Row],[volume_BA]]*df_mep[[#This Row],[open_BA]]</f>
        <v>2714590</v>
      </c>
      <c r="K242" s="5">
        <v>17</v>
      </c>
      <c r="L242" s="5">
        <f>df_mep[[#This Row],[volume_D_BA]]*df_mep[[#This Row],[open_D_BA]]</f>
        <v>462.4</v>
      </c>
      <c r="M242" s="3">
        <v>845.77205882352939</v>
      </c>
      <c r="N242" s="3">
        <v>925.92592592592598</v>
      </c>
      <c r="O242" s="3">
        <v>761.26878130217028</v>
      </c>
      <c r="P242" s="37">
        <f>MIN(1-df_mep[[#This Row],[MEP_compra_ARS]]/MEDIAN(N:N),100%)</f>
        <v>-2.0052597621215584E-2</v>
      </c>
      <c r="Q242" s="38">
        <f>df_mep[[#This Row],[MEP_compra_USD]]/MEDIAN(O:O)-1</f>
        <v>-2.0344394192158166E-2</v>
      </c>
      <c r="R24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2" s="38">
        <f>ABS(df_mep[[#This Row],[bid_BA]]-df_mep[[#This Row],[ask_BA]])/AVERAGE(df_mep[[#This Row],[bid_BA]:[ask_BA]])</f>
        <v>9.2050209205020925E-2</v>
      </c>
      <c r="T242" s="36">
        <f>ABS(df_mep[[#This Row],[bid_D_BA]]-df_mep[[#This Row],[ask_D_BA]])/AVERAGE(df_mep[[#This Row],[bid_D_BA]:[ask_D_BA]])</f>
        <v>0.10359964881474976</v>
      </c>
    </row>
    <row r="243" spans="1:20" hidden="1" x14ac:dyDescent="0.35">
      <c r="A243" t="s">
        <v>126</v>
      </c>
      <c r="B243" t="s">
        <v>448</v>
      </c>
      <c r="C243" s="4">
        <v>12200</v>
      </c>
      <c r="D243" s="4">
        <v>11200</v>
      </c>
      <c r="E243" s="4">
        <v>13149</v>
      </c>
      <c r="F243" s="34">
        <v>15</v>
      </c>
      <c r="G243" s="34">
        <v>14.2</v>
      </c>
      <c r="H243" s="34">
        <v>16.850000000000001</v>
      </c>
      <c r="I243" s="5">
        <v>1128</v>
      </c>
      <c r="J243" s="5">
        <f>df_mep[[#This Row],[volume_BA]]*df_mep[[#This Row],[open_BA]]</f>
        <v>13761600</v>
      </c>
      <c r="K243" s="5">
        <v>20</v>
      </c>
      <c r="L243" s="5">
        <f>df_mep[[#This Row],[volume_D_BA]]*df_mep[[#This Row],[open_D_BA]]</f>
        <v>300</v>
      </c>
      <c r="M243" s="3">
        <v>813.33333333333337</v>
      </c>
      <c r="N243" s="3">
        <v>925.98591549295782</v>
      </c>
      <c r="O243" s="3">
        <v>664.68842729970322</v>
      </c>
      <c r="P243" s="37">
        <f>MIN(1-df_mep[[#This Row],[MEP_compra_ARS]]/MEDIAN(N:N),100%)</f>
        <v>-2.0118685535990943E-2</v>
      </c>
      <c r="Q243" s="38">
        <f>df_mep[[#This Row],[MEP_compra_USD]]/MEDIAN(O:O)-1</f>
        <v>-0.14463096357909722</v>
      </c>
      <c r="R24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3" s="38">
        <f>ABS(df_mep[[#This Row],[bid_BA]]-df_mep[[#This Row],[ask_BA]])/AVERAGE(df_mep[[#This Row],[bid_BA]:[ask_BA]])</f>
        <v>0.1600887100086246</v>
      </c>
      <c r="T243" s="36">
        <f>ABS(df_mep[[#This Row],[bid_D_BA]]-df_mep[[#This Row],[ask_D_BA]])/AVERAGE(df_mep[[#This Row],[bid_D_BA]:[ask_D_BA]])</f>
        <v>0.1706924315619969</v>
      </c>
    </row>
    <row r="244" spans="1:20" hidden="1" x14ac:dyDescent="0.35">
      <c r="A244" t="s">
        <v>199</v>
      </c>
      <c r="B244" t="s">
        <v>203</v>
      </c>
      <c r="C244" s="4">
        <v>16850</v>
      </c>
      <c r="D244" s="4">
        <v>16550</v>
      </c>
      <c r="E244" s="4">
        <v>16900</v>
      </c>
      <c r="F244" s="34">
        <v>21.05</v>
      </c>
      <c r="G244" s="34">
        <v>18.25</v>
      </c>
      <c r="H244" s="34">
        <v>21.4</v>
      </c>
      <c r="I244" s="5">
        <v>1637</v>
      </c>
      <c r="J244" s="5">
        <f>df_mep[[#This Row],[volume_BA]]*df_mep[[#This Row],[open_BA]]</f>
        <v>27583450</v>
      </c>
      <c r="K244" s="5">
        <v>4</v>
      </c>
      <c r="L244" s="5">
        <f>df_mep[[#This Row],[volume_D_BA]]*df_mep[[#This Row],[open_D_BA]]</f>
        <v>84.2</v>
      </c>
      <c r="M244" s="3">
        <v>800.47505938242273</v>
      </c>
      <c r="N244" s="3">
        <v>926.02739726027403</v>
      </c>
      <c r="O244" s="3">
        <v>773.36448598130846</v>
      </c>
      <c r="P244" s="37">
        <f>MIN(1-df_mep[[#This Row],[MEP_compra_ARS]]/MEDIAN(N:N),100%)</f>
        <v>-2.0164384207256303E-2</v>
      </c>
      <c r="Q244" s="38">
        <f>df_mep[[#This Row],[MEP_compra_USD]]/MEDIAN(O:O)-1</f>
        <v>-4.7787685075677544E-3</v>
      </c>
      <c r="R24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4" s="38">
        <f>ABS(df_mep[[#This Row],[bid_BA]]-df_mep[[#This Row],[ask_BA]])/AVERAGE(df_mep[[#This Row],[bid_BA]:[ask_BA]])</f>
        <v>2.0926756352765322E-2</v>
      </c>
      <c r="T244" s="36">
        <f>ABS(df_mep[[#This Row],[bid_D_BA]]-df_mep[[#This Row],[ask_D_BA]])/AVERAGE(df_mep[[#This Row],[bid_D_BA]:[ask_D_BA]])</f>
        <v>0.15889029003783095</v>
      </c>
    </row>
    <row r="245" spans="1:20" hidden="1" x14ac:dyDescent="0.35">
      <c r="A245" t="s">
        <v>97</v>
      </c>
      <c r="B245" t="s">
        <v>98</v>
      </c>
      <c r="C245" s="4">
        <v>19110</v>
      </c>
      <c r="D245" s="4">
        <v>18600</v>
      </c>
      <c r="E245" s="4">
        <v>19500</v>
      </c>
      <c r="F245" s="34">
        <v>0</v>
      </c>
      <c r="G245" s="34">
        <v>21.05</v>
      </c>
      <c r="H245" s="34">
        <v>24.5</v>
      </c>
      <c r="I245" s="5">
        <v>276</v>
      </c>
      <c r="J245" s="5">
        <f>df_mep[[#This Row],[volume_BA]]*df_mep[[#This Row],[open_BA]]</f>
        <v>5274360</v>
      </c>
      <c r="K245" s="5">
        <v>0</v>
      </c>
      <c r="L245" s="5">
        <f>df_mep[[#This Row],[volume_D_BA]]*df_mep[[#This Row],[open_D_BA]]</f>
        <v>0</v>
      </c>
      <c r="N245" s="3">
        <v>926.36579572446556</v>
      </c>
      <c r="O245" s="3">
        <v>759.18367346938771</v>
      </c>
      <c r="P245" s="37">
        <f>MIN(1-df_mep[[#This Row],[MEP_compra_ARS]]/MEDIAN(N:N),100%)</f>
        <v>-2.0537183178280127E-2</v>
      </c>
      <c r="Q245" s="38">
        <f>df_mep[[#This Row],[MEP_compra_USD]]/MEDIAN(O:O)-1</f>
        <v>-2.3027661426110901E-2</v>
      </c>
      <c r="R24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5" s="38">
        <f>ABS(df_mep[[#This Row],[bid_BA]]-df_mep[[#This Row],[ask_BA]])/AVERAGE(df_mep[[#This Row],[bid_BA]:[ask_BA]])</f>
        <v>4.7244094488188976E-2</v>
      </c>
      <c r="T245" s="36">
        <f>ABS(df_mep[[#This Row],[bid_D_BA]]-df_mep[[#This Row],[ask_D_BA]])/AVERAGE(df_mep[[#This Row],[bid_D_BA]:[ask_D_BA]])</f>
        <v>0.15148188803512622</v>
      </c>
    </row>
    <row r="246" spans="1:20" hidden="1" x14ac:dyDescent="0.35">
      <c r="A246" t="s">
        <v>204</v>
      </c>
      <c r="B246" t="s">
        <v>336</v>
      </c>
      <c r="C246" s="4">
        <v>19671</v>
      </c>
      <c r="D246" s="4">
        <v>18602</v>
      </c>
      <c r="E246" s="4">
        <v>19920</v>
      </c>
      <c r="F246" s="34">
        <v>0</v>
      </c>
      <c r="G246" s="34">
        <v>21.5</v>
      </c>
      <c r="H246" s="34">
        <v>25</v>
      </c>
      <c r="I246" s="5">
        <v>612</v>
      </c>
      <c r="J246" s="5">
        <f>df_mep[[#This Row],[volume_BA]]*df_mep[[#This Row],[open_BA]]</f>
        <v>12038652</v>
      </c>
      <c r="K246" s="5">
        <v>0</v>
      </c>
      <c r="L246" s="5">
        <f>df_mep[[#This Row],[volume_D_BA]]*df_mep[[#This Row],[open_D_BA]]</f>
        <v>0</v>
      </c>
      <c r="N246" s="3">
        <v>926.51162790697674</v>
      </c>
      <c r="O246" s="3">
        <v>744.08</v>
      </c>
      <c r="P246" s="37">
        <f>MIN(1-df_mep[[#This Row],[MEP_compra_ARS]]/MEDIAN(N:N),100%)</f>
        <v>-2.069784019459453E-2</v>
      </c>
      <c r="Q246" s="38">
        <f>df_mep[[#This Row],[MEP_compra_USD]]/MEDIAN(O:O)-1</f>
        <v>-4.2464158424276532E-2</v>
      </c>
      <c r="R24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6" s="38">
        <f>ABS(df_mep[[#This Row],[bid_BA]]-df_mep[[#This Row],[ask_BA]])/AVERAGE(df_mep[[#This Row],[bid_BA]:[ask_BA]])</f>
        <v>6.8428430507242621E-2</v>
      </c>
      <c r="T246" s="36">
        <f>ABS(df_mep[[#This Row],[bid_D_BA]]-df_mep[[#This Row],[ask_D_BA]])/AVERAGE(df_mep[[#This Row],[bid_D_BA]:[ask_D_BA]])</f>
        <v>0.15053763440860216</v>
      </c>
    </row>
    <row r="247" spans="1:20" hidden="1" x14ac:dyDescent="0.35">
      <c r="A247" t="s">
        <v>111</v>
      </c>
      <c r="B247" t="s">
        <v>394</v>
      </c>
      <c r="C247" s="4">
        <v>6250</v>
      </c>
      <c r="D247" s="4">
        <v>5930</v>
      </c>
      <c r="E247" s="4">
        <v>6215</v>
      </c>
      <c r="F247" s="34">
        <v>7.2</v>
      </c>
      <c r="G247" s="34">
        <v>6.7</v>
      </c>
      <c r="H247" s="34">
        <v>7.45</v>
      </c>
      <c r="I247" s="5">
        <v>1449</v>
      </c>
      <c r="J247" s="5">
        <f>df_mep[[#This Row],[volume_BA]]*df_mep[[#This Row],[open_BA]]</f>
        <v>9056250</v>
      </c>
      <c r="K247" s="5">
        <v>12</v>
      </c>
      <c r="L247" s="5">
        <f>df_mep[[#This Row],[volume_D_BA]]*df_mep[[#This Row],[open_D_BA]]</f>
        <v>86.4</v>
      </c>
      <c r="M247" s="3">
        <v>868.05555555555554</v>
      </c>
      <c r="N247" s="3">
        <v>927.61194029850742</v>
      </c>
      <c r="O247" s="3">
        <v>795.97315436241604</v>
      </c>
      <c r="P247" s="37">
        <f>MIN(1-df_mep[[#This Row],[MEP_compra_ARS]]/MEDIAN(N:N),100%)</f>
        <v>-2.1910006828824269E-2</v>
      </c>
      <c r="Q247" s="38">
        <f>df_mep[[#This Row],[MEP_compra_USD]]/MEDIAN(O:O)-1</f>
        <v>2.4315697551472004E-2</v>
      </c>
      <c r="R24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7" s="38">
        <f>ABS(df_mep[[#This Row],[bid_BA]]-df_mep[[#This Row],[ask_BA]])/AVERAGE(df_mep[[#This Row],[bid_BA]:[ask_BA]])</f>
        <v>4.693289419514203E-2</v>
      </c>
      <c r="T247" s="36">
        <f>ABS(df_mep[[#This Row],[bid_D_BA]]-df_mep[[#This Row],[ask_D_BA]])/AVERAGE(df_mep[[#This Row],[bid_D_BA]:[ask_D_BA]])</f>
        <v>0.10600706713780919</v>
      </c>
    </row>
    <row r="248" spans="1:20" hidden="1" x14ac:dyDescent="0.35">
      <c r="A248" t="s">
        <v>24</v>
      </c>
      <c r="B248" t="s">
        <v>420</v>
      </c>
      <c r="C248" s="4">
        <v>12950</v>
      </c>
      <c r="D248" s="4">
        <v>11011</v>
      </c>
      <c r="E248" s="4">
        <v>13000</v>
      </c>
      <c r="F248" s="34">
        <v>15.2</v>
      </c>
      <c r="G248" s="34">
        <v>14.35</v>
      </c>
      <c r="H248" s="34">
        <v>15.9</v>
      </c>
      <c r="I248" s="5">
        <v>36630</v>
      </c>
      <c r="J248" s="5">
        <f>df_mep[[#This Row],[volume_BA]]*df_mep[[#This Row],[open_BA]]</f>
        <v>474358500</v>
      </c>
      <c r="K248" s="5">
        <v>108</v>
      </c>
      <c r="L248" s="5">
        <f>df_mep[[#This Row],[volume_D_BA]]*df_mep[[#This Row],[open_D_BA]]</f>
        <v>1641.6</v>
      </c>
      <c r="M248" s="3">
        <v>851.97368421052636</v>
      </c>
      <c r="N248" s="3">
        <v>905.92334494773525</v>
      </c>
      <c r="O248" s="3">
        <v>692.51572327044028</v>
      </c>
      <c r="P248" s="37">
        <f>MIN(1-df_mep[[#This Row],[MEP_compra_ARS]]/MEDIAN(N:N),100%)</f>
        <v>1.9833818395912362E-3</v>
      </c>
      <c r="Q248" s="38">
        <f>df_mep[[#This Row],[MEP_compra_USD]]/MEDIAN(O:O)-1</f>
        <v>-0.10882079092815045</v>
      </c>
      <c r="R24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8" s="38">
        <f>ABS(df_mep[[#This Row],[bid_BA]]-df_mep[[#This Row],[ask_BA]])/AVERAGE(df_mep[[#This Row],[bid_BA]:[ask_BA]])</f>
        <v>0.16567406605305901</v>
      </c>
      <c r="T248" s="36">
        <f>ABS(df_mep[[#This Row],[bid_D_BA]]-df_mep[[#This Row],[ask_D_BA]])/AVERAGE(df_mep[[#This Row],[bid_D_BA]:[ask_D_BA]])</f>
        <v>0.10247933884297525</v>
      </c>
    </row>
    <row r="249" spans="1:20" hidden="1" x14ac:dyDescent="0.35">
      <c r="A249" t="s">
        <v>162</v>
      </c>
      <c r="B249" t="s">
        <v>590</v>
      </c>
      <c r="C249" s="4">
        <v>1277</v>
      </c>
      <c r="D249" s="4">
        <v>1296</v>
      </c>
      <c r="E249" s="4">
        <v>1300</v>
      </c>
      <c r="F249" s="34">
        <v>1.66</v>
      </c>
      <c r="G249" s="34">
        <v>1.4</v>
      </c>
      <c r="H249" s="34">
        <v>1.69</v>
      </c>
      <c r="I249" s="5">
        <v>14779</v>
      </c>
      <c r="J249" s="5">
        <f>df_mep[[#This Row],[volume_BA]]*df_mep[[#This Row],[open_BA]]</f>
        <v>18872783</v>
      </c>
      <c r="K249" s="5">
        <v>46</v>
      </c>
      <c r="L249" s="5">
        <f>df_mep[[#This Row],[volume_D_BA]]*df_mep[[#This Row],[open_D_BA]]</f>
        <v>76.36</v>
      </c>
      <c r="M249" s="3">
        <v>769.27710843373495</v>
      </c>
      <c r="N249" s="3">
        <v>928.57142857142867</v>
      </c>
      <c r="O249" s="3">
        <v>766.86390532544385</v>
      </c>
      <c r="P249" s="37">
        <f>MIN(1-df_mep[[#This Row],[MEP_compra_ARS]]/MEDIAN(N:N),100%)</f>
        <v>-2.2967033614418986E-2</v>
      </c>
      <c r="Q249" s="38">
        <f>df_mep[[#This Row],[MEP_compra_USD]]/MEDIAN(O:O)-1</f>
        <v>-1.3144184819045335E-2</v>
      </c>
      <c r="R24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9" s="38">
        <f>ABS(df_mep[[#This Row],[bid_BA]]-df_mep[[#This Row],[ask_BA]])/AVERAGE(df_mep[[#This Row],[bid_BA]:[ask_BA]])</f>
        <v>3.0816640986132513E-3</v>
      </c>
      <c r="T249" s="36">
        <f>ABS(df_mep[[#This Row],[bid_D_BA]]-df_mep[[#This Row],[ask_D_BA]])/AVERAGE(df_mep[[#This Row],[bid_D_BA]:[ask_D_BA]])</f>
        <v>0.1877022653721683</v>
      </c>
    </row>
    <row r="250" spans="1:20" hidden="1" x14ac:dyDescent="0.35">
      <c r="A250" t="s">
        <v>110</v>
      </c>
      <c r="B250" t="s">
        <v>389</v>
      </c>
      <c r="C250" s="4">
        <v>18792</v>
      </c>
      <c r="D250" s="4">
        <v>19450</v>
      </c>
      <c r="E250" s="4">
        <v>19700</v>
      </c>
      <c r="F250" s="34">
        <v>23.4</v>
      </c>
      <c r="G250" s="34">
        <v>22.3</v>
      </c>
      <c r="H250" s="34">
        <v>23.35</v>
      </c>
      <c r="I250" s="5">
        <v>1650</v>
      </c>
      <c r="J250" s="5">
        <f>df_mep[[#This Row],[volume_BA]]*df_mep[[#This Row],[open_BA]]</f>
        <v>31006800</v>
      </c>
      <c r="K250" s="5">
        <v>66</v>
      </c>
      <c r="L250" s="5">
        <f>df_mep[[#This Row],[volume_D_BA]]*df_mep[[#This Row],[open_D_BA]]</f>
        <v>1544.3999999999999</v>
      </c>
      <c r="M250" s="3">
        <v>803.07692307692309</v>
      </c>
      <c r="N250" s="3">
        <v>883.40807174887891</v>
      </c>
      <c r="O250" s="3">
        <v>832.97644539614555</v>
      </c>
      <c r="P250" s="37">
        <f>MIN(1-df_mep[[#This Row],[MEP_compra_ARS]]/MEDIAN(N:N),100%)</f>
        <v>2.6787485785247478E-2</v>
      </c>
      <c r="Q250" s="38">
        <f>df_mep[[#This Row],[MEP_compra_USD]]/MEDIAN(O:O)-1</f>
        <v>7.1934202848017437E-2</v>
      </c>
      <c r="R25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0" s="38">
        <f>ABS(df_mep[[#This Row],[bid_BA]]-df_mep[[#This Row],[ask_BA]])/AVERAGE(df_mep[[#This Row],[bid_BA]:[ask_BA]])</f>
        <v>1.277139208173691E-2</v>
      </c>
      <c r="T250" s="36">
        <f>ABS(df_mep[[#This Row],[bid_D_BA]]-df_mep[[#This Row],[ask_D_BA]])/AVERAGE(df_mep[[#This Row],[bid_D_BA]:[ask_D_BA]])</f>
        <v>4.6002190580503859E-2</v>
      </c>
    </row>
    <row r="251" spans="1:20" hidden="1" x14ac:dyDescent="0.35">
      <c r="A251" t="s">
        <v>119</v>
      </c>
      <c r="B251" t="s">
        <v>405</v>
      </c>
      <c r="C251" s="4">
        <v>10801</v>
      </c>
      <c r="D251" s="4">
        <v>5100</v>
      </c>
      <c r="E251" s="4">
        <v>11430</v>
      </c>
      <c r="F251" s="34">
        <v>0</v>
      </c>
      <c r="G251" s="34">
        <v>12.3</v>
      </c>
      <c r="H251" s="34">
        <v>17</v>
      </c>
      <c r="I251" s="5">
        <v>81</v>
      </c>
      <c r="J251" s="5">
        <f>df_mep[[#This Row],[volume_BA]]*df_mep[[#This Row],[open_BA]]</f>
        <v>874881</v>
      </c>
      <c r="K251" s="5">
        <v>0</v>
      </c>
      <c r="L251" s="5">
        <f>df_mep[[#This Row],[volume_D_BA]]*df_mep[[#This Row],[open_D_BA]]</f>
        <v>0</v>
      </c>
      <c r="N251" s="3">
        <v>929.26829268292681</v>
      </c>
      <c r="O251" s="3">
        <v>300</v>
      </c>
      <c r="P251" s="37">
        <f>MIN(1-df_mep[[#This Row],[MEP_compra_ARS]]/MEDIAN(N:N),100%)</f>
        <v>-2.3734738705311509E-2</v>
      </c>
      <c r="Q251" s="38">
        <f>df_mep[[#This Row],[MEP_compra_USD]]/MEDIAN(O:O)-1</f>
        <v>-0.6139383500796729</v>
      </c>
      <c r="R25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1" s="38">
        <f>ABS(df_mep[[#This Row],[bid_BA]]-df_mep[[#This Row],[ask_BA]])/AVERAGE(df_mep[[#This Row],[bid_BA]:[ask_BA]])</f>
        <v>0.76588021778584392</v>
      </c>
      <c r="T251" s="36">
        <f>ABS(df_mep[[#This Row],[bid_D_BA]]-df_mep[[#This Row],[ask_D_BA]])/AVERAGE(df_mep[[#This Row],[bid_D_BA]:[ask_D_BA]])</f>
        <v>0.32081911262798629</v>
      </c>
    </row>
    <row r="252" spans="1:20" hidden="1" x14ac:dyDescent="0.35">
      <c r="A252" t="s">
        <v>102</v>
      </c>
      <c r="B252" t="s">
        <v>362</v>
      </c>
      <c r="C252" s="4">
        <v>7600</v>
      </c>
      <c r="D252" s="4">
        <v>7410</v>
      </c>
      <c r="E252" s="4">
        <v>7780</v>
      </c>
      <c r="F252" s="34">
        <v>8.6199999999999992</v>
      </c>
      <c r="G252" s="34">
        <v>8.3000000000000007</v>
      </c>
      <c r="H252" s="34">
        <v>8.39</v>
      </c>
      <c r="I252" s="5">
        <v>319</v>
      </c>
      <c r="J252" s="5">
        <f>df_mep[[#This Row],[volume_BA]]*df_mep[[#This Row],[open_BA]]</f>
        <v>2424400</v>
      </c>
      <c r="K252" s="5">
        <v>1</v>
      </c>
      <c r="L252" s="5">
        <f>df_mep[[#This Row],[volume_D_BA]]*df_mep[[#This Row],[open_D_BA]]</f>
        <v>8.6199999999999992</v>
      </c>
      <c r="M252" s="3">
        <v>881.67053364269145</v>
      </c>
      <c r="N252" s="3">
        <v>937.34939759036138</v>
      </c>
      <c r="O252" s="3">
        <v>883.19427890345639</v>
      </c>
      <c r="P252" s="37">
        <f>MIN(1-df_mep[[#This Row],[MEP_compra_ARS]]/MEDIAN(N:N),100%)</f>
        <v>-3.2637342921987944E-2</v>
      </c>
      <c r="Q252" s="38">
        <f>df_mep[[#This Row],[MEP_compra_USD]]/MEDIAN(O:O)-1</f>
        <v>0.13655813504553982</v>
      </c>
      <c r="R25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2" s="38">
        <f>ABS(df_mep[[#This Row],[bid_BA]]-df_mep[[#This Row],[ask_BA]])/AVERAGE(df_mep[[#This Row],[bid_BA]:[ask_BA]])</f>
        <v>4.8716260697827515E-2</v>
      </c>
      <c r="T252" s="36">
        <f>ABS(df_mep[[#This Row],[bid_D_BA]]-df_mep[[#This Row],[ask_D_BA]])/AVERAGE(df_mep[[#This Row],[bid_D_BA]:[ask_D_BA]])</f>
        <v>1.0784901138406213E-2</v>
      </c>
    </row>
    <row r="253" spans="1:20" hidden="1" x14ac:dyDescent="0.35">
      <c r="A253" t="s">
        <v>144</v>
      </c>
      <c r="B253" t="s">
        <v>528</v>
      </c>
      <c r="C253" s="4">
        <v>28800</v>
      </c>
      <c r="D253" s="4">
        <v>27501</v>
      </c>
      <c r="E253" s="4">
        <v>29999</v>
      </c>
      <c r="F253" s="34">
        <v>33</v>
      </c>
      <c r="G253" s="34">
        <v>32</v>
      </c>
      <c r="H253" s="34">
        <v>33</v>
      </c>
      <c r="I253" s="5">
        <v>421</v>
      </c>
      <c r="J253" s="5">
        <f>df_mep[[#This Row],[volume_BA]]*df_mep[[#This Row],[open_BA]]</f>
        <v>12124800</v>
      </c>
      <c r="K253" s="5">
        <v>2</v>
      </c>
      <c r="L253" s="5">
        <f>df_mep[[#This Row],[volume_D_BA]]*df_mep[[#This Row],[open_D_BA]]</f>
        <v>66</v>
      </c>
      <c r="M253" s="3">
        <v>872.72727272727275</v>
      </c>
      <c r="N253" s="3">
        <v>937.46875</v>
      </c>
      <c r="O253" s="3">
        <v>833.36363636363637</v>
      </c>
      <c r="P253" s="37">
        <f>MIN(1-df_mep[[#This Row],[MEP_compra_ARS]]/MEDIAN(N:N),100%)</f>
        <v>-3.2768828316311005E-2</v>
      </c>
      <c r="Q253" s="38">
        <f>df_mep[[#This Row],[MEP_compra_USD]]/MEDIAN(O:O)-1</f>
        <v>7.2432468127163308E-2</v>
      </c>
      <c r="R25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3" s="38">
        <f>ABS(df_mep[[#This Row],[bid_BA]]-df_mep[[#This Row],[ask_BA]])/AVERAGE(df_mep[[#This Row],[bid_BA]:[ask_BA]])</f>
        <v>8.6886956521739125E-2</v>
      </c>
      <c r="T253" s="36">
        <f>ABS(df_mep[[#This Row],[bid_D_BA]]-df_mep[[#This Row],[ask_D_BA]])/AVERAGE(df_mep[[#This Row],[bid_D_BA]:[ask_D_BA]])</f>
        <v>3.0769230769230771E-2</v>
      </c>
    </row>
    <row r="254" spans="1:20" hidden="1" x14ac:dyDescent="0.35">
      <c r="A254" t="s">
        <v>17</v>
      </c>
      <c r="B254" t="s">
        <v>516</v>
      </c>
      <c r="C254" s="4">
        <v>6598</v>
      </c>
      <c r="D254" s="4">
        <v>6400</v>
      </c>
      <c r="E254" s="4">
        <v>6500</v>
      </c>
      <c r="F254" s="34">
        <v>7.7</v>
      </c>
      <c r="G254" s="34">
        <v>7.55</v>
      </c>
      <c r="H254" s="34">
        <v>7.73</v>
      </c>
      <c r="I254" s="5">
        <v>18774</v>
      </c>
      <c r="J254" s="5">
        <f>df_mep[[#This Row],[volume_BA]]*df_mep[[#This Row],[open_BA]]</f>
        <v>123870852</v>
      </c>
      <c r="K254" s="5">
        <v>189</v>
      </c>
      <c r="L254" s="5">
        <f>df_mep[[#This Row],[volume_D_BA]]*df_mep[[#This Row],[open_D_BA]]</f>
        <v>1455.3</v>
      </c>
      <c r="M254" s="3">
        <v>856.88311688311683</v>
      </c>
      <c r="N254" s="3">
        <v>860.92715231788077</v>
      </c>
      <c r="O254" s="3">
        <v>827.94307891332471</v>
      </c>
      <c r="P254" s="37">
        <f>MIN(1-df_mep[[#This Row],[MEP_compra_ARS]]/MEDIAN(N:N),100%)</f>
        <v>5.1553743668750651E-2</v>
      </c>
      <c r="Q254" s="38">
        <f>df_mep[[#This Row],[MEP_compra_USD]]/MEDIAN(O:O)-1</f>
        <v>6.545690361797929E-2</v>
      </c>
      <c r="R25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4" s="38">
        <f>ABS(df_mep[[#This Row],[bid_BA]]-df_mep[[#This Row],[ask_BA]])/AVERAGE(df_mep[[#This Row],[bid_BA]:[ask_BA]])</f>
        <v>1.5503875968992248E-2</v>
      </c>
      <c r="T254" s="36">
        <f>ABS(df_mep[[#This Row],[bid_D_BA]]-df_mep[[#This Row],[ask_D_BA]])/AVERAGE(df_mep[[#This Row],[bid_D_BA]:[ask_D_BA]])</f>
        <v>2.3560209424083847E-2</v>
      </c>
    </row>
    <row r="255" spans="1:20" hidden="1" x14ac:dyDescent="0.35">
      <c r="A255" t="s">
        <v>145</v>
      </c>
      <c r="B255" t="s">
        <v>535</v>
      </c>
      <c r="C255" s="4">
        <v>4744.5</v>
      </c>
      <c r="D255" s="4">
        <v>4715</v>
      </c>
      <c r="E255" s="4">
        <v>4725</v>
      </c>
      <c r="F255" s="34">
        <v>5.0999999999999996</v>
      </c>
      <c r="G255" s="34">
        <v>5</v>
      </c>
      <c r="H255" s="34">
        <v>5.4</v>
      </c>
      <c r="I255" s="5">
        <v>142</v>
      </c>
      <c r="J255" s="5">
        <f>df_mep[[#This Row],[volume_BA]]*df_mep[[#This Row],[open_BA]]</f>
        <v>673719</v>
      </c>
      <c r="K255" s="5">
        <v>2</v>
      </c>
      <c r="L255" s="5">
        <f>df_mep[[#This Row],[volume_D_BA]]*df_mep[[#This Row],[open_D_BA]]</f>
        <v>10.199999999999999</v>
      </c>
      <c r="M255" s="3">
        <v>930.2941176470589</v>
      </c>
      <c r="N255" s="3">
        <v>945</v>
      </c>
      <c r="O255" s="3">
        <v>873.14814814814804</v>
      </c>
      <c r="P255" s="37">
        <f>MIN(1-df_mep[[#This Row],[MEP_compra_ARS]]/MEDIAN(N:N),100%)</f>
        <v>-4.1065681132212539E-2</v>
      </c>
      <c r="Q255" s="38">
        <f>df_mep[[#This Row],[MEP_compra_USD]]/MEDIAN(O:O)-1</f>
        <v>0.12363004899650765</v>
      </c>
      <c r="R25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5" s="38">
        <f>ABS(df_mep[[#This Row],[bid_BA]]-df_mep[[#This Row],[ask_BA]])/AVERAGE(df_mep[[#This Row],[bid_BA]:[ask_BA]])</f>
        <v>2.1186440677966102E-3</v>
      </c>
      <c r="T255" s="36">
        <f>ABS(df_mep[[#This Row],[bid_D_BA]]-df_mep[[#This Row],[ask_D_BA]])/AVERAGE(df_mep[[#This Row],[bid_D_BA]:[ask_D_BA]])</f>
        <v>7.6923076923076983E-2</v>
      </c>
    </row>
    <row r="256" spans="1:20" hidden="1" x14ac:dyDescent="0.35">
      <c r="A256" t="s">
        <v>232</v>
      </c>
      <c r="B256" t="s">
        <v>386</v>
      </c>
      <c r="C256" s="4">
        <v>11200</v>
      </c>
      <c r="D256" s="4">
        <v>10694.5</v>
      </c>
      <c r="E256" s="4">
        <v>10400</v>
      </c>
      <c r="F256" s="34">
        <v>11.6</v>
      </c>
      <c r="G256" s="34">
        <v>11</v>
      </c>
      <c r="H256" s="34">
        <v>0</v>
      </c>
      <c r="I256" s="5">
        <v>467</v>
      </c>
      <c r="J256" s="5">
        <f>df_mep[[#This Row],[volume_BA]]*df_mep[[#This Row],[open_BA]]</f>
        <v>5230400</v>
      </c>
      <c r="K256" s="5">
        <v>48</v>
      </c>
      <c r="L256" s="5">
        <f>df_mep[[#This Row],[volume_D_BA]]*df_mep[[#This Row],[open_D_BA]]</f>
        <v>556.79999999999995</v>
      </c>
      <c r="M256" s="3">
        <v>965.51724137931035</v>
      </c>
      <c r="N256" s="3">
        <v>945.4545454545455</v>
      </c>
      <c r="P256" s="37">
        <f>MIN(1-df_mep[[#This Row],[MEP_compra_ARS]]/MEDIAN(N:N),100%)</f>
        <v>-4.1566434225590365E-2</v>
      </c>
      <c r="Q256" s="38">
        <f>df_mep[[#This Row],[MEP_compra_USD]]/MEDIAN(O:O)-1</f>
        <v>-1</v>
      </c>
      <c r="R25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6" s="38">
        <f>ABS(df_mep[[#This Row],[bid_BA]]-df_mep[[#This Row],[ask_BA]])/AVERAGE(df_mep[[#This Row],[bid_BA]:[ask_BA]])</f>
        <v>2.7921970181800943E-2</v>
      </c>
      <c r="T256" s="36">
        <f>ABS(df_mep[[#This Row],[bid_D_BA]]-df_mep[[#This Row],[ask_D_BA]])/AVERAGE(df_mep[[#This Row],[bid_D_BA]:[ask_D_BA]])</f>
        <v>2</v>
      </c>
    </row>
    <row r="257" spans="1:20" hidden="1" x14ac:dyDescent="0.35">
      <c r="A257" t="s">
        <v>166</v>
      </c>
      <c r="B257" t="s">
        <v>605</v>
      </c>
      <c r="C257" s="4">
        <v>12200</v>
      </c>
      <c r="D257" s="4">
        <v>12855</v>
      </c>
      <c r="E257" s="4">
        <v>13143</v>
      </c>
      <c r="F257" s="34">
        <v>13.45</v>
      </c>
      <c r="G257" s="34">
        <v>13.9</v>
      </c>
      <c r="H257" s="34">
        <v>15.3</v>
      </c>
      <c r="I257" s="5">
        <v>1026</v>
      </c>
      <c r="J257" s="5">
        <f>df_mep[[#This Row],[volume_BA]]*df_mep[[#This Row],[open_BA]]</f>
        <v>12517200</v>
      </c>
      <c r="K257" s="5">
        <v>53</v>
      </c>
      <c r="L257" s="5">
        <f>df_mep[[#This Row],[volume_D_BA]]*df_mep[[#This Row],[open_D_BA]]</f>
        <v>712.84999999999991</v>
      </c>
      <c r="M257" s="3">
        <v>907.06319702602241</v>
      </c>
      <c r="N257" s="3">
        <v>945.53956834532369</v>
      </c>
      <c r="O257" s="3">
        <v>840.19607843137248</v>
      </c>
      <c r="P257" s="37">
        <f>MIN(1-df_mep[[#This Row],[MEP_compra_ARS]]/MEDIAN(N:N),100%)</f>
        <v>-4.1660100271833533E-2</v>
      </c>
      <c r="Q257" s="38">
        <f>df_mep[[#This Row],[MEP_compra_USD]]/MEDIAN(O:O)-1</f>
        <v>8.1224947652680957E-2</v>
      </c>
      <c r="R25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7" s="38">
        <f>ABS(df_mep[[#This Row],[bid_BA]]-df_mep[[#This Row],[ask_BA]])/AVERAGE(df_mep[[#This Row],[bid_BA]:[ask_BA]])</f>
        <v>2.2155550426955918E-2</v>
      </c>
      <c r="T257" s="36">
        <f>ABS(df_mep[[#This Row],[bid_D_BA]]-df_mep[[#This Row],[ask_D_BA]])/AVERAGE(df_mep[[#This Row],[bid_D_BA]:[ask_D_BA]])</f>
        <v>9.5890410958904118E-2</v>
      </c>
    </row>
    <row r="258" spans="1:20" hidden="1" x14ac:dyDescent="0.35">
      <c r="A258" t="s">
        <v>113</v>
      </c>
      <c r="B258" t="s">
        <v>114</v>
      </c>
      <c r="C258" s="4">
        <v>7835</v>
      </c>
      <c r="D258" s="4">
        <v>7450</v>
      </c>
      <c r="E258" s="4">
        <v>7660</v>
      </c>
      <c r="F258" s="34">
        <v>9.01</v>
      </c>
      <c r="G258" s="34">
        <v>8.1</v>
      </c>
      <c r="H258" s="34">
        <v>10</v>
      </c>
      <c r="I258" s="5">
        <v>79</v>
      </c>
      <c r="J258" s="5">
        <f>df_mep[[#This Row],[volume_BA]]*df_mep[[#This Row],[open_BA]]</f>
        <v>618965</v>
      </c>
      <c r="K258" s="5">
        <v>6</v>
      </c>
      <c r="L258" s="5">
        <f>df_mep[[#This Row],[volume_D_BA]]*df_mep[[#This Row],[open_D_BA]]</f>
        <v>54.06</v>
      </c>
      <c r="M258" s="3">
        <v>869.58934517203113</v>
      </c>
      <c r="N258" s="3">
        <v>945.6790123456791</v>
      </c>
      <c r="O258" s="3">
        <v>745</v>
      </c>
      <c r="P258" s="37">
        <f>MIN(1-df_mep[[#This Row],[MEP_compra_ARS]]/MEDIAN(N:N),100%)</f>
        <v>-4.1813719703801544E-2</v>
      </c>
      <c r="Q258" s="38">
        <f>df_mep[[#This Row],[MEP_compra_USD]]/MEDIAN(O:O)-1</f>
        <v>-4.1280236031187578E-2</v>
      </c>
      <c r="R25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8" s="38">
        <f>ABS(df_mep[[#This Row],[bid_BA]]-df_mep[[#This Row],[ask_BA]])/AVERAGE(df_mep[[#This Row],[bid_BA]:[ask_BA]])</f>
        <v>2.7796161482461945E-2</v>
      </c>
      <c r="T258" s="36">
        <f>ABS(df_mep[[#This Row],[bid_D_BA]]-df_mep[[#This Row],[ask_D_BA]])/AVERAGE(df_mep[[#This Row],[bid_D_BA]:[ask_D_BA]])</f>
        <v>0.20994475138121549</v>
      </c>
    </row>
    <row r="259" spans="1:20" hidden="1" x14ac:dyDescent="0.35">
      <c r="A259" t="s">
        <v>172</v>
      </c>
      <c r="B259" t="s">
        <v>392</v>
      </c>
      <c r="C259" s="4">
        <v>8485</v>
      </c>
      <c r="D259" s="4">
        <v>8500</v>
      </c>
      <c r="E259" s="4">
        <v>8749</v>
      </c>
      <c r="F259" s="34">
        <v>11</v>
      </c>
      <c r="G259" s="34">
        <v>9.25</v>
      </c>
      <c r="H259" s="34">
        <v>11</v>
      </c>
      <c r="I259" s="5">
        <v>598</v>
      </c>
      <c r="J259" s="5">
        <f>df_mep[[#This Row],[volume_BA]]*df_mep[[#This Row],[open_BA]]</f>
        <v>5074030</v>
      </c>
      <c r="K259" s="5">
        <v>1</v>
      </c>
      <c r="L259" s="5">
        <f>df_mep[[#This Row],[volume_D_BA]]*df_mep[[#This Row],[open_D_BA]]</f>
        <v>11</v>
      </c>
      <c r="M259" s="3">
        <v>771.36363636363637</v>
      </c>
      <c r="N259" s="3">
        <v>945.83783783783781</v>
      </c>
      <c r="O259" s="3">
        <v>772.72727272727275</v>
      </c>
      <c r="P259" s="37">
        <f>MIN(1-df_mep[[#This Row],[MEP_compra_ARS]]/MEDIAN(N:N),100%)</f>
        <v>-4.1988690888114188E-2</v>
      </c>
      <c r="Q259" s="38">
        <f>df_mep[[#This Row],[MEP_compra_USD]]/MEDIAN(O:O)-1</f>
        <v>-5.5987805082482467E-3</v>
      </c>
      <c r="R25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9" s="38">
        <f>ABS(df_mep[[#This Row],[bid_BA]]-df_mep[[#This Row],[ask_BA]])/AVERAGE(df_mep[[#This Row],[bid_BA]:[ask_BA]])</f>
        <v>2.8871238912400718E-2</v>
      </c>
      <c r="T259" s="36">
        <f>ABS(df_mep[[#This Row],[bid_D_BA]]-df_mep[[#This Row],[ask_D_BA]])/AVERAGE(df_mep[[#This Row],[bid_D_BA]:[ask_D_BA]])</f>
        <v>0.1728395061728395</v>
      </c>
    </row>
    <row r="260" spans="1:20" hidden="1" x14ac:dyDescent="0.35">
      <c r="A260" t="s">
        <v>129</v>
      </c>
      <c r="B260" t="s">
        <v>461</v>
      </c>
      <c r="C260" s="4">
        <v>18500</v>
      </c>
      <c r="D260" s="4">
        <v>18320</v>
      </c>
      <c r="E260" s="4">
        <v>18490</v>
      </c>
      <c r="F260" s="34">
        <v>21</v>
      </c>
      <c r="G260" s="34">
        <v>19.5</v>
      </c>
      <c r="H260" s="34">
        <v>22.3</v>
      </c>
      <c r="I260" s="5">
        <v>136</v>
      </c>
      <c r="J260" s="5">
        <f>df_mep[[#This Row],[volume_BA]]*df_mep[[#This Row],[open_BA]]</f>
        <v>2516000</v>
      </c>
      <c r="K260" s="5">
        <v>3</v>
      </c>
      <c r="L260" s="5">
        <f>df_mep[[#This Row],[volume_D_BA]]*df_mep[[#This Row],[open_D_BA]]</f>
        <v>63</v>
      </c>
      <c r="M260" s="3">
        <v>880.95238095238096</v>
      </c>
      <c r="N260" s="3">
        <v>948.20512820512818</v>
      </c>
      <c r="O260" s="3">
        <v>821.52466367712998</v>
      </c>
      <c r="P260" s="37">
        <f>MIN(1-df_mep[[#This Row],[MEP_compra_ARS]]/MEDIAN(N:N),100%)</f>
        <v>-4.4596632431670447E-2</v>
      </c>
      <c r="Q260" s="38">
        <f>df_mep[[#This Row],[MEP_compra_USD]]/MEDIAN(O:O)-1</f>
        <v>5.7197223698115529E-2</v>
      </c>
      <c r="R26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0" s="38">
        <f>ABS(df_mep[[#This Row],[bid_BA]]-df_mep[[#This Row],[ask_BA]])/AVERAGE(df_mep[[#This Row],[bid_BA]:[ask_BA]])</f>
        <v>9.2366204835642486E-3</v>
      </c>
      <c r="T260" s="36">
        <f>ABS(df_mep[[#This Row],[bid_D_BA]]-df_mep[[#This Row],[ask_D_BA]])/AVERAGE(df_mep[[#This Row],[bid_D_BA]:[ask_D_BA]])</f>
        <v>0.13397129186602874</v>
      </c>
    </row>
    <row r="261" spans="1:20" hidden="1" x14ac:dyDescent="0.35">
      <c r="A261" t="s">
        <v>93</v>
      </c>
      <c r="B261" t="s">
        <v>94</v>
      </c>
      <c r="C261" s="4">
        <v>21383.5</v>
      </c>
      <c r="D261" s="4">
        <v>22200</v>
      </c>
      <c r="E261" s="4">
        <v>22830</v>
      </c>
      <c r="F261" s="34">
        <v>0</v>
      </c>
      <c r="G261" s="34">
        <v>24.05</v>
      </c>
      <c r="H261" s="34">
        <v>0</v>
      </c>
      <c r="I261" s="5">
        <v>169</v>
      </c>
      <c r="J261" s="5">
        <f>df_mep[[#This Row],[volume_BA]]*df_mep[[#This Row],[open_BA]]</f>
        <v>3613811.5</v>
      </c>
      <c r="K261" s="5">
        <v>0</v>
      </c>
      <c r="L261" s="5">
        <f>df_mep[[#This Row],[volume_D_BA]]*df_mep[[#This Row],[open_D_BA]]</f>
        <v>0</v>
      </c>
      <c r="N261" s="3">
        <v>949.27234927234929</v>
      </c>
      <c r="P261" s="37">
        <f>MIN(1-df_mep[[#This Row],[MEP_compra_ARS]]/MEDIAN(N:N),100%)</f>
        <v>-4.5772343783273994E-2</v>
      </c>
      <c r="Q261" s="38">
        <f>df_mep[[#This Row],[MEP_compra_USD]]/MEDIAN(O:O)-1</f>
        <v>-1</v>
      </c>
      <c r="R26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1" s="38">
        <f>ABS(df_mep[[#This Row],[bid_BA]]-df_mep[[#This Row],[ask_BA]])/AVERAGE(df_mep[[#This Row],[bid_BA]:[ask_BA]])</f>
        <v>2.798134576948701E-2</v>
      </c>
      <c r="T261" s="36">
        <f>ABS(df_mep[[#This Row],[bid_D_BA]]-df_mep[[#This Row],[ask_D_BA]])/AVERAGE(df_mep[[#This Row],[bid_D_BA]:[ask_D_BA]])</f>
        <v>2</v>
      </c>
    </row>
    <row r="262" spans="1:20" hidden="1" x14ac:dyDescent="0.35">
      <c r="A262" t="s">
        <v>72</v>
      </c>
      <c r="B262" t="s">
        <v>90</v>
      </c>
      <c r="C262" s="4">
        <v>5170</v>
      </c>
      <c r="D262" s="4">
        <v>5000</v>
      </c>
      <c r="E262" s="4">
        <v>5329</v>
      </c>
      <c r="F262" s="34">
        <v>6.13</v>
      </c>
      <c r="G262" s="34">
        <v>5.6</v>
      </c>
      <c r="H262" s="34">
        <v>6.2</v>
      </c>
      <c r="I262" s="5">
        <v>1710</v>
      </c>
      <c r="J262" s="5">
        <f>df_mep[[#This Row],[volume_BA]]*df_mep[[#This Row],[open_BA]]</f>
        <v>8840700</v>
      </c>
      <c r="K262" s="5">
        <v>32</v>
      </c>
      <c r="L262" s="5">
        <f>df_mep[[#This Row],[volume_D_BA]]*df_mep[[#This Row],[open_D_BA]]</f>
        <v>196.16</v>
      </c>
      <c r="M262" s="3">
        <v>843.39314845024467</v>
      </c>
      <c r="N262" s="3">
        <v>951.60714285714289</v>
      </c>
      <c r="O262" s="3">
        <v>806.45161290322574</v>
      </c>
      <c r="P262" s="37">
        <f>MIN(1-df_mep[[#This Row],[MEP_compra_ARS]]/MEDIAN(N:N),100%)</f>
        <v>-4.8344485025238138E-2</v>
      </c>
      <c r="Q262" s="38">
        <f>df_mep[[#This Row],[MEP_compra_USD]]/MEDIAN(O:O)-1</f>
        <v>3.7800134194427626E-2</v>
      </c>
      <c r="R26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2" s="38">
        <f>ABS(df_mep[[#This Row],[bid_BA]]-df_mep[[#This Row],[ask_BA]])/AVERAGE(df_mep[[#This Row],[bid_BA]:[ask_BA]])</f>
        <v>6.3704133991673934E-2</v>
      </c>
      <c r="T262" s="36">
        <f>ABS(df_mep[[#This Row],[bid_D_BA]]-df_mep[[#This Row],[ask_D_BA]])/AVERAGE(df_mep[[#This Row],[bid_D_BA]:[ask_D_BA]])</f>
        <v>0.10169491525423738</v>
      </c>
    </row>
    <row r="263" spans="1:20" hidden="1" x14ac:dyDescent="0.35">
      <c r="A263" t="s">
        <v>123</v>
      </c>
      <c r="B263" t="s">
        <v>124</v>
      </c>
      <c r="C263" s="4">
        <v>8500</v>
      </c>
      <c r="D263" s="4">
        <v>5000</v>
      </c>
      <c r="E263" s="4">
        <v>10000</v>
      </c>
      <c r="F263" s="34">
        <v>10.5</v>
      </c>
      <c r="G263" s="34">
        <v>10.5</v>
      </c>
      <c r="H263" s="34">
        <v>11</v>
      </c>
      <c r="I263" s="5">
        <v>521</v>
      </c>
      <c r="J263" s="5">
        <f>df_mep[[#This Row],[volume_BA]]*df_mep[[#This Row],[open_BA]]</f>
        <v>4428500</v>
      </c>
      <c r="K263" s="5">
        <v>5</v>
      </c>
      <c r="L263" s="5">
        <f>df_mep[[#This Row],[volume_D_BA]]*df_mep[[#This Row],[open_D_BA]]</f>
        <v>52.5</v>
      </c>
      <c r="M263" s="3">
        <v>809.52380952380952</v>
      </c>
      <c r="N263" s="3">
        <v>952.38095238095241</v>
      </c>
      <c r="O263" s="3">
        <v>454.54545454545456</v>
      </c>
      <c r="P263" s="37">
        <f>MIN(1-df_mep[[#This Row],[MEP_compra_ARS]]/MEDIAN(N:N),100%)</f>
        <v>-4.9196957553250265E-2</v>
      </c>
      <c r="Q263" s="38">
        <f>df_mep[[#This Row],[MEP_compra_USD]]/MEDIAN(O:O)-1</f>
        <v>-0.41505810618132244</v>
      </c>
      <c r="R26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3" s="38">
        <f>ABS(df_mep[[#This Row],[bid_BA]]-df_mep[[#This Row],[ask_BA]])/AVERAGE(df_mep[[#This Row],[bid_BA]:[ask_BA]])</f>
        <v>0.66666666666666663</v>
      </c>
      <c r="T263" s="36">
        <f>ABS(df_mep[[#This Row],[bid_D_BA]]-df_mep[[#This Row],[ask_D_BA]])/AVERAGE(df_mep[[#This Row],[bid_D_BA]:[ask_D_BA]])</f>
        <v>4.6511627906976744E-2</v>
      </c>
    </row>
    <row r="264" spans="1:20" hidden="1" x14ac:dyDescent="0.35">
      <c r="A264" t="s">
        <v>75</v>
      </c>
      <c r="B264" t="s">
        <v>583</v>
      </c>
      <c r="C264" s="4">
        <v>20500</v>
      </c>
      <c r="D264" s="4">
        <v>19339.5</v>
      </c>
      <c r="E264" s="4">
        <v>19508</v>
      </c>
      <c r="F264" s="34">
        <v>23.6</v>
      </c>
      <c r="G264" s="34">
        <v>21.4</v>
      </c>
      <c r="H264" s="34">
        <v>24.75</v>
      </c>
      <c r="I264" s="5">
        <v>10358</v>
      </c>
      <c r="J264" s="5">
        <f>df_mep[[#This Row],[volume_BA]]*df_mep[[#This Row],[open_BA]]</f>
        <v>212339000</v>
      </c>
      <c r="K264" s="5">
        <v>61</v>
      </c>
      <c r="L264" s="5">
        <f>df_mep[[#This Row],[volume_D_BA]]*df_mep[[#This Row],[open_D_BA]]</f>
        <v>1439.6000000000001</v>
      </c>
      <c r="M264" s="3">
        <v>868.6440677966101</v>
      </c>
      <c r="N264" s="3">
        <v>911.58878504672907</v>
      </c>
      <c r="O264" s="3">
        <v>781.39393939393938</v>
      </c>
      <c r="P264" s="37">
        <f>MIN(1-df_mep[[#This Row],[MEP_compra_ARS]]/MEDIAN(N:N),100%)</f>
        <v>-4.2579888012266309E-3</v>
      </c>
      <c r="Q264" s="38">
        <f>df_mep[[#This Row],[MEP_compra_USD]]/MEDIAN(O:O)-1</f>
        <v>5.5541116005610736E-3</v>
      </c>
      <c r="R26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4" s="38">
        <f>ABS(df_mep[[#This Row],[bid_BA]]-df_mep[[#This Row],[ask_BA]])/AVERAGE(df_mep[[#This Row],[bid_BA]:[ask_BA]])</f>
        <v>8.6749469077804231E-3</v>
      </c>
      <c r="T264" s="36">
        <f>ABS(df_mep[[#This Row],[bid_D_BA]]-df_mep[[#This Row],[ask_D_BA]])/AVERAGE(df_mep[[#This Row],[bid_D_BA]:[ask_D_BA]])</f>
        <v>0.14517876489707482</v>
      </c>
    </row>
    <row r="265" spans="1:20" hidden="1" x14ac:dyDescent="0.35">
      <c r="A265" t="s">
        <v>133</v>
      </c>
      <c r="B265" t="s">
        <v>483</v>
      </c>
      <c r="C265" s="4">
        <v>21335</v>
      </c>
      <c r="D265" s="4">
        <v>20500</v>
      </c>
      <c r="E265" s="4">
        <v>20800</v>
      </c>
      <c r="F265" s="34">
        <v>24.5</v>
      </c>
      <c r="G265" s="34">
        <v>23.8</v>
      </c>
      <c r="H265" s="34">
        <v>25.2</v>
      </c>
      <c r="I265" s="5">
        <v>3556</v>
      </c>
      <c r="J265" s="5">
        <f>df_mep[[#This Row],[volume_BA]]*df_mep[[#This Row],[open_BA]]</f>
        <v>75867260</v>
      </c>
      <c r="K265" s="5">
        <v>49</v>
      </c>
      <c r="L265" s="5">
        <f>df_mep[[#This Row],[volume_D_BA]]*df_mep[[#This Row],[open_D_BA]]</f>
        <v>1200.5</v>
      </c>
      <c r="M265" s="3">
        <v>870.81632653061229</v>
      </c>
      <c r="N265" s="3">
        <v>873.94957983193274</v>
      </c>
      <c r="O265" s="3">
        <v>813.49206349206349</v>
      </c>
      <c r="P265" s="37">
        <f>MIN(1-df_mep[[#This Row],[MEP_compra_ARS]]/MEDIAN(N:N),100%)</f>
        <v>3.7207497774664589E-2</v>
      </c>
      <c r="Q265" s="38">
        <f>df_mep[[#This Row],[MEP_compra_USD]]/MEDIAN(O:O)-1</f>
        <v>4.6860294096125132E-2</v>
      </c>
      <c r="R26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5" s="38">
        <f>ABS(df_mep[[#This Row],[bid_BA]]-df_mep[[#This Row],[ask_BA]])/AVERAGE(df_mep[[#This Row],[bid_BA]:[ask_BA]])</f>
        <v>1.4527845036319613E-2</v>
      </c>
      <c r="T265" s="36">
        <f>ABS(df_mep[[#This Row],[bid_D_BA]]-df_mep[[#This Row],[ask_D_BA]])/AVERAGE(df_mep[[#This Row],[bid_D_BA]:[ask_D_BA]])</f>
        <v>5.7142857142857086E-2</v>
      </c>
    </row>
    <row r="266" spans="1:20" hidden="1" x14ac:dyDescent="0.35">
      <c r="A266" t="s">
        <v>91</v>
      </c>
      <c r="B266" t="s">
        <v>332</v>
      </c>
      <c r="C266" s="4">
        <v>13381</v>
      </c>
      <c r="D266" s="4">
        <v>13900</v>
      </c>
      <c r="E266" s="4">
        <v>14250</v>
      </c>
      <c r="F266" s="34">
        <v>0</v>
      </c>
      <c r="G266" s="34">
        <v>14.8</v>
      </c>
      <c r="H266" s="34">
        <v>17</v>
      </c>
      <c r="I266" s="5">
        <v>294</v>
      </c>
      <c r="J266" s="5">
        <f>df_mep[[#This Row],[volume_BA]]*df_mep[[#This Row],[open_BA]]</f>
        <v>3934014</v>
      </c>
      <c r="K266" s="5">
        <v>0</v>
      </c>
      <c r="L266" s="5">
        <f>df_mep[[#This Row],[volume_D_BA]]*df_mep[[#This Row],[open_D_BA]]</f>
        <v>0</v>
      </c>
      <c r="N266" s="3">
        <v>962.83783783783781</v>
      </c>
      <c r="O266" s="3">
        <v>817.64705882352939</v>
      </c>
      <c r="P266" s="37">
        <f>MIN(1-df_mep[[#This Row],[MEP_compra_ARS]]/MEDIAN(N:N),100%)</f>
        <v>-6.0716856580439682E-2</v>
      </c>
      <c r="Q266" s="38">
        <f>df_mep[[#This Row],[MEP_compra_USD]]/MEDIAN(O:O)-1</f>
        <v>5.2207241939715043E-2</v>
      </c>
      <c r="R26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6" s="38">
        <f>ABS(df_mep[[#This Row],[bid_BA]]-df_mep[[#This Row],[ask_BA]])/AVERAGE(df_mep[[#This Row],[bid_BA]:[ask_BA]])</f>
        <v>2.4866785079928951E-2</v>
      </c>
      <c r="T266" s="36">
        <f>ABS(df_mep[[#This Row],[bid_D_BA]]-df_mep[[#This Row],[ask_D_BA]])/AVERAGE(df_mep[[#This Row],[bid_D_BA]:[ask_D_BA]])</f>
        <v>0.13836477987421378</v>
      </c>
    </row>
    <row r="267" spans="1:20" hidden="1" x14ac:dyDescent="0.35">
      <c r="A267" t="s">
        <v>280</v>
      </c>
      <c r="B267" t="s">
        <v>309</v>
      </c>
      <c r="C267" s="4">
        <v>13500</v>
      </c>
      <c r="D267" s="4">
        <v>12501</v>
      </c>
      <c r="E267" s="4">
        <v>13596.5</v>
      </c>
      <c r="F267" s="34">
        <v>15</v>
      </c>
      <c r="G267" s="34">
        <v>14</v>
      </c>
      <c r="H267" s="34">
        <v>15</v>
      </c>
      <c r="I267" s="5">
        <v>319</v>
      </c>
      <c r="J267" s="5">
        <f>df_mep[[#This Row],[volume_BA]]*df_mep[[#This Row],[open_BA]]</f>
        <v>4306500</v>
      </c>
      <c r="K267" s="5">
        <v>2</v>
      </c>
      <c r="L267" s="5">
        <f>df_mep[[#This Row],[volume_D_BA]]*df_mep[[#This Row],[open_D_BA]]</f>
        <v>30</v>
      </c>
      <c r="M267" s="3">
        <v>900</v>
      </c>
      <c r="N267" s="3">
        <v>971.17857142857144</v>
      </c>
      <c r="O267" s="3">
        <v>833.4</v>
      </c>
      <c r="P267" s="37">
        <f>MIN(1-df_mep[[#This Row],[MEP_compra_ARS]]/MEDIAN(N:N),100%)</f>
        <v>-6.9905482502957472E-2</v>
      </c>
      <c r="Q267" s="38">
        <f>df_mep[[#This Row],[MEP_compra_USD]]/MEDIAN(O:O)-1</f>
        <v>7.2479263478668843E-2</v>
      </c>
      <c r="R26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7" s="38">
        <f>ABS(df_mep[[#This Row],[bid_BA]]-df_mep[[#This Row],[ask_BA]])/AVERAGE(df_mep[[#This Row],[bid_BA]:[ask_BA]])</f>
        <v>8.3954401762620937E-2</v>
      </c>
      <c r="T267" s="36">
        <f>ABS(df_mep[[#This Row],[bid_D_BA]]-df_mep[[#This Row],[ask_D_BA]])/AVERAGE(df_mep[[#This Row],[bid_D_BA]:[ask_D_BA]])</f>
        <v>6.8965517241379309E-2</v>
      </c>
    </row>
    <row r="268" spans="1:20" hidden="1" x14ac:dyDescent="0.35">
      <c r="A268" t="s">
        <v>160</v>
      </c>
      <c r="B268" t="s">
        <v>582</v>
      </c>
      <c r="C268" s="4">
        <v>10000</v>
      </c>
      <c r="D268" s="4">
        <v>9861</v>
      </c>
      <c r="E268" s="4">
        <v>10239</v>
      </c>
      <c r="F268" s="34">
        <v>11.9</v>
      </c>
      <c r="G268" s="34">
        <v>10.5</v>
      </c>
      <c r="H268" s="34">
        <v>12.1</v>
      </c>
      <c r="I268" s="5">
        <v>1410</v>
      </c>
      <c r="J268" s="5">
        <f>df_mep[[#This Row],[volume_BA]]*df_mep[[#This Row],[open_BA]]</f>
        <v>14100000</v>
      </c>
      <c r="K268" s="5">
        <v>1</v>
      </c>
      <c r="L268" s="5">
        <f>df_mep[[#This Row],[volume_D_BA]]*df_mep[[#This Row],[open_D_BA]]</f>
        <v>11.9</v>
      </c>
      <c r="M268" s="3">
        <v>840.33613445378148</v>
      </c>
      <c r="N268" s="3">
        <v>975.14285714285711</v>
      </c>
      <c r="O268" s="3">
        <v>814.95867768595042</v>
      </c>
      <c r="P268" s="37">
        <f>MIN(1-df_mep[[#This Row],[MEP_compra_ARS]]/MEDIAN(N:N),100%)</f>
        <v>-7.4272764838772876E-2</v>
      </c>
      <c r="Q268" s="38">
        <f>df_mep[[#This Row],[MEP_compra_USD]]/MEDIAN(O:O)-1</f>
        <v>4.8747639081087035E-2</v>
      </c>
      <c r="R26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8" s="38">
        <f>ABS(df_mep[[#This Row],[bid_BA]]-df_mep[[#This Row],[ask_BA]])/AVERAGE(df_mep[[#This Row],[bid_BA]:[ask_BA]])</f>
        <v>3.7611940298507465E-2</v>
      </c>
      <c r="T268" s="36">
        <f>ABS(df_mep[[#This Row],[bid_D_BA]]-df_mep[[#This Row],[ask_D_BA]])/AVERAGE(df_mep[[#This Row],[bid_D_BA]:[ask_D_BA]])</f>
        <v>0.14159292035398227</v>
      </c>
    </row>
    <row r="269" spans="1:20" hidden="1" x14ac:dyDescent="0.35">
      <c r="A269" t="s">
        <v>186</v>
      </c>
      <c r="B269" t="s">
        <v>476</v>
      </c>
      <c r="C269" s="4">
        <v>19067</v>
      </c>
      <c r="D269" s="4">
        <v>17100</v>
      </c>
      <c r="E269" s="4">
        <v>19300</v>
      </c>
      <c r="F269" s="34">
        <v>22.7</v>
      </c>
      <c r="G269" s="34">
        <v>19.7</v>
      </c>
      <c r="H269" s="34">
        <v>24.9</v>
      </c>
      <c r="I269" s="5">
        <v>94</v>
      </c>
      <c r="J269" s="5">
        <f>df_mep[[#This Row],[volume_BA]]*df_mep[[#This Row],[open_BA]]</f>
        <v>1792298</v>
      </c>
      <c r="K269" s="5">
        <v>1</v>
      </c>
      <c r="L269" s="5">
        <f>df_mep[[#This Row],[volume_D_BA]]*df_mep[[#This Row],[open_D_BA]]</f>
        <v>22.7</v>
      </c>
      <c r="M269" s="3">
        <v>839.95594713656385</v>
      </c>
      <c r="N269" s="3">
        <v>979.69543147208128</v>
      </c>
      <c r="O269" s="3">
        <v>686.74698795180723</v>
      </c>
      <c r="P269" s="37">
        <f>MIN(1-df_mep[[#This Row],[MEP_compra_ARS]]/MEDIAN(N:N),100%)</f>
        <v>-7.9288139330792706E-2</v>
      </c>
      <c r="Q269" s="38">
        <f>df_mep[[#This Row],[MEP_compra_USD]]/MEDIAN(O:O)-1</f>
        <v>-0.1162444158450342</v>
      </c>
      <c r="R26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9" s="38">
        <f>ABS(df_mep[[#This Row],[bid_BA]]-df_mep[[#This Row],[ask_BA]])/AVERAGE(df_mep[[#This Row],[bid_BA]:[ask_BA]])</f>
        <v>0.12087912087912088</v>
      </c>
      <c r="T269" s="36">
        <f>ABS(df_mep[[#This Row],[bid_D_BA]]-df_mep[[#This Row],[ask_D_BA]])/AVERAGE(df_mep[[#This Row],[bid_D_BA]:[ask_D_BA]])</f>
        <v>0.23318385650224216</v>
      </c>
    </row>
    <row r="270" spans="1:20" hidden="1" x14ac:dyDescent="0.35">
      <c r="A270" t="s">
        <v>125</v>
      </c>
      <c r="B270" t="s">
        <v>437</v>
      </c>
      <c r="C270" s="4">
        <v>26000</v>
      </c>
      <c r="D270" s="4">
        <v>22000</v>
      </c>
      <c r="E270" s="4">
        <v>27440</v>
      </c>
      <c r="F270" s="34">
        <v>31</v>
      </c>
      <c r="G270" s="34">
        <v>30</v>
      </c>
      <c r="H270" s="34">
        <v>31</v>
      </c>
      <c r="I270" s="5">
        <v>2047</v>
      </c>
      <c r="J270" s="5">
        <f>df_mep[[#This Row],[volume_BA]]*df_mep[[#This Row],[open_BA]]</f>
        <v>53222000</v>
      </c>
      <c r="K270" s="5">
        <v>36</v>
      </c>
      <c r="L270" s="5">
        <f>df_mep[[#This Row],[volume_D_BA]]*df_mep[[#This Row],[open_D_BA]]</f>
        <v>1116</v>
      </c>
      <c r="M270" s="3">
        <v>838.70967741935488</v>
      </c>
      <c r="N270" s="3">
        <v>914.66666666666663</v>
      </c>
      <c r="O270" s="3">
        <v>709.67741935483866</v>
      </c>
      <c r="P270" s="37">
        <f>MIN(1-df_mep[[#This Row],[MEP_compra_ARS]]/MEDIAN(N:N),100%)</f>
        <v>-7.6487580341415562E-3</v>
      </c>
      <c r="Q270" s="38">
        <f>df_mep[[#This Row],[MEP_compra_USD]]/MEDIAN(O:O)-1</f>
        <v>-8.6735881908903578E-2</v>
      </c>
      <c r="R27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0" s="38">
        <f>ABS(df_mep[[#This Row],[bid_BA]]-df_mep[[#This Row],[ask_BA]])/AVERAGE(df_mep[[#This Row],[bid_BA]:[ask_BA]])</f>
        <v>0.22006472491909385</v>
      </c>
      <c r="T270" s="36">
        <f>ABS(df_mep[[#This Row],[bid_D_BA]]-df_mep[[#This Row],[ask_D_BA]])/AVERAGE(df_mep[[#This Row],[bid_D_BA]:[ask_D_BA]])</f>
        <v>3.2786885245901641E-2</v>
      </c>
    </row>
    <row r="271" spans="1:20" hidden="1" x14ac:dyDescent="0.35">
      <c r="A271" t="s">
        <v>121</v>
      </c>
      <c r="B271" t="s">
        <v>419</v>
      </c>
      <c r="C271" s="4">
        <v>4658</v>
      </c>
      <c r="D271" s="4">
        <v>4000</v>
      </c>
      <c r="E271" s="4">
        <v>5327</v>
      </c>
      <c r="F271" s="34">
        <v>5.8</v>
      </c>
      <c r="G271" s="34">
        <v>5.32</v>
      </c>
      <c r="H271" s="34">
        <v>6.8</v>
      </c>
      <c r="I271" s="5">
        <v>1317</v>
      </c>
      <c r="J271" s="5">
        <f>df_mep[[#This Row],[volume_BA]]*df_mep[[#This Row],[open_BA]]</f>
        <v>6134586</v>
      </c>
      <c r="K271" s="5">
        <v>31</v>
      </c>
      <c r="L271" s="5">
        <f>df_mep[[#This Row],[volume_D_BA]]*df_mep[[#This Row],[open_D_BA]]</f>
        <v>179.79999999999998</v>
      </c>
      <c r="M271" s="3">
        <v>803.10344827586209</v>
      </c>
      <c r="N271" s="3">
        <v>1001.3157894736842</v>
      </c>
      <c r="O271" s="3">
        <v>588.23529411764707</v>
      </c>
      <c r="P271" s="37">
        <f>MIN(1-df_mep[[#This Row],[MEP_compra_ARS]]/MEDIAN(N:N),100%)</f>
        <v>-0.10310635385911127</v>
      </c>
      <c r="Q271" s="38">
        <f>df_mep[[#This Row],[MEP_compra_USD]]/MEDIAN(O:O)-1</f>
        <v>-0.2430163727052409</v>
      </c>
      <c r="R27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1" s="38">
        <f>ABS(df_mep[[#This Row],[bid_BA]]-df_mep[[#This Row],[ask_BA]])/AVERAGE(df_mep[[#This Row],[bid_BA]:[ask_BA]])</f>
        <v>0.28455023051356276</v>
      </c>
      <c r="T271" s="36">
        <f>ABS(df_mep[[#This Row],[bid_D_BA]]-df_mep[[#This Row],[ask_D_BA]])/AVERAGE(df_mep[[#This Row],[bid_D_BA]:[ask_D_BA]])</f>
        <v>0.24422442244224413</v>
      </c>
    </row>
    <row r="272" spans="1:20" hidden="1" x14ac:dyDescent="0.35">
      <c r="A272" t="s">
        <v>202</v>
      </c>
      <c r="B272" t="s">
        <v>566</v>
      </c>
      <c r="C272" s="4">
        <v>8615</v>
      </c>
      <c r="D272" s="4">
        <v>8901</v>
      </c>
      <c r="E272" s="4">
        <v>9300</v>
      </c>
      <c r="F272" s="34">
        <v>0</v>
      </c>
      <c r="G272" s="34">
        <v>9.25</v>
      </c>
      <c r="H272" s="34">
        <v>11.6</v>
      </c>
      <c r="I272" s="5">
        <v>47</v>
      </c>
      <c r="J272" s="5">
        <f>df_mep[[#This Row],[volume_BA]]*df_mep[[#This Row],[open_BA]]</f>
        <v>404905</v>
      </c>
      <c r="K272" s="5">
        <v>0</v>
      </c>
      <c r="L272" s="5">
        <f>df_mep[[#This Row],[volume_D_BA]]*df_mep[[#This Row],[open_D_BA]]</f>
        <v>0</v>
      </c>
      <c r="N272" s="3">
        <v>1005.4054054054054</v>
      </c>
      <c r="O272" s="3">
        <v>767.32758620689663</v>
      </c>
      <c r="P272" s="37">
        <f>MIN(1-df_mep[[#This Row],[MEP_compra_ARS]]/MEDIAN(N:N),100%)</f>
        <v>-0.10761170708189072</v>
      </c>
      <c r="Q272" s="38">
        <f>df_mep[[#This Row],[MEP_compra_USD]]/MEDIAN(O:O)-1</f>
        <v>-1.2547486798611396E-2</v>
      </c>
      <c r="R27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2" s="38">
        <f>ABS(df_mep[[#This Row],[bid_BA]]-df_mep[[#This Row],[ask_BA]])/AVERAGE(df_mep[[#This Row],[bid_BA]:[ask_BA]])</f>
        <v>4.3843744849184109E-2</v>
      </c>
      <c r="T272" s="36">
        <f>ABS(df_mep[[#This Row],[bid_D_BA]]-df_mep[[#This Row],[ask_D_BA]])/AVERAGE(df_mep[[#This Row],[bid_D_BA]:[ask_D_BA]])</f>
        <v>0.22541966426858509</v>
      </c>
    </row>
    <row r="273" spans="1:20" hidden="1" x14ac:dyDescent="0.35">
      <c r="A273" t="s">
        <v>254</v>
      </c>
      <c r="B273" t="s">
        <v>435</v>
      </c>
      <c r="C273" s="4">
        <v>8670</v>
      </c>
      <c r="D273" s="4">
        <v>8000</v>
      </c>
      <c r="E273" s="4">
        <v>8880</v>
      </c>
      <c r="F273" s="34">
        <v>11</v>
      </c>
      <c r="G273" s="34">
        <v>8.8000000000000007</v>
      </c>
      <c r="H273" s="34">
        <v>13.2</v>
      </c>
      <c r="I273" s="5">
        <v>946</v>
      </c>
      <c r="J273" s="5">
        <f>df_mep[[#This Row],[volume_BA]]*df_mep[[#This Row],[open_BA]]</f>
        <v>8201820</v>
      </c>
      <c r="K273" s="5">
        <v>9</v>
      </c>
      <c r="L273" s="5">
        <f>df_mep[[#This Row],[volume_D_BA]]*df_mep[[#This Row],[open_D_BA]]</f>
        <v>99</v>
      </c>
      <c r="M273" s="3">
        <v>788.18181818181813</v>
      </c>
      <c r="N273" s="3">
        <v>1009.090909090909</v>
      </c>
      <c r="O273" s="3">
        <v>606.06060606060612</v>
      </c>
      <c r="P273" s="37">
        <f>MIN(1-df_mep[[#This Row],[MEP_compra_ARS]]/MEDIAN(N:N),100%)</f>
        <v>-0.11167186729846645</v>
      </c>
      <c r="Q273" s="38">
        <f>df_mep[[#This Row],[MEP_compra_USD]]/MEDIAN(O:O)-1</f>
        <v>-0.22007747490842988</v>
      </c>
      <c r="R27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3" s="38">
        <f>ABS(df_mep[[#This Row],[bid_BA]]-df_mep[[#This Row],[ask_BA]])/AVERAGE(df_mep[[#This Row],[bid_BA]:[ask_BA]])</f>
        <v>0.10426540284360189</v>
      </c>
      <c r="T273" s="36">
        <f>ABS(df_mep[[#This Row],[bid_D_BA]]-df_mep[[#This Row],[ask_D_BA]])/AVERAGE(df_mep[[#This Row],[bid_D_BA]:[ask_D_BA]])</f>
        <v>0.39999999999999986</v>
      </c>
    </row>
    <row r="274" spans="1:20" hidden="1" x14ac:dyDescent="0.35">
      <c r="A274" t="s">
        <v>63</v>
      </c>
      <c r="B274" t="s">
        <v>460</v>
      </c>
      <c r="C274" s="4">
        <v>62000</v>
      </c>
      <c r="D274" s="4">
        <v>67900</v>
      </c>
      <c r="E274" s="4">
        <v>69900</v>
      </c>
      <c r="F274" s="34">
        <v>69.099999999999994</v>
      </c>
      <c r="G274" s="34">
        <v>69.099999999999994</v>
      </c>
      <c r="H274" s="34">
        <v>0</v>
      </c>
      <c r="I274" s="5">
        <v>192</v>
      </c>
      <c r="J274" s="5">
        <f>df_mep[[#This Row],[volume_BA]]*df_mep[[#This Row],[open_BA]]</f>
        <v>11904000</v>
      </c>
      <c r="K274" s="5">
        <v>152</v>
      </c>
      <c r="L274" s="5">
        <f>df_mep[[#This Row],[volume_D_BA]]*df_mep[[#This Row],[open_D_BA]]</f>
        <v>10503.199999999999</v>
      </c>
      <c r="M274" s="3">
        <v>897.2503617945008</v>
      </c>
      <c r="N274" s="3">
        <v>1011.5774240231549</v>
      </c>
      <c r="P274" s="37">
        <f>MIN(1-df_mep[[#This Row],[MEP_compra_ARS]]/MEDIAN(N:N),100%)</f>
        <v>-0.11441115339538066</v>
      </c>
      <c r="Q274" s="38">
        <f>df_mep[[#This Row],[MEP_compra_USD]]/MEDIAN(O:O)-1</f>
        <v>-1</v>
      </c>
      <c r="R27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4" s="38">
        <f>ABS(df_mep[[#This Row],[bid_BA]]-df_mep[[#This Row],[ask_BA]])/AVERAGE(df_mep[[#This Row],[bid_BA]:[ask_BA]])</f>
        <v>2.9027576197387519E-2</v>
      </c>
      <c r="T274" s="36">
        <f>ABS(df_mep[[#This Row],[bid_D_BA]]-df_mep[[#This Row],[ask_D_BA]])/AVERAGE(df_mep[[#This Row],[bid_D_BA]:[ask_D_BA]])</f>
        <v>2</v>
      </c>
    </row>
    <row r="275" spans="1:20" hidden="1" x14ac:dyDescent="0.35">
      <c r="A275" t="s">
        <v>299</v>
      </c>
      <c r="B275" t="s">
        <v>563</v>
      </c>
      <c r="C275" s="4">
        <v>3330</v>
      </c>
      <c r="D275" s="4">
        <v>3228.5</v>
      </c>
      <c r="E275" s="4">
        <v>3173.5</v>
      </c>
      <c r="F275" s="34">
        <v>0</v>
      </c>
      <c r="G275" s="34">
        <v>3.04</v>
      </c>
      <c r="H275" s="34">
        <v>0</v>
      </c>
      <c r="I275" s="5">
        <v>4</v>
      </c>
      <c r="J275" s="5">
        <f>df_mep[[#This Row],[volume_BA]]*df_mep[[#This Row],[open_BA]]</f>
        <v>13320</v>
      </c>
      <c r="K275" s="5">
        <v>0</v>
      </c>
      <c r="L275" s="5">
        <f>df_mep[[#This Row],[volume_D_BA]]*df_mep[[#This Row],[open_D_BA]]</f>
        <v>0</v>
      </c>
      <c r="N275" s="3">
        <v>1043.9144736842104</v>
      </c>
      <c r="P275" s="37">
        <f>MIN(1-df_mep[[#This Row],[MEP_compra_ARS]]/MEDIAN(N:N),100%)</f>
        <v>-0.15003548422203994</v>
      </c>
      <c r="Q275" s="38">
        <f>df_mep[[#This Row],[MEP_compra_USD]]/MEDIAN(O:O)-1</f>
        <v>-1</v>
      </c>
      <c r="R27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5" s="38">
        <f>ABS(df_mep[[#This Row],[bid_BA]]-df_mep[[#This Row],[ask_BA]])/AVERAGE(df_mep[[#This Row],[bid_BA]:[ask_BA]])</f>
        <v>1.7182130584192441E-2</v>
      </c>
      <c r="T275" s="36">
        <f>ABS(df_mep[[#This Row],[bid_D_BA]]-df_mep[[#This Row],[ask_D_BA]])/AVERAGE(df_mep[[#This Row],[bid_D_BA]:[ask_D_BA]])</f>
        <v>2</v>
      </c>
    </row>
    <row r="276" spans="1:20" hidden="1" x14ac:dyDescent="0.35">
      <c r="A276" t="s">
        <v>178</v>
      </c>
      <c r="B276" t="s">
        <v>416</v>
      </c>
      <c r="C276" s="4">
        <v>15800</v>
      </c>
      <c r="D276" s="4">
        <v>15210</v>
      </c>
      <c r="E276" s="4">
        <v>19100</v>
      </c>
      <c r="F276" s="34">
        <v>19.649999999999999</v>
      </c>
      <c r="G276" s="34">
        <v>17.899999999999999</v>
      </c>
      <c r="H276" s="34">
        <v>22.5</v>
      </c>
      <c r="I276" s="5">
        <v>92</v>
      </c>
      <c r="J276" s="5">
        <f>df_mep[[#This Row],[volume_BA]]*df_mep[[#This Row],[open_BA]]</f>
        <v>1453600</v>
      </c>
      <c r="K276" s="5">
        <v>1</v>
      </c>
      <c r="L276" s="5">
        <f>df_mep[[#This Row],[volume_D_BA]]*df_mep[[#This Row],[open_D_BA]]</f>
        <v>19.649999999999999</v>
      </c>
      <c r="M276" s="3">
        <v>804.07124681933851</v>
      </c>
      <c r="N276" s="3">
        <v>1067.0391061452515</v>
      </c>
      <c r="O276" s="3">
        <v>676</v>
      </c>
      <c r="P276" s="37">
        <f>MIN(1-df_mep[[#This Row],[MEP_compra_ARS]]/MEDIAN(N:N),100%)</f>
        <v>-0.17551089294583444</v>
      </c>
      <c r="Q276" s="38">
        <f>df_mep[[#This Row],[MEP_compra_USD]]/MEDIAN(O:O)-1</f>
        <v>-0.13007441551286281</v>
      </c>
      <c r="R27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6" s="38">
        <f>ABS(df_mep[[#This Row],[bid_BA]]-df_mep[[#This Row],[ask_BA]])/AVERAGE(df_mep[[#This Row],[bid_BA]:[ask_BA]])</f>
        <v>0.22675604779947536</v>
      </c>
      <c r="T276" s="36">
        <f>ABS(df_mep[[#This Row],[bid_D_BA]]-df_mep[[#This Row],[ask_D_BA]])/AVERAGE(df_mep[[#This Row],[bid_D_BA]:[ask_D_BA]])</f>
        <v>0.22772277227722781</v>
      </c>
    </row>
    <row r="277" spans="1:20" hidden="1" x14ac:dyDescent="0.35">
      <c r="A277" t="s">
        <v>243</v>
      </c>
      <c r="B277" t="s">
        <v>415</v>
      </c>
      <c r="C277" s="4">
        <v>16042</v>
      </c>
      <c r="D277" s="4">
        <v>14500</v>
      </c>
      <c r="E277" s="4">
        <v>17200</v>
      </c>
      <c r="F277" s="34">
        <v>0</v>
      </c>
      <c r="G277" s="34">
        <v>16.100000000000001</v>
      </c>
      <c r="H277" s="34">
        <v>0</v>
      </c>
      <c r="I277" s="5">
        <v>187</v>
      </c>
      <c r="J277" s="5">
        <f>df_mep[[#This Row],[volume_BA]]*df_mep[[#This Row],[open_BA]]</f>
        <v>2999854</v>
      </c>
      <c r="K277" s="5">
        <v>0</v>
      </c>
      <c r="L277" s="5">
        <f>df_mep[[#This Row],[volume_D_BA]]*df_mep[[#This Row],[open_D_BA]]</f>
        <v>0</v>
      </c>
      <c r="N277" s="3">
        <v>1068.3229813664595</v>
      </c>
      <c r="P277" s="37">
        <f>MIN(1-df_mep[[#This Row],[MEP_compra_ARS]]/MEDIAN(N:N),100%)</f>
        <v>-0.17692528282060227</v>
      </c>
      <c r="Q277" s="38">
        <f>df_mep[[#This Row],[MEP_compra_USD]]/MEDIAN(O:O)-1</f>
        <v>-1</v>
      </c>
      <c r="R27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7" s="38">
        <f>ABS(df_mep[[#This Row],[bid_BA]]-df_mep[[#This Row],[ask_BA]])/AVERAGE(df_mep[[#This Row],[bid_BA]:[ask_BA]])</f>
        <v>0.17034700315457413</v>
      </c>
      <c r="T277" s="36">
        <f>ABS(df_mep[[#This Row],[bid_D_BA]]-df_mep[[#This Row],[ask_D_BA]])/AVERAGE(df_mep[[#This Row],[bid_D_BA]:[ask_D_BA]])</f>
        <v>2</v>
      </c>
    </row>
    <row r="278" spans="1:20" hidden="1" x14ac:dyDescent="0.35">
      <c r="A278" t="s">
        <v>52</v>
      </c>
      <c r="B278" t="s">
        <v>474</v>
      </c>
      <c r="C278" s="4">
        <v>9500</v>
      </c>
      <c r="D278" s="4">
        <v>9800</v>
      </c>
      <c r="E278" s="4">
        <v>10100</v>
      </c>
      <c r="F278" s="34">
        <v>11.1</v>
      </c>
      <c r="G278" s="34">
        <v>11.1</v>
      </c>
      <c r="H278" s="34">
        <v>11.85</v>
      </c>
      <c r="I278" s="5">
        <v>2096</v>
      </c>
      <c r="J278" s="5">
        <f>df_mep[[#This Row],[volume_BA]]*df_mep[[#This Row],[open_BA]]</f>
        <v>19912000</v>
      </c>
      <c r="K278" s="5">
        <v>100</v>
      </c>
      <c r="L278" s="5">
        <f>df_mep[[#This Row],[volume_D_BA]]*df_mep[[#This Row],[open_D_BA]]</f>
        <v>1110</v>
      </c>
      <c r="M278" s="3">
        <v>855.85585585585591</v>
      </c>
      <c r="N278" s="3">
        <v>909.90990990990997</v>
      </c>
      <c r="O278" s="3">
        <v>827.00421940928277</v>
      </c>
      <c r="P278" s="37">
        <f>MIN(1-df_mep[[#This Row],[MEP_compra_ARS]]/MEDIAN(N:N),100%)</f>
        <v>-2.4084445812810884E-3</v>
      </c>
      <c r="Q278" s="38">
        <f>df_mep[[#This Row],[MEP_compra_USD]]/MEDIAN(O:O)-1</f>
        <v>6.4248711454066409E-2</v>
      </c>
      <c r="R27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8" s="38">
        <f>ABS(df_mep[[#This Row],[bid_BA]]-df_mep[[#This Row],[ask_BA]])/AVERAGE(df_mep[[#This Row],[bid_BA]:[ask_BA]])</f>
        <v>3.015075376884422E-2</v>
      </c>
      <c r="T278" s="36">
        <f>ABS(df_mep[[#This Row],[bid_D_BA]]-df_mep[[#This Row],[ask_D_BA]])/AVERAGE(df_mep[[#This Row],[bid_D_BA]:[ask_D_BA]])</f>
        <v>6.535947712418301E-2</v>
      </c>
    </row>
    <row r="279" spans="1:20" hidden="1" x14ac:dyDescent="0.35">
      <c r="A279" t="s">
        <v>127</v>
      </c>
      <c r="B279" t="s">
        <v>449</v>
      </c>
      <c r="C279" s="4">
        <v>2495</v>
      </c>
      <c r="D279" s="4">
        <v>1750</v>
      </c>
      <c r="E279" s="4">
        <v>2900</v>
      </c>
      <c r="F279" s="34">
        <v>2.9</v>
      </c>
      <c r="G279" s="34">
        <v>2.7</v>
      </c>
      <c r="H279" s="34">
        <v>3.5</v>
      </c>
      <c r="I279" s="5">
        <v>15552</v>
      </c>
      <c r="J279" s="5">
        <f>df_mep[[#This Row],[volume_BA]]*df_mep[[#This Row],[open_BA]]</f>
        <v>38802240</v>
      </c>
      <c r="K279" s="5">
        <v>69</v>
      </c>
      <c r="L279" s="5">
        <f>df_mep[[#This Row],[volume_D_BA]]*df_mep[[#This Row],[open_D_BA]]</f>
        <v>200.1</v>
      </c>
      <c r="M279" s="3">
        <v>860.34482758620697</v>
      </c>
      <c r="N279" s="3">
        <v>1074.0740740740739</v>
      </c>
      <c r="O279" s="3">
        <v>500</v>
      </c>
      <c r="P279" s="37">
        <f>MIN(1-df_mep[[#This Row],[MEP_compra_ARS]]/MEDIAN(N:N),100%)</f>
        <v>-0.18326101324060984</v>
      </c>
      <c r="Q279" s="38">
        <f>df_mep[[#This Row],[MEP_compra_USD]]/MEDIAN(O:O)-1</f>
        <v>-0.35656391679945476</v>
      </c>
      <c r="R27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9" s="38">
        <f>ABS(df_mep[[#This Row],[bid_BA]]-df_mep[[#This Row],[ask_BA]])/AVERAGE(df_mep[[#This Row],[bid_BA]:[ask_BA]])</f>
        <v>0.4946236559139785</v>
      </c>
      <c r="T279" s="36">
        <f>ABS(df_mep[[#This Row],[bid_D_BA]]-df_mep[[#This Row],[ask_D_BA]])/AVERAGE(df_mep[[#This Row],[bid_D_BA]:[ask_D_BA]])</f>
        <v>0.2580645161290322</v>
      </c>
    </row>
    <row r="280" spans="1:20" hidden="1" x14ac:dyDescent="0.35">
      <c r="A280" t="s">
        <v>284</v>
      </c>
      <c r="B280" t="s">
        <v>525</v>
      </c>
      <c r="C280" s="4">
        <v>20850</v>
      </c>
      <c r="D280" s="4">
        <v>22000</v>
      </c>
      <c r="E280" s="4">
        <v>22699</v>
      </c>
      <c r="F280" s="34">
        <v>29.2</v>
      </c>
      <c r="G280" s="34">
        <v>21</v>
      </c>
      <c r="H280" s="34">
        <v>29.3</v>
      </c>
      <c r="I280" s="5">
        <v>433</v>
      </c>
      <c r="J280" s="5">
        <f>df_mep[[#This Row],[volume_BA]]*df_mep[[#This Row],[open_BA]]</f>
        <v>9028050</v>
      </c>
      <c r="K280" s="5">
        <v>10</v>
      </c>
      <c r="L280" s="5">
        <f>df_mep[[#This Row],[volume_D_BA]]*df_mep[[#This Row],[open_D_BA]]</f>
        <v>292</v>
      </c>
      <c r="M280" s="3">
        <v>714.04109589041093</v>
      </c>
      <c r="N280" s="3">
        <v>1080.9047619047619</v>
      </c>
      <c r="O280" s="3">
        <v>750.85324232081905</v>
      </c>
      <c r="P280" s="37">
        <f>MIN(1-df_mep[[#This Row],[MEP_compra_ARS]]/MEDIAN(N:N),100%)</f>
        <v>-0.19078608697506128</v>
      </c>
      <c r="Q280" s="38">
        <f>df_mep[[#This Row],[MEP_compra_USD]]/MEDIAN(O:O)-1</f>
        <v>-3.3747861405324597E-2</v>
      </c>
      <c r="R28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0" s="38">
        <f>ABS(df_mep[[#This Row],[bid_BA]]-df_mep[[#This Row],[ask_BA]])/AVERAGE(df_mep[[#This Row],[bid_BA]:[ask_BA]])</f>
        <v>3.1275867469070899E-2</v>
      </c>
      <c r="T280" s="36">
        <f>ABS(df_mep[[#This Row],[bid_D_BA]]-df_mep[[#This Row],[ask_D_BA]])/AVERAGE(df_mep[[#This Row],[bid_D_BA]:[ask_D_BA]])</f>
        <v>0.33001988071570582</v>
      </c>
    </row>
    <row r="281" spans="1:20" hidden="1" x14ac:dyDescent="0.35">
      <c r="A281" t="s">
        <v>255</v>
      </c>
      <c r="B281" t="s">
        <v>436</v>
      </c>
      <c r="C281" s="4">
        <v>40416.5</v>
      </c>
      <c r="D281" s="4">
        <v>38808</v>
      </c>
      <c r="E281" s="4">
        <v>42884</v>
      </c>
      <c r="F281" s="34">
        <v>0</v>
      </c>
      <c r="G281" s="34">
        <v>39.65</v>
      </c>
      <c r="H281" s="34">
        <v>0</v>
      </c>
      <c r="I281" s="5">
        <v>12</v>
      </c>
      <c r="J281" s="5">
        <f>df_mep[[#This Row],[volume_BA]]*df_mep[[#This Row],[open_BA]]</f>
        <v>484998</v>
      </c>
      <c r="K281" s="5">
        <v>0</v>
      </c>
      <c r="L281" s="5">
        <f>df_mep[[#This Row],[volume_D_BA]]*df_mep[[#This Row],[open_D_BA]]</f>
        <v>0</v>
      </c>
      <c r="N281" s="3">
        <v>1081.5636822194199</v>
      </c>
      <c r="P281" s="37">
        <f>MIN(1-df_mep[[#This Row],[MEP_compra_ARS]]/MEDIAN(N:N),100%)</f>
        <v>-0.1915119910239409</v>
      </c>
      <c r="Q281" s="38">
        <f>df_mep[[#This Row],[MEP_compra_USD]]/MEDIAN(O:O)-1</f>
        <v>-1</v>
      </c>
      <c r="R28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1" s="38">
        <f>ABS(df_mep[[#This Row],[bid_BA]]-df_mep[[#This Row],[ask_BA]])/AVERAGE(df_mep[[#This Row],[bid_BA]:[ask_BA]])</f>
        <v>9.978945306761984E-2</v>
      </c>
      <c r="T281" s="36">
        <f>ABS(df_mep[[#This Row],[bid_D_BA]]-df_mep[[#This Row],[ask_D_BA]])/AVERAGE(df_mep[[#This Row],[bid_D_BA]:[ask_D_BA]])</f>
        <v>2</v>
      </c>
    </row>
    <row r="282" spans="1:20" hidden="1" x14ac:dyDescent="0.35">
      <c r="A282" t="s">
        <v>184</v>
      </c>
      <c r="B282" t="s">
        <v>445</v>
      </c>
      <c r="C282" s="4">
        <v>4800</v>
      </c>
      <c r="D282" s="4">
        <v>4630</v>
      </c>
      <c r="E282" s="4">
        <v>5950</v>
      </c>
      <c r="F282" s="34">
        <v>5.4</v>
      </c>
      <c r="G282" s="34">
        <v>5.4</v>
      </c>
      <c r="H282" s="34">
        <v>7.7</v>
      </c>
      <c r="I282" s="5">
        <v>469</v>
      </c>
      <c r="J282" s="5">
        <f>df_mep[[#This Row],[volume_BA]]*df_mep[[#This Row],[open_BA]]</f>
        <v>2251200</v>
      </c>
      <c r="K282" s="5">
        <v>5</v>
      </c>
      <c r="L282" s="5">
        <f>df_mep[[#This Row],[volume_D_BA]]*df_mep[[#This Row],[open_D_BA]]</f>
        <v>27</v>
      </c>
      <c r="M282" s="3">
        <v>888.8888888888888</v>
      </c>
      <c r="N282" s="3">
        <v>1101.8518518518517</v>
      </c>
      <c r="O282" s="3">
        <v>601.2987012987013</v>
      </c>
      <c r="P282" s="37">
        <f>MIN(1-df_mep[[#This Row],[MEP_compra_ARS]]/MEDIAN(N:N),100%)</f>
        <v>-0.21386259116924622</v>
      </c>
      <c r="Q282" s="38">
        <f>df_mep[[#This Row],[MEP_compra_USD]]/MEDIAN(O:O)-1</f>
        <v>-0.2262054376055781</v>
      </c>
      <c r="R28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2" s="38">
        <f>ABS(df_mep[[#This Row],[bid_BA]]-df_mep[[#This Row],[ask_BA]])/AVERAGE(df_mep[[#This Row],[bid_BA]:[ask_BA]])</f>
        <v>0.2495274102079395</v>
      </c>
      <c r="T282" s="36">
        <f>ABS(df_mep[[#This Row],[bid_D_BA]]-df_mep[[#This Row],[ask_D_BA]])/AVERAGE(df_mep[[#This Row],[bid_D_BA]:[ask_D_BA]])</f>
        <v>0.35114503816793885</v>
      </c>
    </row>
    <row r="283" spans="1:20" hidden="1" x14ac:dyDescent="0.35">
      <c r="A283" t="s">
        <v>146</v>
      </c>
      <c r="B283" t="s">
        <v>147</v>
      </c>
      <c r="C283" s="4">
        <v>7450</v>
      </c>
      <c r="D283" s="4">
        <v>7380</v>
      </c>
      <c r="E283" s="4">
        <v>7600</v>
      </c>
      <c r="F283" s="34">
        <v>0</v>
      </c>
      <c r="G283" s="34">
        <v>6.85</v>
      </c>
      <c r="H283" s="34">
        <v>10.5</v>
      </c>
      <c r="I283" s="5">
        <v>351</v>
      </c>
      <c r="J283" s="5">
        <f>df_mep[[#This Row],[volume_BA]]*df_mep[[#This Row],[open_BA]]</f>
        <v>2614950</v>
      </c>
      <c r="K283" s="5">
        <v>0</v>
      </c>
      <c r="L283" s="5">
        <f>df_mep[[#This Row],[volume_D_BA]]*df_mep[[#This Row],[open_D_BA]]</f>
        <v>0</v>
      </c>
      <c r="N283" s="3">
        <v>1109.4890510948906</v>
      </c>
      <c r="O283" s="3">
        <v>702.85714285714289</v>
      </c>
      <c r="P283" s="37">
        <f>MIN(1-df_mep[[#This Row],[MEP_compra_ARS]]/MEDIAN(N:N),100%)</f>
        <v>-0.22227616368977188</v>
      </c>
      <c r="Q283" s="38">
        <f>df_mep[[#This Row],[MEP_compra_USD]]/MEDIAN(O:O)-1</f>
        <v>-9.5512705900947736E-2</v>
      </c>
      <c r="R28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3" s="38">
        <f>ABS(df_mep[[#This Row],[bid_BA]]-df_mep[[#This Row],[ask_BA]])/AVERAGE(df_mep[[#This Row],[bid_BA]:[ask_BA]])</f>
        <v>2.9372496662216287E-2</v>
      </c>
      <c r="T283" s="36">
        <f>ABS(df_mep[[#This Row],[bid_D_BA]]-df_mep[[#This Row],[ask_D_BA]])/AVERAGE(df_mep[[#This Row],[bid_D_BA]:[ask_D_BA]])</f>
        <v>0.4207492795389049</v>
      </c>
    </row>
    <row r="284" spans="1:20" hidden="1" x14ac:dyDescent="0.35">
      <c r="A284" t="s">
        <v>95</v>
      </c>
      <c r="B284" t="s">
        <v>335</v>
      </c>
      <c r="C284" s="4">
        <v>21300</v>
      </c>
      <c r="D284" s="4">
        <v>20401</v>
      </c>
      <c r="E284" s="4">
        <v>21598</v>
      </c>
      <c r="F284" s="34">
        <v>24</v>
      </c>
      <c r="G284" s="34">
        <v>19</v>
      </c>
      <c r="H284" s="34">
        <v>24.95</v>
      </c>
      <c r="I284" s="5">
        <v>303</v>
      </c>
      <c r="J284" s="5">
        <f>df_mep[[#This Row],[volume_BA]]*df_mep[[#This Row],[open_BA]]</f>
        <v>6453900</v>
      </c>
      <c r="K284" s="5">
        <v>11</v>
      </c>
      <c r="L284" s="5">
        <f>df_mep[[#This Row],[volume_D_BA]]*df_mep[[#This Row],[open_D_BA]]</f>
        <v>264</v>
      </c>
      <c r="M284" s="3">
        <v>887.5</v>
      </c>
      <c r="N284" s="3">
        <v>1136.7368421052631</v>
      </c>
      <c r="O284" s="3">
        <v>817.67535070140286</v>
      </c>
      <c r="P284" s="37">
        <f>MIN(1-df_mep[[#This Row],[MEP_compra_ARS]]/MEDIAN(N:N),100%)</f>
        <v>-0.25229387808930803</v>
      </c>
      <c r="Q284" s="38">
        <f>df_mep[[#This Row],[MEP_compra_USD]]/MEDIAN(O:O)-1</f>
        <v>5.224364996988573E-2</v>
      </c>
      <c r="R28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4" s="38">
        <f>ABS(df_mep[[#This Row],[bid_BA]]-df_mep[[#This Row],[ask_BA]])/AVERAGE(df_mep[[#This Row],[bid_BA]:[ask_BA]])</f>
        <v>5.7001357175170839E-2</v>
      </c>
      <c r="T284" s="36">
        <f>ABS(df_mep[[#This Row],[bid_D_BA]]-df_mep[[#This Row],[ask_D_BA]])/AVERAGE(df_mep[[#This Row],[bid_D_BA]:[ask_D_BA]])</f>
        <v>0.27076222980659836</v>
      </c>
    </row>
    <row r="285" spans="1:20" hidden="1" x14ac:dyDescent="0.35">
      <c r="A285" t="s">
        <v>175</v>
      </c>
      <c r="B285" t="s">
        <v>176</v>
      </c>
      <c r="C285" s="4">
        <v>11700.5</v>
      </c>
      <c r="D285" s="4">
        <v>11350</v>
      </c>
      <c r="E285" s="4">
        <v>15990</v>
      </c>
      <c r="F285" s="34">
        <v>13.5</v>
      </c>
      <c r="G285" s="34">
        <v>13.5</v>
      </c>
      <c r="H285" s="34">
        <v>17.25</v>
      </c>
      <c r="I285" s="5">
        <v>349</v>
      </c>
      <c r="J285" s="5">
        <f>df_mep[[#This Row],[volume_BA]]*df_mep[[#This Row],[open_BA]]</f>
        <v>4083474.5</v>
      </c>
      <c r="K285" s="5">
        <v>3</v>
      </c>
      <c r="L285" s="5">
        <f>df_mep[[#This Row],[volume_D_BA]]*df_mep[[#This Row],[open_D_BA]]</f>
        <v>40.5</v>
      </c>
      <c r="M285" s="3">
        <v>866.7037037037037</v>
      </c>
      <c r="N285" s="3">
        <v>1184.4444444444443</v>
      </c>
      <c r="O285" s="3">
        <v>657.97101449275362</v>
      </c>
      <c r="P285" s="37">
        <f>MIN(1-df_mep[[#This Row],[MEP_compra_ARS]]/MEDIAN(N:N),100%)</f>
        <v>-0.30485128287705865</v>
      </c>
      <c r="Q285" s="38">
        <f>df_mep[[#This Row],[MEP_compra_USD]]/MEDIAN(O:O)-1</f>
        <v>-0.15327541515058685</v>
      </c>
      <c r="R28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5" s="38">
        <f>ABS(df_mep[[#This Row],[bid_BA]]-df_mep[[#This Row],[ask_BA]])/AVERAGE(df_mep[[#This Row],[bid_BA]:[ask_BA]])</f>
        <v>0.33942940746159472</v>
      </c>
      <c r="T285" s="36">
        <f>ABS(df_mep[[#This Row],[bid_D_BA]]-df_mep[[#This Row],[ask_D_BA]])/AVERAGE(df_mep[[#This Row],[bid_D_BA]:[ask_D_BA]])</f>
        <v>0.24390243902439024</v>
      </c>
    </row>
    <row r="286" spans="1:20" hidden="1" x14ac:dyDescent="0.35">
      <c r="A286" t="s">
        <v>223</v>
      </c>
      <c r="B286" t="s">
        <v>602</v>
      </c>
      <c r="C286" s="4">
        <v>19495.5</v>
      </c>
      <c r="D286" s="4">
        <v>19700</v>
      </c>
      <c r="E286" s="4">
        <v>21500</v>
      </c>
      <c r="F286" s="34">
        <v>23</v>
      </c>
      <c r="G286" s="34">
        <v>18</v>
      </c>
      <c r="H286" s="34">
        <v>23</v>
      </c>
      <c r="I286" s="5">
        <v>267</v>
      </c>
      <c r="J286" s="5">
        <f>df_mep[[#This Row],[volume_BA]]*df_mep[[#This Row],[open_BA]]</f>
        <v>5205298.5</v>
      </c>
      <c r="K286" s="5">
        <v>3</v>
      </c>
      <c r="L286" s="5">
        <f>df_mep[[#This Row],[volume_D_BA]]*df_mep[[#This Row],[open_D_BA]]</f>
        <v>69</v>
      </c>
      <c r="M286" s="3">
        <v>847.63043478260875</v>
      </c>
      <c r="N286" s="3">
        <v>1194.4444444444443</v>
      </c>
      <c r="O286" s="3">
        <v>856.52173913043475</v>
      </c>
      <c r="P286" s="37">
        <f>MIN(1-df_mep[[#This Row],[MEP_compra_ARS]]/MEDIAN(N:N),100%)</f>
        <v>-0.31586785093136793</v>
      </c>
      <c r="Q286" s="38">
        <f>df_mep[[#This Row],[MEP_compra_USD]]/MEDIAN(O:O)-1</f>
        <v>0.10223398600441236</v>
      </c>
      <c r="R28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6" s="38">
        <f>ABS(df_mep[[#This Row],[bid_BA]]-df_mep[[#This Row],[ask_BA]])/AVERAGE(df_mep[[#This Row],[bid_BA]:[ask_BA]])</f>
        <v>8.7378640776699032E-2</v>
      </c>
      <c r="T286" s="36">
        <f>ABS(df_mep[[#This Row],[bid_D_BA]]-df_mep[[#This Row],[ask_D_BA]])/AVERAGE(df_mep[[#This Row],[bid_D_BA]:[ask_D_BA]])</f>
        <v>0.24390243902439024</v>
      </c>
    </row>
    <row r="287" spans="1:20" hidden="1" x14ac:dyDescent="0.35">
      <c r="A287" t="s">
        <v>67</v>
      </c>
      <c r="B287" t="s">
        <v>87</v>
      </c>
      <c r="C287" s="4">
        <v>10950</v>
      </c>
      <c r="D287" s="4">
        <v>9000</v>
      </c>
      <c r="E287" s="4">
        <v>11500</v>
      </c>
      <c r="F287" s="34">
        <v>14</v>
      </c>
      <c r="G287" s="34">
        <v>12</v>
      </c>
      <c r="H287" s="34">
        <v>14.5</v>
      </c>
      <c r="I287" s="5">
        <v>1771</v>
      </c>
      <c r="J287" s="5">
        <f>df_mep[[#This Row],[volume_BA]]*df_mep[[#This Row],[open_BA]]</f>
        <v>19392450</v>
      </c>
      <c r="K287" s="5">
        <v>75</v>
      </c>
      <c r="L287" s="5">
        <f>df_mep[[#This Row],[volume_D_BA]]*df_mep[[#This Row],[open_D_BA]]</f>
        <v>1050</v>
      </c>
      <c r="M287" s="3">
        <v>782.14285714285711</v>
      </c>
      <c r="N287" s="3">
        <v>958.33333333333337</v>
      </c>
      <c r="O287" s="3">
        <v>620.68965517241384</v>
      </c>
      <c r="P287" s="37">
        <f>MIN(1-df_mep[[#This Row],[MEP_compra_ARS]]/MEDIAN(N:N),100%)</f>
        <v>-5.5754438537958029E-2</v>
      </c>
      <c r="Q287" s="38">
        <f>df_mep[[#This Row],[MEP_compra_USD]]/MEDIAN(O:O)-1</f>
        <v>-0.20125175878553003</v>
      </c>
      <c r="R28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7" s="38">
        <f>ABS(df_mep[[#This Row],[bid_BA]]-df_mep[[#This Row],[ask_BA]])/AVERAGE(df_mep[[#This Row],[bid_BA]:[ask_BA]])</f>
        <v>0.24390243902439024</v>
      </c>
      <c r="T287" s="36">
        <f>ABS(df_mep[[#This Row],[bid_D_BA]]-df_mep[[#This Row],[ask_D_BA]])/AVERAGE(df_mep[[#This Row],[bid_D_BA]:[ask_D_BA]])</f>
        <v>0.18867924528301888</v>
      </c>
    </row>
    <row r="288" spans="1:20" hidden="1" x14ac:dyDescent="0.35">
      <c r="A288" t="s">
        <v>62</v>
      </c>
      <c r="B288" t="s">
        <v>417</v>
      </c>
      <c r="C288" s="4">
        <v>10000</v>
      </c>
      <c r="D288" s="4">
        <v>4900</v>
      </c>
      <c r="E288" s="4">
        <v>11100</v>
      </c>
      <c r="F288" s="34">
        <v>11</v>
      </c>
      <c r="G288" s="34">
        <v>8.75</v>
      </c>
      <c r="H288" s="34">
        <v>11.75</v>
      </c>
      <c r="I288" s="5">
        <v>23311</v>
      </c>
      <c r="J288" s="5">
        <f>df_mep[[#This Row],[volume_BA]]*df_mep[[#This Row],[open_BA]]</f>
        <v>233110000</v>
      </c>
      <c r="K288" s="5">
        <v>10</v>
      </c>
      <c r="L288" s="5">
        <f>df_mep[[#This Row],[volume_D_BA]]*df_mep[[#This Row],[open_D_BA]]</f>
        <v>110</v>
      </c>
      <c r="M288" s="3">
        <v>909.09090909090912</v>
      </c>
      <c r="N288" s="3">
        <v>1268.5714285714287</v>
      </c>
      <c r="O288" s="3">
        <v>417.02127659574467</v>
      </c>
      <c r="P288" s="37">
        <f>MIN(1-df_mep[[#This Row],[MEP_compra_ARS]]/MEDIAN(N:N),100%)</f>
        <v>-0.3975303474609293</v>
      </c>
      <c r="Q288" s="38">
        <f>df_mep[[#This Row],[MEP_compra_USD]]/MEDIAN(O:O)-1</f>
        <v>-0.46334692635188568</v>
      </c>
      <c r="R28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8" s="38">
        <f>ABS(df_mep[[#This Row],[bid_BA]]-df_mep[[#This Row],[ask_BA]])/AVERAGE(df_mep[[#This Row],[bid_BA]:[ask_BA]])</f>
        <v>0.77500000000000002</v>
      </c>
      <c r="T288" s="36">
        <f>ABS(df_mep[[#This Row],[bid_D_BA]]-df_mep[[#This Row],[ask_D_BA]])/AVERAGE(df_mep[[#This Row],[bid_D_BA]:[ask_D_BA]])</f>
        <v>0.29268292682926828</v>
      </c>
    </row>
    <row r="289" spans="1:20" hidden="1" x14ac:dyDescent="0.35">
      <c r="A289" t="s">
        <v>68</v>
      </c>
      <c r="B289" t="s">
        <v>430</v>
      </c>
      <c r="C289" s="4">
        <v>3387</v>
      </c>
      <c r="D289" s="4">
        <v>3150</v>
      </c>
      <c r="E289" s="4">
        <v>4750</v>
      </c>
      <c r="F289" s="34">
        <v>4</v>
      </c>
      <c r="G289" s="34">
        <v>3.6</v>
      </c>
      <c r="H289" s="34">
        <v>4.25</v>
      </c>
      <c r="I289" s="5">
        <v>6002</v>
      </c>
      <c r="J289" s="5">
        <f>df_mep[[#This Row],[volume_BA]]*df_mep[[#This Row],[open_BA]]</f>
        <v>20328774</v>
      </c>
      <c r="K289" s="5">
        <v>62</v>
      </c>
      <c r="L289" s="5">
        <f>df_mep[[#This Row],[volume_D_BA]]*df_mep[[#This Row],[open_D_BA]]</f>
        <v>248</v>
      </c>
      <c r="M289" s="3">
        <v>846.75</v>
      </c>
      <c r="N289" s="3">
        <v>1319.4444444444443</v>
      </c>
      <c r="O289" s="3">
        <v>741.17647058823525</v>
      </c>
      <c r="P289" s="37">
        <f>MIN(1-df_mep[[#This Row],[MEP_compra_ARS]]/MEDIAN(N:N),100%)</f>
        <v>-0.45357495161023187</v>
      </c>
      <c r="Q289" s="38">
        <f>df_mep[[#This Row],[MEP_compra_USD]]/MEDIAN(O:O)-1</f>
        <v>-4.6200629608603605E-2</v>
      </c>
      <c r="R28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9" s="38">
        <f>ABS(df_mep[[#This Row],[bid_BA]]-df_mep[[#This Row],[ask_BA]])/AVERAGE(df_mep[[#This Row],[bid_BA]:[ask_BA]])</f>
        <v>0.4050632911392405</v>
      </c>
      <c r="T289" s="36">
        <f>ABS(df_mep[[#This Row],[bid_D_BA]]-df_mep[[#This Row],[ask_D_BA]])/AVERAGE(df_mep[[#This Row],[bid_D_BA]:[ask_D_BA]])</f>
        <v>0.16560509554140126</v>
      </c>
    </row>
    <row r="290" spans="1:20" hidden="1" x14ac:dyDescent="0.35">
      <c r="A290" t="s">
        <v>100</v>
      </c>
      <c r="B290" t="s">
        <v>355</v>
      </c>
      <c r="C290" s="4">
        <v>30286</v>
      </c>
      <c r="D290" s="4">
        <v>28082</v>
      </c>
      <c r="E290" s="4">
        <v>31213</v>
      </c>
      <c r="F290" s="34">
        <v>35.85</v>
      </c>
      <c r="G290" s="34">
        <v>23.5</v>
      </c>
      <c r="H290" s="34">
        <v>35.85</v>
      </c>
      <c r="I290" s="5">
        <v>126</v>
      </c>
      <c r="J290" s="5">
        <f>df_mep[[#This Row],[volume_BA]]*df_mep[[#This Row],[open_BA]]</f>
        <v>3816036</v>
      </c>
      <c r="K290" s="5">
        <v>1</v>
      </c>
      <c r="L290" s="5">
        <f>df_mep[[#This Row],[volume_D_BA]]*df_mep[[#This Row],[open_D_BA]]</f>
        <v>35.85</v>
      </c>
      <c r="M290" s="3">
        <v>844.79776847977678</v>
      </c>
      <c r="N290" s="3">
        <v>1328.2127659574469</v>
      </c>
      <c r="O290" s="3">
        <v>783.31938633193863</v>
      </c>
      <c r="P290" s="37">
        <f>MIN(1-df_mep[[#This Row],[MEP_compra_ARS]]/MEDIAN(N:N),100%)</f>
        <v>-0.46323463267723741</v>
      </c>
      <c r="Q290" s="38">
        <f>df_mep[[#This Row],[MEP_compra_USD]]/MEDIAN(O:O)-1</f>
        <v>8.0319156729546926E-3</v>
      </c>
      <c r="R29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0" s="38">
        <f>ABS(df_mep[[#This Row],[bid_BA]]-df_mep[[#This Row],[ask_BA]])/AVERAGE(df_mep[[#This Row],[bid_BA]:[ask_BA]])</f>
        <v>0.10560755544312336</v>
      </c>
      <c r="T290" s="36">
        <f>ABS(df_mep[[#This Row],[bid_D_BA]]-df_mep[[#This Row],[ask_D_BA]])/AVERAGE(df_mep[[#This Row],[bid_D_BA]:[ask_D_BA]])</f>
        <v>0.41617523167649539</v>
      </c>
    </row>
    <row r="291" spans="1:20" hidden="1" x14ac:dyDescent="0.35">
      <c r="A291" t="s">
        <v>153</v>
      </c>
      <c r="B291" t="s">
        <v>154</v>
      </c>
      <c r="C291" s="4">
        <v>20420</v>
      </c>
      <c r="D291" s="4">
        <v>18012</v>
      </c>
      <c r="E291" s="4">
        <v>21000</v>
      </c>
      <c r="F291" s="34">
        <v>14.7</v>
      </c>
      <c r="G291" s="34">
        <v>14.7</v>
      </c>
      <c r="H291" s="34">
        <v>0</v>
      </c>
      <c r="I291" s="5">
        <v>59</v>
      </c>
      <c r="J291" s="5">
        <f>df_mep[[#This Row],[volume_BA]]*df_mep[[#This Row],[open_BA]]</f>
        <v>1204780</v>
      </c>
      <c r="K291" s="5">
        <v>2</v>
      </c>
      <c r="L291" s="5">
        <f>df_mep[[#This Row],[volume_D_BA]]*df_mep[[#This Row],[open_D_BA]]</f>
        <v>29.4</v>
      </c>
      <c r="M291" s="3">
        <v>1389.1156462585034</v>
      </c>
      <c r="N291" s="3">
        <v>1428.5714285714287</v>
      </c>
      <c r="P291" s="37">
        <f>MIN(1-df_mep[[#This Row],[MEP_compra_ARS]]/MEDIAN(N:N),100%)</f>
        <v>-0.5737954363298754</v>
      </c>
      <c r="Q291" s="38">
        <f>df_mep[[#This Row],[MEP_compra_USD]]/MEDIAN(O:O)-1</f>
        <v>-1</v>
      </c>
      <c r="R29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1" s="38">
        <f>ABS(df_mep[[#This Row],[bid_BA]]-df_mep[[#This Row],[ask_BA]])/AVERAGE(df_mep[[#This Row],[bid_BA]:[ask_BA]])</f>
        <v>0.15318363580436789</v>
      </c>
      <c r="T291" s="36">
        <f>ABS(df_mep[[#This Row],[bid_D_BA]]-df_mep[[#This Row],[ask_D_BA]])/AVERAGE(df_mep[[#This Row],[bid_D_BA]:[ask_D_BA]])</f>
        <v>2</v>
      </c>
    </row>
    <row r="292" spans="1:20" hidden="1" x14ac:dyDescent="0.35">
      <c r="A292" t="s">
        <v>228</v>
      </c>
      <c r="B292" t="s">
        <v>379</v>
      </c>
      <c r="C292" s="4">
        <v>27065.5</v>
      </c>
      <c r="D292" s="4">
        <v>26000</v>
      </c>
      <c r="E292" s="4">
        <v>27650</v>
      </c>
      <c r="F292" s="34">
        <v>0</v>
      </c>
      <c r="G292" s="34">
        <v>18.100000000000001</v>
      </c>
      <c r="H292" s="34">
        <v>0</v>
      </c>
      <c r="I292" s="5">
        <v>72</v>
      </c>
      <c r="J292" s="5">
        <f>df_mep[[#This Row],[volume_BA]]*df_mep[[#This Row],[open_BA]]</f>
        <v>1948716</v>
      </c>
      <c r="K292" s="5">
        <v>0</v>
      </c>
      <c r="L292" s="5">
        <f>df_mep[[#This Row],[volume_D_BA]]*df_mep[[#This Row],[open_D_BA]]</f>
        <v>0</v>
      </c>
      <c r="N292" s="3">
        <v>1527.6243093922651</v>
      </c>
      <c r="P292" s="37">
        <f>MIN(1-df_mep[[#This Row],[MEP_compra_ARS]]/MEDIAN(N:N),100%)</f>
        <v>-0.68291771658368705</v>
      </c>
      <c r="Q292" s="38">
        <f>df_mep[[#This Row],[MEP_compra_USD]]/MEDIAN(O:O)-1</f>
        <v>-1</v>
      </c>
      <c r="R29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2" s="38">
        <f>ABS(df_mep[[#This Row],[bid_BA]]-df_mep[[#This Row],[ask_BA]])/AVERAGE(df_mep[[#This Row],[bid_BA]:[ask_BA]])</f>
        <v>6.1509785647716683E-2</v>
      </c>
      <c r="T292" s="36">
        <f>ABS(df_mep[[#This Row],[bid_D_BA]]-df_mep[[#This Row],[ask_D_BA]])/AVERAGE(df_mep[[#This Row],[bid_D_BA]:[ask_D_BA]])</f>
        <v>2</v>
      </c>
    </row>
    <row r="293" spans="1:20" hidden="1" x14ac:dyDescent="0.35">
      <c r="A293" t="s">
        <v>177</v>
      </c>
      <c r="B293" t="s">
        <v>413</v>
      </c>
      <c r="C293" s="4">
        <v>12599</v>
      </c>
      <c r="D293" s="4">
        <v>12200</v>
      </c>
      <c r="E293" s="4">
        <v>12500</v>
      </c>
      <c r="F293" s="34">
        <v>0</v>
      </c>
      <c r="G293" s="34">
        <v>7.92</v>
      </c>
      <c r="H293" s="34">
        <v>17.899999999999999</v>
      </c>
      <c r="I293" s="5">
        <v>647</v>
      </c>
      <c r="J293" s="5">
        <f>df_mep[[#This Row],[volume_BA]]*df_mep[[#This Row],[open_BA]]</f>
        <v>8151553</v>
      </c>
      <c r="K293" s="5">
        <v>0</v>
      </c>
      <c r="L293" s="5">
        <f>df_mep[[#This Row],[volume_D_BA]]*df_mep[[#This Row],[open_D_BA]]</f>
        <v>0</v>
      </c>
      <c r="N293" s="3">
        <v>1578.2828282828284</v>
      </c>
      <c r="O293" s="3">
        <v>681.56424581005592</v>
      </c>
      <c r="P293" s="37">
        <f>MIN(1-df_mep[[#This Row],[MEP_compra_ARS]]/MEDIAN(N:N),100%)</f>
        <v>-0.73872601867252663</v>
      </c>
      <c r="Q293" s="38">
        <f>df_mep[[#This Row],[MEP_compra_USD]]/MEDIAN(O:O)-1</f>
        <v>-0.122913942452888</v>
      </c>
      <c r="R29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3" s="38">
        <f>ABS(df_mep[[#This Row],[bid_BA]]-df_mep[[#This Row],[ask_BA]])/AVERAGE(df_mep[[#This Row],[bid_BA]:[ask_BA]])</f>
        <v>2.4291497975708502E-2</v>
      </c>
      <c r="T293" s="36">
        <f>ABS(df_mep[[#This Row],[bid_D_BA]]-df_mep[[#This Row],[ask_D_BA]])/AVERAGE(df_mep[[#This Row],[bid_D_BA]:[ask_D_BA]])</f>
        <v>0.77304415182029418</v>
      </c>
    </row>
    <row r="294" spans="1:20" hidden="1" x14ac:dyDescent="0.35">
      <c r="A294" t="s">
        <v>120</v>
      </c>
      <c r="B294" t="s">
        <v>406</v>
      </c>
      <c r="C294" s="4">
        <v>24335</v>
      </c>
      <c r="D294" s="4">
        <v>21505</v>
      </c>
      <c r="E294" s="4">
        <v>23500</v>
      </c>
      <c r="F294" s="34">
        <v>31.5</v>
      </c>
      <c r="G294" s="34">
        <v>14.2</v>
      </c>
      <c r="H294" s="34">
        <v>32.950000000000003</v>
      </c>
      <c r="I294" s="5">
        <v>181</v>
      </c>
      <c r="J294" s="5">
        <f>df_mep[[#This Row],[volume_BA]]*df_mep[[#This Row],[open_BA]]</f>
        <v>4404635</v>
      </c>
      <c r="K294" s="5">
        <v>4</v>
      </c>
      <c r="L294" s="5">
        <f>df_mep[[#This Row],[volume_D_BA]]*df_mep[[#This Row],[open_D_BA]]</f>
        <v>126</v>
      </c>
      <c r="M294" s="3">
        <v>772.53968253968253</v>
      </c>
      <c r="N294" s="3">
        <v>1654.9295774647887</v>
      </c>
      <c r="O294" s="3">
        <v>652.6555386949924</v>
      </c>
      <c r="P294" s="37">
        <f>MIN(1-df_mep[[#This Row],[MEP_compra_ARS]]/MEDIAN(N:N),100%)</f>
        <v>-0.82316443152298935</v>
      </c>
      <c r="Q294" s="38">
        <f>df_mep[[#This Row],[MEP_compra_USD]]/MEDIAN(O:O)-1</f>
        <v>-0.16011575300590442</v>
      </c>
      <c r="R29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4" s="38">
        <f>ABS(df_mep[[#This Row],[bid_BA]]-df_mep[[#This Row],[ask_BA]])/AVERAGE(df_mep[[#This Row],[bid_BA]:[ask_BA]])</f>
        <v>8.8656815909343406E-2</v>
      </c>
      <c r="T294" s="36">
        <f>ABS(df_mep[[#This Row],[bid_D_BA]]-df_mep[[#This Row],[ask_D_BA]])/AVERAGE(df_mep[[#This Row],[bid_D_BA]:[ask_D_BA]])</f>
        <v>0.79533404029692478</v>
      </c>
    </row>
    <row r="295" spans="1:20" hidden="1" x14ac:dyDescent="0.35">
      <c r="A295" t="s">
        <v>118</v>
      </c>
      <c r="B295" t="s">
        <v>404</v>
      </c>
      <c r="C295" s="4">
        <v>3632</v>
      </c>
      <c r="D295" s="4">
        <v>2944.5</v>
      </c>
      <c r="E295" s="4">
        <v>4670</v>
      </c>
      <c r="F295" s="34">
        <v>0</v>
      </c>
      <c r="G295" s="34">
        <v>2.4</v>
      </c>
      <c r="H295" s="34">
        <v>6.75</v>
      </c>
      <c r="I295" s="5">
        <v>881</v>
      </c>
      <c r="J295" s="5">
        <f>df_mep[[#This Row],[volume_BA]]*df_mep[[#This Row],[open_BA]]</f>
        <v>3199792</v>
      </c>
      <c r="K295" s="5">
        <v>0</v>
      </c>
      <c r="L295" s="5">
        <f>df_mep[[#This Row],[volume_D_BA]]*df_mep[[#This Row],[open_D_BA]]</f>
        <v>0</v>
      </c>
      <c r="N295" s="3">
        <v>1945.8333333333335</v>
      </c>
      <c r="O295" s="3">
        <v>436.22222222222223</v>
      </c>
      <c r="P295" s="37">
        <f>MIN(1-df_mep[[#This Row],[MEP_compra_ARS]]/MEDIAN(N:N),100%)</f>
        <v>-1.1436405339009847</v>
      </c>
      <c r="Q295" s="38">
        <f>df_mep[[#This Row],[MEP_compra_USD]]/MEDIAN(O:O)-1</f>
        <v>-0.43863776385659092</v>
      </c>
      <c r="R29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5" s="38">
        <f>ABS(df_mep[[#This Row],[bid_BA]]-df_mep[[#This Row],[ask_BA]])/AVERAGE(df_mep[[#This Row],[bid_BA]:[ask_BA]])</f>
        <v>0.4532142622627881</v>
      </c>
      <c r="T295" s="36">
        <f>ABS(df_mep[[#This Row],[bid_D_BA]]-df_mep[[#This Row],[ask_D_BA]])/AVERAGE(df_mep[[#This Row],[bid_D_BA]:[ask_D_BA]])</f>
        <v>0.95081967213114738</v>
      </c>
    </row>
    <row r="296" spans="1:20" hidden="1" x14ac:dyDescent="0.35">
      <c r="A296" t="s">
        <v>183</v>
      </c>
      <c r="B296" t="s">
        <v>425</v>
      </c>
      <c r="C296" s="4">
        <v>17689</v>
      </c>
      <c r="D296" s="4">
        <v>17500</v>
      </c>
      <c r="E296" s="4">
        <v>17670</v>
      </c>
      <c r="F296" s="34">
        <v>0</v>
      </c>
      <c r="G296" s="34">
        <v>5.6</v>
      </c>
      <c r="H296" s="34">
        <v>0</v>
      </c>
      <c r="I296" s="5">
        <v>107</v>
      </c>
      <c r="J296" s="5">
        <f>df_mep[[#This Row],[volume_BA]]*df_mep[[#This Row],[open_BA]]</f>
        <v>1892723</v>
      </c>
      <c r="K296" s="5">
        <v>0</v>
      </c>
      <c r="L296" s="5">
        <f>df_mep[[#This Row],[volume_D_BA]]*df_mep[[#This Row],[open_D_BA]]</f>
        <v>0</v>
      </c>
      <c r="N296" s="3">
        <v>3155.3571428571431</v>
      </c>
      <c r="P296" s="37">
        <f>MIN(1-df_mep[[#This Row],[MEP_compra_ARS]]/MEDIAN(N:N),100%)</f>
        <v>-2.4761206699936125</v>
      </c>
      <c r="Q296" s="38">
        <f>df_mep[[#This Row],[MEP_compra_USD]]/MEDIAN(O:O)-1</f>
        <v>-1</v>
      </c>
      <c r="R29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6" s="38">
        <f>ABS(df_mep[[#This Row],[bid_BA]]-df_mep[[#This Row],[ask_BA]])/AVERAGE(df_mep[[#This Row],[bid_BA]:[ask_BA]])</f>
        <v>9.6673301108899639E-3</v>
      </c>
      <c r="T296" s="36">
        <f>ABS(df_mep[[#This Row],[bid_D_BA]]-df_mep[[#This Row],[ask_D_BA]])/AVERAGE(df_mep[[#This Row],[bid_D_BA]:[ask_D_BA]])</f>
        <v>2</v>
      </c>
    </row>
  </sheetData>
  <phoneticPr fontId="3" type="noConversion"/>
  <conditionalFormatting sqref="P2:Q29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6EB3-88EE-48BA-A650-9A2638C5F817}">
  <dimension ref="A1:AU58"/>
  <sheetViews>
    <sheetView topLeftCell="A2" zoomScale="85" zoomScaleNormal="85" workbookViewId="0">
      <selection activeCell="B16" sqref="B16"/>
    </sheetView>
  </sheetViews>
  <sheetFormatPr defaultRowHeight="14.5" x14ac:dyDescent="0.35"/>
  <cols>
    <col min="2" max="2" width="12.81640625" bestFit="1" customWidth="1"/>
    <col min="3" max="3" width="14.7265625" bestFit="1" customWidth="1"/>
    <col min="4" max="4" width="12.81640625" bestFit="1" customWidth="1"/>
    <col min="5" max="5" width="13.7265625" customWidth="1"/>
    <col min="6" max="6" width="13.453125" bestFit="1" customWidth="1"/>
    <col min="7" max="7" width="14" bestFit="1" customWidth="1"/>
    <col min="8" max="8" width="12.453125" style="13" bestFit="1" customWidth="1"/>
    <col min="9" max="9" width="10.81640625" bestFit="1" customWidth="1"/>
    <col min="10" max="10" width="10.81640625" customWidth="1"/>
    <col min="11" max="11" width="14.7265625" bestFit="1" customWidth="1"/>
    <col min="12" max="12" width="13" bestFit="1" customWidth="1"/>
    <col min="14" max="14" width="12.1796875" bestFit="1" customWidth="1"/>
    <col min="15" max="15" width="11.1796875" bestFit="1" customWidth="1"/>
    <col min="16" max="16" width="23.26953125" bestFit="1" customWidth="1"/>
    <col min="17" max="17" width="15.54296875" customWidth="1"/>
    <col min="18" max="18" width="9.81640625" bestFit="1" customWidth="1"/>
    <col min="19" max="19" width="15.81640625" customWidth="1"/>
    <col min="21" max="21" width="14.26953125" customWidth="1"/>
    <col min="26" max="26" width="23.26953125" bestFit="1" customWidth="1"/>
    <col min="27" max="27" width="11.54296875" bestFit="1" customWidth="1"/>
    <col min="28" max="28" width="9.81640625" bestFit="1" customWidth="1"/>
    <col min="29" max="29" width="10.7265625" bestFit="1" customWidth="1"/>
    <col min="30" max="30" width="9.81640625" bestFit="1" customWidth="1"/>
    <col min="31" max="31" width="12.453125" bestFit="1" customWidth="1"/>
    <col min="32" max="32" width="9.81640625" bestFit="1" customWidth="1"/>
    <col min="33" max="33" width="12.453125" bestFit="1" customWidth="1"/>
    <col min="34" max="35" width="12.453125" customWidth="1"/>
    <col min="40" max="40" width="23.26953125" bestFit="1" customWidth="1"/>
    <col min="41" max="41" width="23.81640625" bestFit="1" customWidth="1"/>
    <col min="42" max="42" width="9.81640625" bestFit="1" customWidth="1"/>
    <col min="43" max="43" width="10.7265625" bestFit="1" customWidth="1"/>
    <col min="44" max="44" width="9.81640625" bestFit="1" customWidth="1"/>
    <col min="45" max="45" width="12.453125" bestFit="1" customWidth="1"/>
    <col min="47" max="47" width="12.453125" bestFit="1" customWidth="1"/>
  </cols>
  <sheetData>
    <row r="1" spans="1:47" x14ac:dyDescent="0.35">
      <c r="A1" t="s">
        <v>64</v>
      </c>
    </row>
    <row r="3" spans="1:47" x14ac:dyDescent="0.35">
      <c r="C3" s="17" t="s">
        <v>54</v>
      </c>
      <c r="D3" s="2">
        <f>D4*E25</f>
        <v>407790.05791505793</v>
      </c>
      <c r="F3" s="8"/>
      <c r="G3" s="8"/>
      <c r="L3" s="1" t="s">
        <v>40</v>
      </c>
      <c r="M3" s="1" t="s">
        <v>41</v>
      </c>
      <c r="Z3" s="17" t="s">
        <v>55</v>
      </c>
      <c r="AA3" s="7">
        <v>1000</v>
      </c>
      <c r="AN3" s="17" t="s">
        <v>55</v>
      </c>
      <c r="AO3" s="7">
        <v>1000</v>
      </c>
    </row>
    <row r="4" spans="1:47" x14ac:dyDescent="0.35">
      <c r="C4" s="17" t="s">
        <v>55</v>
      </c>
      <c r="D4" s="7">
        <v>500</v>
      </c>
      <c r="F4" s="8"/>
      <c r="G4" s="8"/>
      <c r="K4" s="1" t="s">
        <v>39</v>
      </c>
      <c r="L4" s="30">
        <v>1.4</v>
      </c>
      <c r="M4" s="15">
        <f>($L$4+1)^(1/365)-1</f>
        <v>2.4014232949169934E-3</v>
      </c>
    </row>
    <row r="5" spans="1:47" x14ac:dyDescent="0.35">
      <c r="C5" s="17" t="s">
        <v>49</v>
      </c>
      <c r="D5" s="31">
        <v>2.5000000000000001E-3</v>
      </c>
      <c r="H5"/>
      <c r="AN5" s="10" t="s">
        <v>9</v>
      </c>
      <c r="AO5" s="2">
        <f>AO26/AO25</f>
        <v>848.21428571428578</v>
      </c>
    </row>
    <row r="6" spans="1:47" x14ac:dyDescent="0.35">
      <c r="C6" s="17" t="str">
        <f>INDEX(df_mep!A:A,MATCH(D6,df_mep!O:O,0),1)</f>
        <v>SPY</v>
      </c>
      <c r="D6" s="9">
        <f>_xlfn.MAXIFS(df_mep[MEP_compra_USD],df_mep[can_use],"&gt;0")</f>
        <v>848.21428571428578</v>
      </c>
      <c r="E6" t="str">
        <f>VLOOKUP(C6,df_mep!A:B,2,0)</f>
        <v>SPDR S&amp;P 500</v>
      </c>
      <c r="H6"/>
      <c r="AN6" s="10" t="s">
        <v>59</v>
      </c>
      <c r="AO6" s="2">
        <f>AO27/AO28</f>
        <v>697.05979517674268</v>
      </c>
    </row>
    <row r="7" spans="1:47" x14ac:dyDescent="0.35">
      <c r="C7" s="17" t="str">
        <f>INDEX(df_mep!A:A,MATCH(D7,df_mep!N:N,0),1)</f>
        <v>PFE</v>
      </c>
      <c r="D7" s="9">
        <f>_xlfn.MINIFS(df_mep[MEP_compra_ARS],df_mep[can_use],"&gt;0")</f>
        <v>782.94594594594594</v>
      </c>
      <c r="E7" t="str">
        <f>VLOOKUP(C7,df_mep!A:B,2,0)</f>
        <v>Pfizer, Inc.</v>
      </c>
      <c r="H7"/>
      <c r="AN7" t="s">
        <v>61</v>
      </c>
      <c r="AO7" s="14">
        <f>AO5/AO6*(1-$D$5)-1</f>
        <v>0.21380368779620862</v>
      </c>
    </row>
    <row r="8" spans="1:47" x14ac:dyDescent="0.35">
      <c r="D8" s="14"/>
    </row>
    <row r="12" spans="1:47" x14ac:dyDescent="0.35">
      <c r="H12"/>
      <c r="Z12" s="27" t="s">
        <v>51</v>
      </c>
      <c r="AA12" s="27"/>
      <c r="AB12" s="27"/>
      <c r="AC12" s="27"/>
      <c r="AD12" s="27"/>
      <c r="AE12" s="27"/>
      <c r="AF12" s="27"/>
      <c r="AG12" s="27"/>
      <c r="AH12" s="27"/>
      <c r="AI12" s="27"/>
      <c r="AN12" s="27" t="s">
        <v>51</v>
      </c>
      <c r="AO12" s="27"/>
      <c r="AP12" s="27"/>
      <c r="AQ12" s="27"/>
      <c r="AR12" s="27"/>
      <c r="AS12" s="27"/>
      <c r="AT12" s="27"/>
      <c r="AU12" s="27"/>
    </row>
    <row r="13" spans="1:47" x14ac:dyDescent="0.35">
      <c r="D13" s="27" t="s">
        <v>51</v>
      </c>
      <c r="E13" s="27"/>
      <c r="F13" s="27"/>
      <c r="G13" s="27"/>
      <c r="H13" s="27"/>
      <c r="I13" s="27"/>
    </row>
    <row r="14" spans="1:47" x14ac:dyDescent="0.35">
      <c r="H14"/>
      <c r="Z14" s="18" t="s">
        <v>37</v>
      </c>
      <c r="AA14" s="18">
        <v>0</v>
      </c>
      <c r="AB14" s="18">
        <f t="shared" ref="AB14:AG14" si="0">AA14+1</f>
        <v>1</v>
      </c>
      <c r="AC14" s="18">
        <f t="shared" si="0"/>
        <v>2</v>
      </c>
      <c r="AD14" s="18">
        <f t="shared" si="0"/>
        <v>3</v>
      </c>
      <c r="AE14" s="18">
        <f t="shared" si="0"/>
        <v>4</v>
      </c>
      <c r="AF14" s="18">
        <f t="shared" si="0"/>
        <v>5</v>
      </c>
      <c r="AG14" s="18">
        <f t="shared" si="0"/>
        <v>6</v>
      </c>
      <c r="AH14" s="18"/>
      <c r="AI14" s="18"/>
      <c r="AN14" s="18" t="s">
        <v>37</v>
      </c>
      <c r="AO14" s="18">
        <v>0</v>
      </c>
      <c r="AP14" s="18">
        <f t="shared" ref="AP14:AU14" si="1">AO14+1</f>
        <v>1</v>
      </c>
      <c r="AQ14" s="18">
        <f t="shared" si="1"/>
        <v>2</v>
      </c>
      <c r="AR14" s="18">
        <f t="shared" si="1"/>
        <v>3</v>
      </c>
      <c r="AS14" s="18">
        <f t="shared" si="1"/>
        <v>4</v>
      </c>
      <c r="AT14" s="18">
        <f t="shared" si="1"/>
        <v>5</v>
      </c>
      <c r="AU14" s="18">
        <f t="shared" si="1"/>
        <v>6</v>
      </c>
    </row>
    <row r="15" spans="1:47" x14ac:dyDescent="0.35">
      <c r="D15" s="18" t="s">
        <v>37</v>
      </c>
      <c r="E15" s="18">
        <v>0</v>
      </c>
      <c r="F15" s="18">
        <f>E15+1</f>
        <v>1</v>
      </c>
      <c r="G15" s="18">
        <f>F15+1</f>
        <v>2</v>
      </c>
      <c r="H15" s="18">
        <f>G15+1</f>
        <v>3</v>
      </c>
      <c r="I15" s="18">
        <f>H15+1</f>
        <v>4</v>
      </c>
      <c r="Z15" s="10" t="str">
        <f>_xlfn.CONCAT($C$6,"D")</f>
        <v>SPYD</v>
      </c>
      <c r="AA15" s="19" t="s">
        <v>38</v>
      </c>
      <c r="AB15" s="8"/>
      <c r="AC15" s="19" t="s">
        <v>46</v>
      </c>
      <c r="AD15" s="8"/>
      <c r="AE15" s="8"/>
      <c r="AN15" s="10" t="str">
        <f>_xlfn.CONCAT($C$6,"D")</f>
        <v>SPYD</v>
      </c>
      <c r="AO15" s="19" t="s">
        <v>38</v>
      </c>
      <c r="AP15" s="8"/>
      <c r="AQ15" s="19" t="s">
        <v>46</v>
      </c>
      <c r="AR15" s="8"/>
      <c r="AS15" s="8"/>
    </row>
    <row r="16" spans="1:47" x14ac:dyDescent="0.35">
      <c r="D16" s="10" t="str">
        <f>_xlfn.CONCAT($C$6,"D")</f>
        <v>SPYD</v>
      </c>
      <c r="E16" s="19" t="s">
        <v>38</v>
      </c>
      <c r="F16" s="8"/>
      <c r="G16" s="19" t="s">
        <v>46</v>
      </c>
      <c r="H16" s="8"/>
      <c r="I16" s="8"/>
      <c r="Z16" s="10" t="str">
        <f>$C$6</f>
        <v>SPY</v>
      </c>
      <c r="AC16" s="19" t="s">
        <v>45</v>
      </c>
      <c r="AD16" s="8"/>
      <c r="AE16" s="19" t="s">
        <v>47</v>
      </c>
      <c r="AN16" s="10" t="str">
        <f>$C$6</f>
        <v>SPY</v>
      </c>
      <c r="AQ16" s="19" t="s">
        <v>45</v>
      </c>
      <c r="AR16" s="8"/>
      <c r="AS16" s="19" t="s">
        <v>47</v>
      </c>
    </row>
    <row r="17" spans="3:47" ht="15.75" customHeight="1" x14ac:dyDescent="0.35">
      <c r="D17" s="10" t="str">
        <f>$C$6</f>
        <v>SPY</v>
      </c>
      <c r="G17" s="19" t="s">
        <v>45</v>
      </c>
      <c r="H17" s="8"/>
      <c r="I17" s="19" t="s">
        <v>47</v>
      </c>
      <c r="V17" s="8"/>
      <c r="W17" s="8"/>
      <c r="Z17" s="10" t="str">
        <f>$C$7</f>
        <v>PFE</v>
      </c>
      <c r="AA17" s="19" t="s">
        <v>38</v>
      </c>
      <c r="AB17" s="8"/>
      <c r="AC17" s="8"/>
      <c r="AN17" s="10" t="s">
        <v>59</v>
      </c>
      <c r="AO17" s="19" t="s">
        <v>38</v>
      </c>
      <c r="AP17" s="8"/>
      <c r="AQ17" s="8"/>
    </row>
    <row r="18" spans="3:47" ht="15.75" customHeight="1" x14ac:dyDescent="0.35">
      <c r="D18" s="10" t="str">
        <f>$C$7</f>
        <v>PFE</v>
      </c>
      <c r="E18" s="19" t="s">
        <v>38</v>
      </c>
      <c r="F18" s="8"/>
      <c r="G18" s="19" t="s">
        <v>46</v>
      </c>
      <c r="H18"/>
      <c r="W18" s="19"/>
      <c r="X18" s="8"/>
      <c r="Z18" s="10" t="str">
        <f>_xlfn.CONCAT($C$7,"D")</f>
        <v>PFED</v>
      </c>
      <c r="AC18" s="19" t="s">
        <v>45</v>
      </c>
      <c r="AD18" s="8"/>
      <c r="AE18" s="19" t="s">
        <v>44</v>
      </c>
      <c r="AN18" s="10" t="s">
        <v>60</v>
      </c>
      <c r="AQ18" s="19" t="s">
        <v>45</v>
      </c>
      <c r="AR18" s="8"/>
      <c r="AS18" s="19" t="s">
        <v>44</v>
      </c>
    </row>
    <row r="19" spans="3:47" x14ac:dyDescent="0.35">
      <c r="D19" s="10" t="str">
        <f>_xlfn.CONCAT($C$7,"D")</f>
        <v>PFED</v>
      </c>
      <c r="G19" s="19" t="s">
        <v>45</v>
      </c>
      <c r="H19" s="8"/>
      <c r="I19" s="19" t="s">
        <v>47</v>
      </c>
    </row>
    <row r="20" spans="3:47" ht="15.75" customHeight="1" x14ac:dyDescent="0.35">
      <c r="H20"/>
      <c r="AE20" s="13"/>
      <c r="AF20" s="13"/>
      <c r="AG20" s="13"/>
      <c r="AH20" s="13"/>
      <c r="AI20" s="13"/>
      <c r="AS20" s="13"/>
      <c r="AT20" s="13"/>
      <c r="AU20" s="13"/>
    </row>
    <row r="21" spans="3:47" x14ac:dyDescent="0.35">
      <c r="H21"/>
      <c r="Z21" s="27" t="s">
        <v>48</v>
      </c>
      <c r="AA21" s="27"/>
      <c r="AB21" s="27"/>
      <c r="AC21" s="27"/>
      <c r="AD21" s="27"/>
      <c r="AE21" s="27"/>
      <c r="AF21" s="27"/>
      <c r="AG21" s="27"/>
      <c r="AH21" s="27"/>
      <c r="AI21" s="27"/>
      <c r="AN21" s="27" t="s">
        <v>48</v>
      </c>
      <c r="AO21" s="27"/>
      <c r="AP21" s="27"/>
      <c r="AQ21" s="27"/>
      <c r="AR21" s="27"/>
      <c r="AS21" s="27"/>
      <c r="AT21" s="27"/>
      <c r="AU21" s="27"/>
    </row>
    <row r="22" spans="3:47" x14ac:dyDescent="0.35">
      <c r="D22" s="27" t="s">
        <v>48</v>
      </c>
      <c r="E22" s="27"/>
      <c r="F22" s="27"/>
      <c r="G22" s="27"/>
      <c r="H22" s="27"/>
      <c r="I22" s="27"/>
    </row>
    <row r="23" spans="3:47" x14ac:dyDescent="0.35">
      <c r="H23"/>
      <c r="Z23" s="18" t="s">
        <v>37</v>
      </c>
      <c r="AA23" s="18">
        <v>0</v>
      </c>
      <c r="AB23" s="18">
        <f t="shared" ref="AB23:AI23" si="2">AA23+1</f>
        <v>1</v>
      </c>
      <c r="AC23" s="18">
        <f t="shared" si="2"/>
        <v>2</v>
      </c>
      <c r="AD23" s="18">
        <f t="shared" si="2"/>
        <v>3</v>
      </c>
      <c r="AE23" s="18">
        <f t="shared" si="2"/>
        <v>4</v>
      </c>
      <c r="AF23" s="18">
        <f t="shared" si="2"/>
        <v>5</v>
      </c>
      <c r="AG23" s="18">
        <f t="shared" si="2"/>
        <v>6</v>
      </c>
      <c r="AH23" s="18">
        <f t="shared" si="2"/>
        <v>7</v>
      </c>
      <c r="AI23" s="18">
        <f t="shared" si="2"/>
        <v>8</v>
      </c>
      <c r="AN23" s="18" t="s">
        <v>37</v>
      </c>
      <c r="AO23" s="18">
        <v>0</v>
      </c>
      <c r="AP23" s="18">
        <f t="shared" ref="AP23:AU23" si="3">AO23+1</f>
        <v>1</v>
      </c>
      <c r="AQ23" s="18">
        <f t="shared" si="3"/>
        <v>2</v>
      </c>
      <c r="AR23" s="18">
        <f t="shared" si="3"/>
        <v>3</v>
      </c>
      <c r="AS23" s="18">
        <f t="shared" si="3"/>
        <v>4</v>
      </c>
      <c r="AT23" s="18">
        <f t="shared" si="3"/>
        <v>5</v>
      </c>
      <c r="AU23" s="18">
        <f t="shared" si="3"/>
        <v>6</v>
      </c>
    </row>
    <row r="24" spans="3:47" x14ac:dyDescent="0.35">
      <c r="D24" s="18" t="s">
        <v>37</v>
      </c>
      <c r="E24" s="18">
        <v>0</v>
      </c>
      <c r="F24" s="18">
        <f>E24+1</f>
        <v>1</v>
      </c>
      <c r="G24" s="18">
        <f>F24+1</f>
        <v>2</v>
      </c>
      <c r="H24" s="18">
        <f>G24+1</f>
        <v>3</v>
      </c>
      <c r="I24" s="18">
        <f>H24+1</f>
        <v>4</v>
      </c>
      <c r="Z24" s="10" t="s">
        <v>42</v>
      </c>
      <c r="AA24" s="12">
        <f t="shared" ref="AA24:AI24" si="4">AVERAGE(AA26/AA25,AA27/AA28)</f>
        <v>815.5801158301158</v>
      </c>
      <c r="AB24" s="12">
        <f t="shared" si="4"/>
        <v>817.5386689191414</v>
      </c>
      <c r="AC24" s="12">
        <f t="shared" si="4"/>
        <v>819.50192532317931</v>
      </c>
      <c r="AD24" s="12">
        <f t="shared" si="4"/>
        <v>821.46989633687963</v>
      </c>
      <c r="AE24" s="12">
        <f t="shared" si="4"/>
        <v>823.44259328201611</v>
      </c>
      <c r="AF24" s="12">
        <f t="shared" si="4"/>
        <v>825.42002750755046</v>
      </c>
      <c r="AG24" s="12">
        <f t="shared" si="4"/>
        <v>827.4022103896981</v>
      </c>
      <c r="AH24" s="12">
        <f t="shared" si="4"/>
        <v>829.38915333199373</v>
      </c>
      <c r="AI24" s="12">
        <f t="shared" si="4"/>
        <v>831.3808677653567</v>
      </c>
      <c r="AN24" s="10" t="s">
        <v>42</v>
      </c>
      <c r="AO24" s="12">
        <f t="shared" ref="AO24:AU24" si="5">AVERAGE(AO26/AO25,AO27/AO28)</f>
        <v>772.63704044551423</v>
      </c>
      <c r="AP24" s="12">
        <f t="shared" si="5"/>
        <v>774.4924690329558</v>
      </c>
      <c r="AQ24" s="12">
        <f t="shared" si="5"/>
        <v>776.35235328982935</v>
      </c>
      <c r="AR24" s="12">
        <f t="shared" si="5"/>
        <v>778.21670391608313</v>
      </c>
      <c r="AS24" s="12">
        <f t="shared" si="5"/>
        <v>780.08553163736076</v>
      </c>
      <c r="AT24" s="12">
        <f t="shared" si="5"/>
        <v>781.95884720506251</v>
      </c>
      <c r="AU24" s="12">
        <f t="shared" si="5"/>
        <v>783.83666139640718</v>
      </c>
    </row>
    <row r="25" spans="3:47" x14ac:dyDescent="0.35">
      <c r="D25" s="10" t="s">
        <v>42</v>
      </c>
      <c r="E25" s="12">
        <f>AVERAGE(E27/E26,E28/E29)</f>
        <v>815.5801158301158</v>
      </c>
      <c r="F25" s="12">
        <f>AVERAGE(F27/F26,F28/F29)</f>
        <v>817.5386689191414</v>
      </c>
      <c r="G25" s="12">
        <f>AVERAGE(G27/G26,G28/G29)</f>
        <v>819.50192532317931</v>
      </c>
      <c r="H25" s="12">
        <f>AVERAGE(H27/H26,H28/H29)</f>
        <v>821.46989633687963</v>
      </c>
      <c r="I25" s="12">
        <f>AVERAGE(I27/I26,I28/I29)</f>
        <v>823.44259328201611</v>
      </c>
      <c r="Y25" s="54" t="str">
        <f>$C$6</f>
        <v>SPY</v>
      </c>
      <c r="Z25" s="10" t="s">
        <v>5</v>
      </c>
      <c r="AA25" s="28">
        <f>E26</f>
        <v>22.4</v>
      </c>
      <c r="AB25" s="11">
        <f t="shared" ref="AB25:AI25" si="6">AA25</f>
        <v>22.4</v>
      </c>
      <c r="AC25" s="11">
        <f t="shared" si="6"/>
        <v>22.4</v>
      </c>
      <c r="AD25" s="11">
        <f t="shared" si="6"/>
        <v>22.4</v>
      </c>
      <c r="AE25" s="11">
        <f t="shared" si="6"/>
        <v>22.4</v>
      </c>
      <c r="AF25" s="11">
        <f t="shared" si="6"/>
        <v>22.4</v>
      </c>
      <c r="AG25" s="11">
        <f t="shared" si="6"/>
        <v>22.4</v>
      </c>
      <c r="AH25" s="11">
        <f t="shared" si="6"/>
        <v>22.4</v>
      </c>
      <c r="AI25" s="11">
        <f t="shared" si="6"/>
        <v>22.4</v>
      </c>
      <c r="AM25" s="54" t="str">
        <f>AN16</f>
        <v>SPY</v>
      </c>
      <c r="AN25" s="10" t="s">
        <v>5</v>
      </c>
      <c r="AO25" s="28">
        <f>AA25</f>
        <v>22.4</v>
      </c>
      <c r="AP25" s="11">
        <f t="shared" ref="AP25:AU25" si="7">AO25</f>
        <v>22.4</v>
      </c>
      <c r="AQ25" s="11">
        <f t="shared" si="7"/>
        <v>22.4</v>
      </c>
      <c r="AR25" s="11">
        <f t="shared" si="7"/>
        <v>22.4</v>
      </c>
      <c r="AS25" s="11">
        <f t="shared" si="7"/>
        <v>22.4</v>
      </c>
      <c r="AT25" s="11">
        <f t="shared" si="7"/>
        <v>22.4</v>
      </c>
      <c r="AU25" s="11">
        <f t="shared" si="7"/>
        <v>22.4</v>
      </c>
    </row>
    <row r="26" spans="3:47" x14ac:dyDescent="0.35">
      <c r="C26" s="33" t="str">
        <f>$C$6</f>
        <v>SPY</v>
      </c>
      <c r="D26" s="10" t="s">
        <v>84</v>
      </c>
      <c r="E26" s="28">
        <f>VLOOKUP(C26,df_mep!A:O,MATCH(D26,df_mep[#Headers],0),0)</f>
        <v>22.4</v>
      </c>
      <c r="F26" s="11">
        <f>E26</f>
        <v>22.4</v>
      </c>
      <c r="G26" s="11">
        <f>F26</f>
        <v>22.4</v>
      </c>
      <c r="H26" s="11">
        <f>G26</f>
        <v>22.4</v>
      </c>
      <c r="I26" s="11">
        <f>H26</f>
        <v>22.4</v>
      </c>
      <c r="K26" s="12"/>
      <c r="Y26" s="54"/>
      <c r="Z26" s="20" t="s">
        <v>2</v>
      </c>
      <c r="AA26" s="29">
        <f>E27</f>
        <v>19000</v>
      </c>
      <c r="AB26" s="16">
        <f t="shared" ref="AB26:AI27" si="8">AA26*(1+$M$4)</f>
        <v>19045.627042603424</v>
      </c>
      <c r="AC26" s="16">
        <f t="shared" si="8"/>
        <v>19091.363655049834</v>
      </c>
      <c r="AD26" s="16">
        <f t="shared" si="8"/>
        <v>19137.210100462802</v>
      </c>
      <c r="AE26" s="16">
        <f t="shared" si="8"/>
        <v>19183.166642597775</v>
      </c>
      <c r="AF26" s="16">
        <f t="shared" si="8"/>
        <v>19229.233545843585</v>
      </c>
      <c r="AG26" s="16">
        <f t="shared" si="8"/>
        <v>19275.411075223972</v>
      </c>
      <c r="AH26" s="16">
        <f t="shared" si="8"/>
        <v>19321.699496399116</v>
      </c>
      <c r="AI26" s="16">
        <f t="shared" si="8"/>
        <v>19368.099075667156</v>
      </c>
      <c r="AM26" s="54"/>
      <c r="AN26" s="20" t="s">
        <v>2</v>
      </c>
      <c r="AO26" s="29">
        <f>AA26</f>
        <v>19000</v>
      </c>
      <c r="AP26" s="16">
        <f t="shared" ref="AP26:AU27" si="9">AO26*(1+$M$4)</f>
        <v>19045.627042603424</v>
      </c>
      <c r="AQ26" s="16">
        <f t="shared" si="9"/>
        <v>19091.363655049834</v>
      </c>
      <c r="AR26" s="16">
        <f t="shared" si="9"/>
        <v>19137.210100462802</v>
      </c>
      <c r="AS26" s="16">
        <f t="shared" si="9"/>
        <v>19183.166642597775</v>
      </c>
      <c r="AT26" s="16">
        <f t="shared" si="9"/>
        <v>19229.233545843585</v>
      </c>
      <c r="AU26" s="16">
        <f t="shared" si="9"/>
        <v>19275.411075223972</v>
      </c>
    </row>
    <row r="27" spans="3:47" x14ac:dyDescent="0.35">
      <c r="C27" s="33" t="str">
        <f>$C$6</f>
        <v>SPY</v>
      </c>
      <c r="D27" s="20" t="s">
        <v>80</v>
      </c>
      <c r="E27" s="28">
        <f>VLOOKUP(C27,df_mep!A:O,MATCH(D27,df_mep[#Headers],0),0)</f>
        <v>19000</v>
      </c>
      <c r="F27" s="16">
        <f t="shared" ref="F27:I28" si="10">E27*(1+$M$4)</f>
        <v>19045.627042603424</v>
      </c>
      <c r="G27" s="16">
        <f t="shared" si="10"/>
        <v>19091.363655049834</v>
      </c>
      <c r="H27" s="16">
        <f t="shared" si="10"/>
        <v>19137.210100462802</v>
      </c>
      <c r="I27" s="16">
        <f t="shared" si="10"/>
        <v>19183.166642597775</v>
      </c>
      <c r="K27" s="12"/>
      <c r="Y27" s="54" t="str">
        <f>$C$7</f>
        <v>PFE</v>
      </c>
      <c r="Z27" s="20" t="s">
        <v>3</v>
      </c>
      <c r="AA27" s="29">
        <f>E28</f>
        <v>14484.5</v>
      </c>
      <c r="AB27" s="16">
        <f t="shared" si="8"/>
        <v>14519.283415715225</v>
      </c>
      <c r="AC27" s="16">
        <f t="shared" si="8"/>
        <v>14554.150361135225</v>
      </c>
      <c r="AD27" s="16">
        <f t="shared" si="8"/>
        <v>14589.101036850179</v>
      </c>
      <c r="AE27" s="16">
        <f t="shared" si="8"/>
        <v>14624.13564393197</v>
      </c>
      <c r="AF27" s="16">
        <f t="shared" si="8"/>
        <v>14659.254383935335</v>
      </c>
      <c r="AG27" s="16">
        <f t="shared" si="8"/>
        <v>14694.457458899031</v>
      </c>
      <c r="AH27" s="16">
        <f t="shared" si="8"/>
        <v>14729.745071346997</v>
      </c>
      <c r="AI27" s="16">
        <f t="shared" si="8"/>
        <v>14765.117424289518</v>
      </c>
      <c r="AM27" s="54" t="str">
        <f>AN17</f>
        <v>AL30</v>
      </c>
      <c r="AN27" s="20" t="s">
        <v>3</v>
      </c>
      <c r="AO27" s="29">
        <v>21100</v>
      </c>
      <c r="AP27" s="16">
        <f t="shared" si="9"/>
        <v>21150.67003152275</v>
      </c>
      <c r="AQ27" s="16">
        <f t="shared" si="9"/>
        <v>21201.46174323955</v>
      </c>
      <c r="AR27" s="16">
        <f t="shared" si="9"/>
        <v>21252.375427356055</v>
      </c>
      <c r="AS27" s="16">
        <f t="shared" si="9"/>
        <v>21303.41137677963</v>
      </c>
      <c r="AT27" s="16">
        <f t="shared" si="9"/>
        <v>21354.569885121029</v>
      </c>
      <c r="AU27" s="16">
        <f t="shared" si="9"/>
        <v>21405.851246696093</v>
      </c>
    </row>
    <row r="28" spans="3:47" x14ac:dyDescent="0.35">
      <c r="C28" s="33" t="str">
        <f>$C$7</f>
        <v>PFE</v>
      </c>
      <c r="D28" s="20" t="s">
        <v>81</v>
      </c>
      <c r="E28" s="28">
        <f>VLOOKUP(C28,df_mep!A:O,MATCH(D28,df_mep[#Headers],0),0)</f>
        <v>14484.5</v>
      </c>
      <c r="F28" s="16">
        <f t="shared" si="10"/>
        <v>14519.283415715225</v>
      </c>
      <c r="G28" s="16">
        <f t="shared" si="10"/>
        <v>14554.150361135225</v>
      </c>
      <c r="H28" s="16">
        <f t="shared" si="10"/>
        <v>14589.101036850179</v>
      </c>
      <c r="I28" s="16">
        <f t="shared" si="10"/>
        <v>14624.13564393197</v>
      </c>
      <c r="K28" s="12"/>
      <c r="Y28" s="54"/>
      <c r="Z28" s="10" t="s">
        <v>4</v>
      </c>
      <c r="AA28" s="28">
        <f>E29</f>
        <v>18.5</v>
      </c>
      <c r="AB28" s="11">
        <f t="shared" ref="AB28:AI28" si="11">AA28</f>
        <v>18.5</v>
      </c>
      <c r="AC28" s="11">
        <f t="shared" si="11"/>
        <v>18.5</v>
      </c>
      <c r="AD28" s="11">
        <f t="shared" si="11"/>
        <v>18.5</v>
      </c>
      <c r="AE28" s="11">
        <f t="shared" si="11"/>
        <v>18.5</v>
      </c>
      <c r="AF28" s="11">
        <f t="shared" si="11"/>
        <v>18.5</v>
      </c>
      <c r="AG28" s="11">
        <f t="shared" si="11"/>
        <v>18.5</v>
      </c>
      <c r="AH28" s="11">
        <f t="shared" si="11"/>
        <v>18.5</v>
      </c>
      <c r="AI28" s="11">
        <f t="shared" si="11"/>
        <v>18.5</v>
      </c>
      <c r="AM28" s="54"/>
      <c r="AN28" s="10" t="s">
        <v>4</v>
      </c>
      <c r="AO28" s="28">
        <v>30.27</v>
      </c>
      <c r="AP28" s="11">
        <f t="shared" ref="AP28:AU28" si="12">AO28</f>
        <v>30.27</v>
      </c>
      <c r="AQ28" s="11">
        <f t="shared" si="12"/>
        <v>30.27</v>
      </c>
      <c r="AR28" s="11">
        <f t="shared" si="12"/>
        <v>30.27</v>
      </c>
      <c r="AS28" s="11">
        <f t="shared" si="12"/>
        <v>30.27</v>
      </c>
      <c r="AT28" s="11">
        <f t="shared" si="12"/>
        <v>30.27</v>
      </c>
      <c r="AU28" s="11">
        <f t="shared" si="12"/>
        <v>30.27</v>
      </c>
    </row>
    <row r="29" spans="3:47" x14ac:dyDescent="0.35">
      <c r="C29" s="33" t="str">
        <f>$C$7</f>
        <v>PFE</v>
      </c>
      <c r="D29" s="10" t="s">
        <v>83</v>
      </c>
      <c r="E29" s="28">
        <f>VLOOKUP(C29,df_mep!A:O,MATCH(D29,df_mep[#Headers],0),0)</f>
        <v>18.5</v>
      </c>
      <c r="F29" s="11">
        <f>E29</f>
        <v>18.5</v>
      </c>
      <c r="G29" s="11">
        <f>F29</f>
        <v>18.5</v>
      </c>
      <c r="H29" s="11">
        <f>G29</f>
        <v>18.5</v>
      </c>
      <c r="I29" s="11">
        <f>H29</f>
        <v>18.5</v>
      </c>
      <c r="K29" s="12"/>
    </row>
    <row r="30" spans="3:47" x14ac:dyDescent="0.35">
      <c r="H30"/>
    </row>
    <row r="31" spans="3:47" x14ac:dyDescent="0.35">
      <c r="H31"/>
      <c r="Z31" s="27" t="s">
        <v>50</v>
      </c>
      <c r="AA31" s="27"/>
      <c r="AB31" s="27"/>
      <c r="AC31" s="27"/>
      <c r="AD31" s="27"/>
      <c r="AE31" s="27"/>
      <c r="AF31" s="27"/>
      <c r="AG31" s="27"/>
      <c r="AH31" s="27"/>
      <c r="AI31" s="27"/>
      <c r="AN31" s="27" t="s">
        <v>50</v>
      </c>
      <c r="AO31" s="27"/>
      <c r="AP31" s="27"/>
      <c r="AQ31" s="27"/>
      <c r="AR31" s="27"/>
      <c r="AS31" s="27"/>
      <c r="AT31" s="27"/>
      <c r="AU31" s="27"/>
    </row>
    <row r="32" spans="3:47" x14ac:dyDescent="0.35">
      <c r="D32" s="27" t="s">
        <v>50</v>
      </c>
      <c r="E32" s="27"/>
      <c r="F32" s="27"/>
      <c r="G32" s="27"/>
      <c r="H32" s="27"/>
      <c r="I32" s="27"/>
      <c r="Z32" s="8"/>
      <c r="AA32" s="8"/>
      <c r="AB32" s="8"/>
      <c r="AC32" s="8"/>
      <c r="AD32" s="8"/>
      <c r="AE32" s="8"/>
      <c r="AF32" s="8"/>
      <c r="AG32" s="8"/>
      <c r="AH32" s="8"/>
      <c r="AI32" s="8"/>
      <c r="AN32" s="8"/>
      <c r="AO32" s="8"/>
      <c r="AP32" s="8"/>
      <c r="AQ32" s="8"/>
      <c r="AR32" s="8"/>
      <c r="AS32" s="8"/>
      <c r="AT32" s="8"/>
      <c r="AU32" s="8"/>
    </row>
    <row r="33" spans="4:47" x14ac:dyDescent="0.35">
      <c r="D33" s="8"/>
      <c r="E33" s="8"/>
      <c r="F33" s="8"/>
      <c r="G33" s="8"/>
      <c r="H33" s="8"/>
      <c r="I33" s="8"/>
      <c r="Z33" s="10" t="str">
        <f>_xlfn.CONCAT($C$6,"D")</f>
        <v>SPYD</v>
      </c>
      <c r="AA33" s="21">
        <f>ROUNDDOWN(AA3/AA25,0)</f>
        <v>44</v>
      </c>
      <c r="AB33" s="21"/>
      <c r="AC33" s="8"/>
      <c r="AD33" s="21"/>
      <c r="AE33" s="21"/>
      <c r="AF33" s="21"/>
      <c r="AG33" s="21"/>
      <c r="AH33" s="21"/>
      <c r="AI33" s="21"/>
      <c r="AN33" s="10" t="str">
        <f>AN15</f>
        <v>SPYD</v>
      </c>
      <c r="AO33" s="21">
        <f>ROUNDDOWN(AO3/AO25,0)</f>
        <v>44</v>
      </c>
      <c r="AP33" s="21"/>
      <c r="AQ33" s="8"/>
      <c r="AR33" s="21"/>
      <c r="AS33" s="21"/>
      <c r="AT33" s="21"/>
      <c r="AU33" s="21"/>
    </row>
    <row r="34" spans="4:47" x14ac:dyDescent="0.35">
      <c r="D34" s="10" t="str">
        <f>_xlfn.CONCAT($C$6,"D")</f>
        <v>SPYD</v>
      </c>
      <c r="E34" s="21">
        <f>ROUNDDOWN(D4/E26,0)</f>
        <v>22</v>
      </c>
      <c r="F34" s="21"/>
      <c r="G34" s="8"/>
      <c r="H34" s="21"/>
      <c r="I34" s="21"/>
      <c r="Z34" s="10" t="str">
        <f>$C$6</f>
        <v>SPY</v>
      </c>
      <c r="AB34" s="21"/>
      <c r="AC34" s="21">
        <f>-AA33</f>
        <v>-44</v>
      </c>
      <c r="AD34" s="21"/>
      <c r="AE34" s="21"/>
      <c r="AF34" s="21"/>
      <c r="AG34" s="21"/>
      <c r="AH34" s="21"/>
      <c r="AI34" s="21"/>
      <c r="AN34" s="10" t="str">
        <f>AN16</f>
        <v>SPY</v>
      </c>
      <c r="AP34" s="21"/>
      <c r="AQ34" s="21">
        <f>-AO33</f>
        <v>-44</v>
      </c>
      <c r="AR34" s="21"/>
      <c r="AS34" s="21"/>
      <c r="AT34" s="21"/>
      <c r="AU34" s="21"/>
    </row>
    <row r="35" spans="4:47" x14ac:dyDescent="0.35">
      <c r="D35" s="10" t="str">
        <f>$C$6</f>
        <v>SPY</v>
      </c>
      <c r="F35" s="21"/>
      <c r="G35" s="21">
        <f>-E34</f>
        <v>-22</v>
      </c>
      <c r="H35" s="21"/>
      <c r="I35" s="21"/>
      <c r="Z35" s="10" t="str">
        <f>$C$7</f>
        <v>PFE</v>
      </c>
      <c r="AA35" s="21"/>
      <c r="AB35" s="21"/>
      <c r="AD35" s="21"/>
      <c r="AE35" s="21">
        <f>ROUNDDOWN(AE42/AE27,0)</f>
        <v>57</v>
      </c>
      <c r="AF35" s="21"/>
      <c r="AG35" s="21"/>
      <c r="AH35" s="21"/>
      <c r="AI35" s="21"/>
      <c r="AN35" s="10" t="str">
        <f>AN17</f>
        <v>AL30</v>
      </c>
      <c r="AO35" s="21"/>
      <c r="AP35" s="21"/>
      <c r="AR35" s="21"/>
      <c r="AS35" s="21">
        <f>ROUNDDOWN(AS42/AS27,0)</f>
        <v>39</v>
      </c>
      <c r="AT35" s="21"/>
      <c r="AU35" s="21"/>
    </row>
    <row r="36" spans="4:47" x14ac:dyDescent="0.35">
      <c r="D36" s="10" t="str">
        <f>$C$7</f>
        <v>PFE</v>
      </c>
      <c r="E36" s="21">
        <f>ROUNDDOWN(D3/G28,0)</f>
        <v>28</v>
      </c>
      <c r="F36" s="21"/>
      <c r="H36" s="21"/>
      <c r="I36" s="21"/>
      <c r="Z36" s="10" t="str">
        <f>_xlfn.CONCAT($C$7,"D")</f>
        <v>PFED</v>
      </c>
      <c r="AA36" s="21"/>
      <c r="AB36" s="21"/>
      <c r="AD36" s="21"/>
      <c r="AE36" s="8"/>
      <c r="AF36" s="8"/>
      <c r="AG36" s="21">
        <f>-AE35</f>
        <v>-57</v>
      </c>
      <c r="AH36" s="21"/>
      <c r="AI36" s="21"/>
      <c r="AN36" s="10" t="str">
        <f>AN18</f>
        <v>AL30D</v>
      </c>
      <c r="AO36" s="21"/>
      <c r="AP36" s="21"/>
      <c r="AR36" s="21"/>
      <c r="AS36" s="8"/>
      <c r="AT36" s="8"/>
      <c r="AU36" s="21">
        <f>-AS35</f>
        <v>-39</v>
      </c>
    </row>
    <row r="37" spans="4:47" x14ac:dyDescent="0.35">
      <c r="D37" s="10" t="str">
        <f>_xlfn.CONCAT($C$7,"D")</f>
        <v>PFED</v>
      </c>
      <c r="E37" s="21"/>
      <c r="F37" s="21"/>
      <c r="G37" s="21">
        <f>-E36</f>
        <v>-28</v>
      </c>
      <c r="H37" s="21"/>
      <c r="I37" s="8"/>
    </row>
    <row r="38" spans="4:47" x14ac:dyDescent="0.35">
      <c r="H38"/>
    </row>
    <row r="39" spans="4:47" x14ac:dyDescent="0.35">
      <c r="H39"/>
      <c r="Z39" s="27" t="s">
        <v>23</v>
      </c>
      <c r="AA39" s="27"/>
      <c r="AB39" s="27"/>
      <c r="AC39" s="27"/>
      <c r="AD39" s="27"/>
      <c r="AE39" s="27"/>
      <c r="AF39" s="27"/>
      <c r="AG39" s="27"/>
      <c r="AH39" s="27"/>
      <c r="AI39" s="27"/>
      <c r="AN39" s="27" t="s">
        <v>23</v>
      </c>
      <c r="AO39" s="27"/>
      <c r="AP39" s="27"/>
      <c r="AQ39" s="27"/>
      <c r="AR39" s="27"/>
      <c r="AS39" s="27"/>
      <c r="AT39" s="27"/>
      <c r="AU39" s="27"/>
    </row>
    <row r="40" spans="4:47" x14ac:dyDescent="0.35">
      <c r="D40" s="27" t="s">
        <v>23</v>
      </c>
      <c r="E40" s="27"/>
      <c r="F40" s="27"/>
      <c r="G40" s="27"/>
      <c r="H40" s="27"/>
      <c r="I40" s="27"/>
      <c r="Z40" s="8"/>
      <c r="AA40" s="8"/>
      <c r="AB40" s="8"/>
      <c r="AC40" s="8"/>
      <c r="AD40" s="8"/>
      <c r="AE40" s="8"/>
      <c r="AF40" s="8"/>
      <c r="AG40" s="8"/>
      <c r="AH40" s="8"/>
      <c r="AI40" s="8"/>
      <c r="AN40" s="8"/>
      <c r="AO40" s="8"/>
      <c r="AP40" s="8"/>
      <c r="AQ40" s="8"/>
      <c r="AR40" s="8"/>
      <c r="AS40" s="8"/>
      <c r="AT40" s="8"/>
      <c r="AU40" s="8"/>
    </row>
    <row r="41" spans="4:47" x14ac:dyDescent="0.35">
      <c r="D41" s="8"/>
      <c r="E41" s="8"/>
      <c r="F41" s="8"/>
      <c r="G41" s="8"/>
      <c r="H41" s="8"/>
      <c r="I41" s="8"/>
      <c r="Z41" s="1" t="str">
        <f>_xlfn.CONCAT("Compro: ",$C$6,"D")</f>
        <v>Compro: SPYD</v>
      </c>
      <c r="AA41" s="11">
        <f>-AA33*AA25</f>
        <v>-985.59999999999991</v>
      </c>
      <c r="AB41" s="11"/>
      <c r="AC41" s="11"/>
      <c r="AD41" s="11"/>
      <c r="AE41" s="11"/>
      <c r="AF41" s="11"/>
      <c r="AG41" s="11"/>
      <c r="AH41" s="11"/>
      <c r="AI41" s="11"/>
      <c r="AN41" s="1" t="str">
        <f>_xlfn.CONCAT("Compro: ",$C$6,"D")</f>
        <v>Compro: SPYD</v>
      </c>
      <c r="AO41" s="11">
        <f>-AO33*AO25</f>
        <v>-985.59999999999991</v>
      </c>
      <c r="AP41" s="11"/>
      <c r="AQ41" s="11"/>
      <c r="AR41" s="11"/>
      <c r="AS41" s="11"/>
      <c r="AT41" s="11"/>
      <c r="AU41" s="11"/>
    </row>
    <row r="42" spans="4:47" x14ac:dyDescent="0.35">
      <c r="D42" s="1" t="str">
        <f>_xlfn.CONCAT("Compro: ",$C$6,"D")</f>
        <v>Compro: SPYD</v>
      </c>
      <c r="E42" s="11">
        <f>-E34*E26</f>
        <v>-492.79999999999995</v>
      </c>
      <c r="F42" s="11"/>
      <c r="G42" s="11"/>
      <c r="H42" s="11"/>
      <c r="I42" s="11"/>
      <c r="Z42" s="1" t="str">
        <f>_xlfn.CONCAT("Vendo: ",$C$6)</f>
        <v>Vendo: SPY</v>
      </c>
      <c r="AA42" s="8"/>
      <c r="AB42" s="8"/>
      <c r="AD42" s="8"/>
      <c r="AE42" s="16">
        <f>-AC34*AC26</f>
        <v>840020.00082219276</v>
      </c>
      <c r="AF42" s="16"/>
      <c r="AG42" s="16"/>
      <c r="AH42" s="16"/>
      <c r="AI42" s="16"/>
      <c r="AN42" s="1" t="str">
        <f>_xlfn.CONCAT("Vendo: ",$C$6)</f>
        <v>Vendo: SPY</v>
      </c>
      <c r="AO42" s="8"/>
      <c r="AP42" s="8"/>
      <c r="AR42" s="8"/>
      <c r="AS42" s="16">
        <f>-AQ34*AQ26</f>
        <v>840020.00082219276</v>
      </c>
      <c r="AT42" s="16"/>
      <c r="AU42" s="16"/>
    </row>
    <row r="43" spans="4:47" x14ac:dyDescent="0.35">
      <c r="D43" s="1" t="str">
        <f>_xlfn.CONCAT("Vendo: ",$C$6)</f>
        <v>Vendo: SPY</v>
      </c>
      <c r="E43" s="8"/>
      <c r="F43" s="8"/>
      <c r="G43" s="16"/>
      <c r="H43" s="16"/>
      <c r="I43" s="16">
        <f>-G35*G27</f>
        <v>420010.00041109638</v>
      </c>
      <c r="Z43" s="1" t="str">
        <f>_xlfn.CONCAT("Compro: ",$C$7)</f>
        <v>Compro: PFE</v>
      </c>
      <c r="AA43" s="8"/>
      <c r="AB43" s="8"/>
      <c r="AD43" s="8"/>
      <c r="AE43" s="16">
        <f>-AE35*AE27</f>
        <v>-833575.73170412227</v>
      </c>
      <c r="AF43" s="16"/>
      <c r="AG43" s="16"/>
      <c r="AH43" s="16"/>
      <c r="AI43" s="16"/>
      <c r="AN43" s="1" t="str">
        <f>_xlfn.CONCAT("Compro: ",$C$7)</f>
        <v>Compro: PFE</v>
      </c>
      <c r="AO43" s="8"/>
      <c r="AP43" s="8"/>
      <c r="AR43" s="8"/>
      <c r="AS43" s="16">
        <f>-AS35*AS27</f>
        <v>-830833.04369440558</v>
      </c>
      <c r="AT43" s="16"/>
      <c r="AU43" s="16"/>
    </row>
    <row r="44" spans="4:47" x14ac:dyDescent="0.35">
      <c r="D44" s="1" t="str">
        <f>_xlfn.CONCAT("Compro: ",$C$7)</f>
        <v>Compro: PFE</v>
      </c>
      <c r="E44" s="16">
        <f>-E36*E28</f>
        <v>-405566</v>
      </c>
      <c r="F44" s="11"/>
      <c r="G44" s="11"/>
      <c r="H44" s="11"/>
      <c r="I44" s="11"/>
      <c r="Z44" s="1" t="str">
        <f>_xlfn.CONCAT("Vendo: ",$C$7,"D")</f>
        <v>Vendo: PFED</v>
      </c>
      <c r="AA44" s="8"/>
      <c r="AB44" s="8"/>
      <c r="AC44" s="8"/>
      <c r="AD44" s="8"/>
      <c r="AF44" s="11"/>
      <c r="AG44" s="11"/>
      <c r="AH44" s="11"/>
      <c r="AI44" s="11">
        <f>-AG36*AE28</f>
        <v>1054.5</v>
      </c>
      <c r="AN44" s="1" t="str">
        <f>_xlfn.CONCAT("Vendo: ",$C$7,"D")</f>
        <v>Vendo: PFED</v>
      </c>
      <c r="AO44" s="8"/>
      <c r="AP44" s="8"/>
      <c r="AQ44" s="8"/>
      <c r="AR44" s="8"/>
      <c r="AT44" s="11"/>
      <c r="AU44" s="11">
        <f>-AU36*AS28</f>
        <v>1180.53</v>
      </c>
    </row>
    <row r="45" spans="4:47" ht="15" thickBot="1" x14ac:dyDescent="0.4">
      <c r="D45" s="1" t="str">
        <f>_xlfn.CONCAT("Vendo: ",$C$7,"D")</f>
        <v>Vendo: PFED</v>
      </c>
      <c r="E45" s="11"/>
      <c r="F45" s="11"/>
      <c r="G45" s="11"/>
      <c r="H45" s="11"/>
      <c r="I45" s="11">
        <f>-G37*G29</f>
        <v>518</v>
      </c>
      <c r="Z45" s="1" t="s">
        <v>35</v>
      </c>
      <c r="AA45" s="22"/>
      <c r="AB45" s="22"/>
      <c r="AC45" s="22"/>
      <c r="AD45" s="22"/>
      <c r="AE45" s="22"/>
      <c r="AF45" s="23"/>
      <c r="AG45" s="23"/>
      <c r="AH45" s="23"/>
      <c r="AI45" s="23">
        <f>-AI44*$D$5</f>
        <v>-2.63625</v>
      </c>
      <c r="AN45" s="1" t="s">
        <v>35</v>
      </c>
      <c r="AO45" s="22"/>
      <c r="AP45" s="22"/>
      <c r="AQ45" s="22"/>
      <c r="AR45" s="22"/>
      <c r="AS45" s="22"/>
      <c r="AT45" s="23"/>
      <c r="AU45" s="23">
        <f>-AU44*$D$5</f>
        <v>-2.9513250000000002</v>
      </c>
    </row>
    <row r="46" spans="4:47" ht="15.5" thickTop="1" thickBot="1" x14ac:dyDescent="0.4">
      <c r="D46" s="1" t="s">
        <v>35</v>
      </c>
      <c r="E46" s="23"/>
      <c r="F46" s="23"/>
      <c r="G46" s="23"/>
      <c r="H46" s="23"/>
      <c r="I46" s="23">
        <f>-I45*$D$5</f>
        <v>-1.2949999999999999</v>
      </c>
      <c r="Z46" s="24" t="s">
        <v>31</v>
      </c>
      <c r="AA46" s="25">
        <f t="shared" ref="AA46:AI46" si="13">AA41+AA44+AA45+SUM(AA42:AA43)/AA24</f>
        <v>-985.59999999999991</v>
      </c>
      <c r="AB46" s="25">
        <f t="shared" si="13"/>
        <v>0</v>
      </c>
      <c r="AC46" s="25">
        <f t="shared" si="13"/>
        <v>0</v>
      </c>
      <c r="AD46" s="25">
        <f t="shared" si="13"/>
        <v>0</v>
      </c>
      <c r="AE46" s="25">
        <f t="shared" si="13"/>
        <v>7.8260089660718162</v>
      </c>
      <c r="AF46" s="25">
        <f t="shared" si="13"/>
        <v>0</v>
      </c>
      <c r="AG46" s="25">
        <f t="shared" si="13"/>
        <v>0</v>
      </c>
      <c r="AH46" s="25">
        <f t="shared" si="13"/>
        <v>0</v>
      </c>
      <c r="AI46" s="25">
        <f t="shared" si="13"/>
        <v>1051.86375</v>
      </c>
      <c r="AN46" s="24" t="s">
        <v>31</v>
      </c>
      <c r="AO46" s="25">
        <f t="shared" ref="AO46:AU46" si="14">AO41+AO44+AO45+SUM(AO42:AO43)/AO24</f>
        <v>-985.59999999999991</v>
      </c>
      <c r="AP46" s="25">
        <f t="shared" si="14"/>
        <v>0</v>
      </c>
      <c r="AQ46" s="25">
        <f t="shared" si="14"/>
        <v>0</v>
      </c>
      <c r="AR46" s="25">
        <f t="shared" si="14"/>
        <v>0</v>
      </c>
      <c r="AS46" s="25">
        <f t="shared" si="14"/>
        <v>11.776858761249175</v>
      </c>
      <c r="AT46" s="25">
        <f t="shared" si="14"/>
        <v>0</v>
      </c>
      <c r="AU46" s="25">
        <f t="shared" si="14"/>
        <v>1177.578675</v>
      </c>
    </row>
    <row r="47" spans="4:47" ht="15" thickTop="1" x14ac:dyDescent="0.35">
      <c r="D47" s="24" t="s">
        <v>31</v>
      </c>
      <c r="E47" s="25">
        <f>E42+E45+E46+SUM(E43:E44)/E25</f>
        <v>-990.0730356320737</v>
      </c>
      <c r="F47" s="25">
        <f>F42+F45+F46+SUM(F43:F44)/F25</f>
        <v>0</v>
      </c>
      <c r="G47" s="25">
        <f>G42+G45+G46+SUM(G43:G44)/G25</f>
        <v>0</v>
      </c>
      <c r="H47" s="25">
        <f>H42+H45+H46+SUM(H43:H44)/H25</f>
        <v>0</v>
      </c>
      <c r="I47" s="25">
        <f>I42+I45+I46+SUM(I43:I44)/I25</f>
        <v>1026.7709157513966</v>
      </c>
      <c r="Z47" s="24" t="s">
        <v>43</v>
      </c>
      <c r="AA47" s="25">
        <f>SUM(AA46:AI46)</f>
        <v>74.08975896607194</v>
      </c>
      <c r="AB47" s="8"/>
      <c r="AC47" s="8"/>
      <c r="AD47" s="8"/>
      <c r="AE47" s="8"/>
      <c r="AF47" s="8"/>
      <c r="AG47" s="8"/>
      <c r="AH47" s="8"/>
      <c r="AI47" s="8"/>
      <c r="AN47" s="24" t="s">
        <v>43</v>
      </c>
      <c r="AO47" s="25">
        <f>SUM(AO46:AU46)</f>
        <v>203.75553376124924</v>
      </c>
      <c r="AP47" s="8"/>
      <c r="AQ47" s="8"/>
      <c r="AR47" s="8"/>
      <c r="AS47" s="8"/>
      <c r="AT47" s="8"/>
      <c r="AU47" s="8"/>
    </row>
    <row r="48" spans="4:47" x14ac:dyDescent="0.35">
      <c r="D48" s="24" t="s">
        <v>43</v>
      </c>
      <c r="E48" s="25">
        <f>SUM(E47:I47)</f>
        <v>36.697880119322917</v>
      </c>
      <c r="F48" s="8"/>
      <c r="G48" s="8"/>
      <c r="H48" s="8"/>
      <c r="I48" s="8"/>
      <c r="Z48" s="24" t="s">
        <v>32</v>
      </c>
      <c r="AA48" s="26">
        <f>-AA47/AA46</f>
        <v>7.5172239210706121E-2</v>
      </c>
      <c r="AB48" s="8"/>
      <c r="AC48" s="8"/>
      <c r="AD48" s="8"/>
      <c r="AE48" s="8"/>
      <c r="AF48" s="8"/>
      <c r="AG48" s="8"/>
      <c r="AH48" s="8"/>
      <c r="AI48" s="8"/>
      <c r="AN48" s="24" t="s">
        <v>32</v>
      </c>
      <c r="AO48" s="26">
        <f>-AO47/AO46</f>
        <v>0.206732481494774</v>
      </c>
      <c r="AP48" s="8"/>
      <c r="AQ48" s="8"/>
      <c r="AR48" s="8"/>
      <c r="AS48" s="8"/>
      <c r="AT48" s="8"/>
      <c r="AU48" s="8"/>
    </row>
    <row r="49" spans="4:41" x14ac:dyDescent="0.35">
      <c r="D49" s="24" t="s">
        <v>32</v>
      </c>
      <c r="E49" s="26">
        <f>-E48/E47</f>
        <v>3.7065831305964796E-2</v>
      </c>
      <c r="F49" s="8"/>
      <c r="G49" s="8"/>
      <c r="H49" s="8"/>
      <c r="I49" s="8"/>
    </row>
    <row r="50" spans="4:41" x14ac:dyDescent="0.35">
      <c r="H50"/>
      <c r="Z50" s="24" t="s">
        <v>57</v>
      </c>
      <c r="AA50" s="15">
        <f>(1+AA48)^(1/AI23)-1</f>
        <v>9.1012759270523436E-3</v>
      </c>
      <c r="AN50" s="24" t="s">
        <v>57</v>
      </c>
      <c r="AO50" s="15">
        <f>(1+AO48)^(1/15)-1</f>
        <v>1.2606552896868406E-2</v>
      </c>
    </row>
    <row r="51" spans="4:41" x14ac:dyDescent="0.35">
      <c r="D51" s="24" t="s">
        <v>57</v>
      </c>
      <c r="E51" s="15">
        <f>(1+E49)^(1/I24)-1</f>
        <v>9.1403728133576667E-3</v>
      </c>
      <c r="H51"/>
      <c r="Z51" s="24" t="s">
        <v>56</v>
      </c>
      <c r="AA51" s="15">
        <f>(1+AA50)^30-1</f>
        <v>0.3123287978615199</v>
      </c>
      <c r="AN51" s="24" t="s">
        <v>56</v>
      </c>
      <c r="AO51" s="15">
        <f>(1+AO50)^30-1</f>
        <v>0.45620328189453185</v>
      </c>
    </row>
    <row r="52" spans="4:41" x14ac:dyDescent="0.35">
      <c r="D52" s="24" t="s">
        <v>56</v>
      </c>
      <c r="E52" s="15">
        <f>(1+E51)^30-1</f>
        <v>0.31385501150887518</v>
      </c>
      <c r="F52" s="15"/>
      <c r="H52"/>
      <c r="Z52" s="24" t="s">
        <v>58</v>
      </c>
      <c r="AA52" s="15">
        <f>(1+AA50)^365-1</f>
        <v>26.301448286050821</v>
      </c>
      <c r="AN52" s="24" t="s">
        <v>58</v>
      </c>
      <c r="AO52" s="15">
        <f>(1+AO50)^365-1</f>
        <v>95.798300763272138</v>
      </c>
    </row>
    <row r="53" spans="4:41" x14ac:dyDescent="0.35">
      <c r="D53" s="24" t="s">
        <v>58</v>
      </c>
      <c r="E53" s="15">
        <f>(1+E51)^365-1</f>
        <v>26.690271274988635</v>
      </c>
      <c r="H53"/>
    </row>
    <row r="54" spans="4:41" x14ac:dyDescent="0.35">
      <c r="H54"/>
    </row>
    <row r="55" spans="4:41" x14ac:dyDescent="0.35">
      <c r="H55"/>
    </row>
    <row r="56" spans="4:41" x14ac:dyDescent="0.35">
      <c r="H56"/>
    </row>
    <row r="58" spans="4:41" x14ac:dyDescent="0.35">
      <c r="P58" s="32"/>
    </row>
  </sheetData>
  <mergeCells count="4">
    <mergeCell ref="AM25:AM26"/>
    <mergeCell ref="AM27:AM28"/>
    <mergeCell ref="Y25:Y26"/>
    <mergeCell ref="Y27:Y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8221-65C8-4DE3-800E-E0D1B260F341}">
  <dimension ref="E14:K17"/>
  <sheetViews>
    <sheetView showGridLines="0" zoomScaleNormal="100" workbookViewId="0">
      <selection activeCell="A16" sqref="A16"/>
    </sheetView>
  </sheetViews>
  <sheetFormatPr defaultRowHeight="14.5" x14ac:dyDescent="0.35"/>
  <cols>
    <col min="3" max="3" width="12" bestFit="1" customWidth="1"/>
    <col min="6" max="6" width="12" bestFit="1" customWidth="1"/>
    <col min="9" max="9" width="12.26953125" bestFit="1" customWidth="1"/>
    <col min="11" max="11" width="12.26953125" bestFit="1" customWidth="1"/>
  </cols>
  <sheetData>
    <row r="14" spans="5:11" ht="15" thickBot="1" x14ac:dyDescent="0.4">
      <c r="E14" s="41"/>
      <c r="F14" s="41"/>
      <c r="G14" s="41"/>
      <c r="H14" s="41"/>
      <c r="I14" s="41"/>
      <c r="J14" s="41"/>
      <c r="K14" s="41"/>
    </row>
    <row r="16" spans="5:11" ht="18.5" x14ac:dyDescent="0.45">
      <c r="E16" s="40" t="s">
        <v>314</v>
      </c>
      <c r="H16" s="42" t="s">
        <v>315</v>
      </c>
      <c r="I16" s="43">
        <f>SUMPRODUCT(df_mep!C:C,df_mep!I:I,df_mep!N:N,df_mep!R:R)/SUMPRODUCT(df_mep!C:C,df_mep!I:I,df_mep!R:R)</f>
        <v>867.26837597833685</v>
      </c>
      <c r="J16" s="42" t="s">
        <v>316</v>
      </c>
      <c r="K16" s="43">
        <f>SUMPRODUCT(df_mep!C:C,df_mep!I:I,df_mep!O:O,df_mep!R:R)/SUMPRODUCT(df_mep!C:C,df_mep!I:I,df_mep!R:R)</f>
        <v>837.09080785726132</v>
      </c>
    </row>
    <row r="17" spans="5:11" ht="15" thickBot="1" x14ac:dyDescent="0.4">
      <c r="E17" s="41"/>
      <c r="F17" s="41"/>
      <c r="G17" s="41"/>
      <c r="H17" s="41"/>
      <c r="I17" s="41"/>
      <c r="J17" s="41"/>
      <c r="K17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92C3-B893-4B87-B562-6AFB17057EB2}">
  <dimension ref="B3:M19"/>
  <sheetViews>
    <sheetView zoomScale="130" zoomScaleNormal="130" workbookViewId="0">
      <selection activeCell="C12" sqref="C11:M12"/>
    </sheetView>
  </sheetViews>
  <sheetFormatPr defaultRowHeight="14.5" x14ac:dyDescent="0.35"/>
  <cols>
    <col min="3" max="3" width="10.26953125" bestFit="1" customWidth="1"/>
    <col min="4" max="4" width="8.1796875" bestFit="1" customWidth="1"/>
    <col min="5" max="5" width="9.54296875" bestFit="1" customWidth="1"/>
    <col min="6" max="6" width="3.7265625" bestFit="1" customWidth="1"/>
    <col min="7" max="7" width="7" bestFit="1" customWidth="1"/>
    <col min="8" max="8" width="7" customWidth="1"/>
    <col min="9" max="9" width="7.26953125" bestFit="1" customWidth="1"/>
    <col min="10" max="10" width="10" bestFit="1" customWidth="1"/>
    <col min="11" max="11" width="8.26953125" bestFit="1" customWidth="1"/>
    <col min="12" max="12" width="14" bestFit="1" customWidth="1"/>
    <col min="13" max="13" width="12" bestFit="1" customWidth="1"/>
  </cols>
  <sheetData>
    <row r="3" spans="2:13" x14ac:dyDescent="0.35">
      <c r="C3" s="45" t="s">
        <v>324</v>
      </c>
      <c r="D3" s="45" t="s">
        <v>322</v>
      </c>
      <c r="E3" s="45" t="s">
        <v>328</v>
      </c>
      <c r="F3" s="45" t="s">
        <v>321</v>
      </c>
      <c r="G3" s="45" t="s">
        <v>319</v>
      </c>
      <c r="H3" s="45" t="s">
        <v>329</v>
      </c>
      <c r="I3" s="45" t="s">
        <v>320</v>
      </c>
      <c r="J3" s="45" t="s">
        <v>22</v>
      </c>
      <c r="K3" s="45" t="s">
        <v>325</v>
      </c>
      <c r="L3" s="45" t="s">
        <v>323</v>
      </c>
      <c r="M3" s="45" t="s">
        <v>6</v>
      </c>
    </row>
    <row r="4" spans="2:13" x14ac:dyDescent="0.35">
      <c r="C4" t="s">
        <v>13</v>
      </c>
      <c r="D4" t="str">
        <f>_xlfn.CONCAT(C4,"D")</f>
        <v>KOD</v>
      </c>
      <c r="E4">
        <v>2</v>
      </c>
      <c r="F4">
        <v>1</v>
      </c>
      <c r="G4" s="44">
        <v>45196</v>
      </c>
      <c r="H4" s="52">
        <v>0.50069444444444444</v>
      </c>
      <c r="I4" s="44">
        <f t="shared" ref="I4:I19" si="0">WORKDAY(G4,E4)</f>
        <v>45198</v>
      </c>
      <c r="J4" s="6">
        <v>11.9</v>
      </c>
      <c r="K4" t="s">
        <v>327</v>
      </c>
      <c r="L4" s="6">
        <f>-J4*F4</f>
        <v>-11.9</v>
      </c>
      <c r="M4" s="2"/>
    </row>
    <row r="5" spans="2:13" x14ac:dyDescent="0.35">
      <c r="B5" s="44"/>
      <c r="C5" s="46" t="str">
        <f>C4</f>
        <v>KO</v>
      </c>
      <c r="D5" s="47" t="str">
        <f>C4</f>
        <v>KO</v>
      </c>
      <c r="E5" s="47">
        <v>2</v>
      </c>
      <c r="F5" s="47">
        <f>-F4</f>
        <v>-1</v>
      </c>
      <c r="G5" s="46">
        <f>I4</f>
        <v>45198</v>
      </c>
      <c r="H5" s="53">
        <v>0.50069444444444444</v>
      </c>
      <c r="I5" s="46">
        <f t="shared" si="0"/>
        <v>45202</v>
      </c>
      <c r="J5" s="49">
        <v>8821.4500000000007</v>
      </c>
      <c r="K5" s="47" t="s">
        <v>326</v>
      </c>
      <c r="L5" s="49">
        <f>-J5*F5</f>
        <v>8821.4500000000007</v>
      </c>
      <c r="M5" s="48">
        <f>-L5/L4</f>
        <v>741.29831932773118</v>
      </c>
    </row>
    <row r="6" spans="2:13" x14ac:dyDescent="0.35">
      <c r="C6" t="s">
        <v>19</v>
      </c>
      <c r="D6" t="str">
        <f>_xlfn.CONCAT(C6,"D")</f>
        <v>VISTD</v>
      </c>
      <c r="E6">
        <v>2</v>
      </c>
      <c r="F6">
        <v>1</v>
      </c>
      <c r="G6" s="44">
        <v>45196</v>
      </c>
      <c r="H6" s="52">
        <v>0.50069444444444444</v>
      </c>
      <c r="I6" s="44">
        <f t="shared" si="0"/>
        <v>45198</v>
      </c>
      <c r="J6" s="6">
        <v>32.04</v>
      </c>
      <c r="K6" t="s">
        <v>327</v>
      </c>
      <c r="L6" s="6">
        <f t="shared" ref="L6:L17" si="1">-J6*F6</f>
        <v>-32.04</v>
      </c>
      <c r="M6" s="2"/>
    </row>
    <row r="7" spans="2:13" x14ac:dyDescent="0.35">
      <c r="C7" s="46" t="str">
        <f>C6</f>
        <v>VIST</v>
      </c>
      <c r="D7" s="47" t="str">
        <f>C6</f>
        <v>VIST</v>
      </c>
      <c r="E7" s="47">
        <v>2</v>
      </c>
      <c r="F7" s="47">
        <f>-F6</f>
        <v>-1</v>
      </c>
      <c r="G7" s="46">
        <f>I6</f>
        <v>45198</v>
      </c>
      <c r="H7" s="53">
        <v>0.50069444444444444</v>
      </c>
      <c r="I7" s="46">
        <f t="shared" si="0"/>
        <v>45202</v>
      </c>
      <c r="J7" s="49">
        <v>24572.19</v>
      </c>
      <c r="K7" s="47" t="s">
        <v>327</v>
      </c>
      <c r="L7" s="49">
        <f t="shared" si="1"/>
        <v>24572.19</v>
      </c>
      <c r="M7" s="48">
        <f>-L7/L6</f>
        <v>766.92228464419475</v>
      </c>
    </row>
    <row r="8" spans="2:13" x14ac:dyDescent="0.35">
      <c r="C8" t="s">
        <v>26</v>
      </c>
      <c r="D8" t="str">
        <f>C8</f>
        <v>NKE</v>
      </c>
      <c r="E8">
        <v>2</v>
      </c>
      <c r="F8">
        <v>2</v>
      </c>
      <c r="G8" s="44">
        <v>45197</v>
      </c>
      <c r="H8" s="52">
        <v>0.50069444444444444</v>
      </c>
      <c r="I8" s="44">
        <f t="shared" si="0"/>
        <v>45201</v>
      </c>
      <c r="J8" s="4">
        <v>6015.82</v>
      </c>
      <c r="K8" t="s">
        <v>326</v>
      </c>
      <c r="L8" s="4">
        <f t="shared" si="1"/>
        <v>-12031.64</v>
      </c>
      <c r="M8" s="2">
        <f>-L8/L9</f>
        <v>691.47356321839084</v>
      </c>
    </row>
    <row r="9" spans="2:13" x14ac:dyDescent="0.35">
      <c r="C9" s="46" t="str">
        <f>C8</f>
        <v>NKE</v>
      </c>
      <c r="D9" s="47" t="str">
        <f>_xlfn.CONCAT(C8,"D")</f>
        <v>NKED</v>
      </c>
      <c r="E9" s="47">
        <v>2</v>
      </c>
      <c r="F9" s="47">
        <f>-F8</f>
        <v>-2</v>
      </c>
      <c r="G9" s="46">
        <f>I8</f>
        <v>45201</v>
      </c>
      <c r="H9" s="53">
        <v>0.50069444444444444</v>
      </c>
      <c r="I9" s="46">
        <f t="shared" si="0"/>
        <v>45203</v>
      </c>
      <c r="J9" s="50">
        <v>8.6999999999999993</v>
      </c>
      <c r="K9" s="47" t="s">
        <v>327</v>
      </c>
      <c r="L9" s="50">
        <f t="shared" si="1"/>
        <v>17.399999999999999</v>
      </c>
      <c r="M9" s="48"/>
    </row>
    <row r="10" spans="2:13" x14ac:dyDescent="0.35">
      <c r="C10" t="s">
        <v>74</v>
      </c>
      <c r="D10" t="str">
        <f>C10</f>
        <v>WBA</v>
      </c>
      <c r="E10">
        <v>2</v>
      </c>
      <c r="F10">
        <v>6</v>
      </c>
      <c r="G10" s="44">
        <v>45198</v>
      </c>
      <c r="H10" s="52">
        <v>0.50069444444444444</v>
      </c>
      <c r="I10" s="44">
        <f t="shared" si="0"/>
        <v>45202</v>
      </c>
      <c r="J10" s="4">
        <v>6089.89</v>
      </c>
      <c r="K10" t="s">
        <v>326</v>
      </c>
      <c r="L10" s="4">
        <f t="shared" si="1"/>
        <v>-36539.340000000004</v>
      </c>
      <c r="M10" s="2">
        <f>-L10/SUM(L11:L12)</f>
        <v>755.72574974146846</v>
      </c>
    </row>
    <row r="11" spans="2:13" x14ac:dyDescent="0.35">
      <c r="C11" s="44" t="str">
        <f>C10</f>
        <v>WBA</v>
      </c>
      <c r="D11" t="str">
        <f>_xlfn.CONCAT(C10,"D")</f>
        <v>WBAD</v>
      </c>
      <c r="E11">
        <v>2</v>
      </c>
      <c r="F11">
        <v>-1</v>
      </c>
      <c r="G11" s="44">
        <v>45203</v>
      </c>
      <c r="H11" s="52">
        <v>0.50069444444444444</v>
      </c>
      <c r="I11" s="44">
        <f t="shared" si="0"/>
        <v>45205</v>
      </c>
      <c r="J11" s="6">
        <v>8.35</v>
      </c>
      <c r="K11" t="s">
        <v>327</v>
      </c>
      <c r="L11" s="6">
        <f t="shared" si="1"/>
        <v>8.35</v>
      </c>
      <c r="M11" s="51"/>
    </row>
    <row r="12" spans="2:13" x14ac:dyDescent="0.35">
      <c r="C12" s="46" t="str">
        <f>C11</f>
        <v>WBA</v>
      </c>
      <c r="D12" s="47" t="str">
        <f>_xlfn.CONCAT(C11,"D")</f>
        <v>WBAD</v>
      </c>
      <c r="E12" s="47">
        <v>2</v>
      </c>
      <c r="F12" s="47">
        <f>-(F10+F11)</f>
        <v>-5</v>
      </c>
      <c r="G12" s="46">
        <v>45203</v>
      </c>
      <c r="H12" s="53">
        <v>0.50069444444444444</v>
      </c>
      <c r="I12" s="46">
        <f t="shared" si="0"/>
        <v>45205</v>
      </c>
      <c r="J12" s="50">
        <v>8</v>
      </c>
      <c r="K12" s="47" t="s">
        <v>327</v>
      </c>
      <c r="L12" s="50">
        <f t="shared" si="1"/>
        <v>40</v>
      </c>
      <c r="M12" s="48"/>
    </row>
    <row r="13" spans="2:13" x14ac:dyDescent="0.35">
      <c r="C13" t="s">
        <v>26</v>
      </c>
      <c r="D13" t="str">
        <f>C13</f>
        <v>NKE</v>
      </c>
      <c r="E13">
        <v>0</v>
      </c>
      <c r="F13">
        <v>26</v>
      </c>
      <c r="G13" s="44">
        <v>45201</v>
      </c>
      <c r="H13" s="52">
        <v>0.50069444444444444</v>
      </c>
      <c r="I13" s="44">
        <f t="shared" si="0"/>
        <v>45201</v>
      </c>
      <c r="J13" s="4">
        <v>6506.29</v>
      </c>
      <c r="K13" t="s">
        <v>326</v>
      </c>
      <c r="L13" s="4">
        <f t="shared" si="1"/>
        <v>-169163.54</v>
      </c>
      <c r="M13" s="2">
        <f>-L13/SUM(L14:L15)</f>
        <v>772.33045701502067</v>
      </c>
    </row>
    <row r="14" spans="2:13" x14ac:dyDescent="0.35">
      <c r="C14" s="44" t="str">
        <f>C13</f>
        <v>NKE</v>
      </c>
      <c r="D14" t="str">
        <f>_xlfn.CONCAT(C13,"D")</f>
        <v>NKED</v>
      </c>
      <c r="E14">
        <v>2</v>
      </c>
      <c r="F14">
        <v>-17</v>
      </c>
      <c r="G14" s="44">
        <f>I13</f>
        <v>45201</v>
      </c>
      <c r="H14" s="52">
        <v>0.50069444444444444</v>
      </c>
      <c r="I14" s="44">
        <f t="shared" si="0"/>
        <v>45203</v>
      </c>
      <c r="J14" s="4">
        <v>8.49</v>
      </c>
      <c r="K14" t="s">
        <v>327</v>
      </c>
      <c r="L14" s="4">
        <f t="shared" si="1"/>
        <v>144.33000000000001</v>
      </c>
      <c r="M14" s="2"/>
    </row>
    <row r="15" spans="2:13" x14ac:dyDescent="0.35">
      <c r="C15" s="46" t="str">
        <f>C14</f>
        <v>NKE</v>
      </c>
      <c r="D15" s="47" t="str">
        <f>_xlfn.CONCAT(C14,"D")</f>
        <v>NKED</v>
      </c>
      <c r="E15" s="47">
        <v>2</v>
      </c>
      <c r="F15" s="47">
        <f>-(F13+F14)</f>
        <v>-9</v>
      </c>
      <c r="G15" s="46">
        <v>45203</v>
      </c>
      <c r="H15" s="53">
        <v>0.50069444444444444</v>
      </c>
      <c r="I15" s="46">
        <f t="shared" si="0"/>
        <v>45205</v>
      </c>
      <c r="J15" s="50">
        <v>8.3000000000000007</v>
      </c>
      <c r="K15" s="47" t="s">
        <v>327</v>
      </c>
      <c r="L15" s="50">
        <f t="shared" si="1"/>
        <v>74.7</v>
      </c>
      <c r="M15" s="48"/>
    </row>
    <row r="16" spans="2:13" x14ac:dyDescent="0.35">
      <c r="C16" t="s">
        <v>17</v>
      </c>
      <c r="D16" t="str">
        <f>C16</f>
        <v>PYPL</v>
      </c>
      <c r="E16">
        <v>2</v>
      </c>
      <c r="F16">
        <v>16</v>
      </c>
      <c r="G16" s="44">
        <v>45197</v>
      </c>
      <c r="H16" s="52">
        <v>0.50069444444444444</v>
      </c>
      <c r="I16" s="44">
        <f t="shared" si="0"/>
        <v>45201</v>
      </c>
      <c r="J16" s="4">
        <v>6085.89</v>
      </c>
      <c r="K16" t="s">
        <v>326</v>
      </c>
      <c r="L16" s="4">
        <f t="shared" si="1"/>
        <v>-97374.24</v>
      </c>
      <c r="M16" s="2">
        <f>-L16/L17</f>
        <v>791.40312093628086</v>
      </c>
    </row>
    <row r="17" spans="3:13" x14ac:dyDescent="0.35">
      <c r="C17" s="46" t="str">
        <f>C16</f>
        <v>PYPL</v>
      </c>
      <c r="D17" s="47" t="str">
        <f>_xlfn.CONCAT(C16,"D")</f>
        <v>PYPLD</v>
      </c>
      <c r="E17" s="47">
        <v>2</v>
      </c>
      <c r="F17" s="47">
        <f>-F16</f>
        <v>-16</v>
      </c>
      <c r="G17" s="46">
        <v>45203</v>
      </c>
      <c r="H17" s="53">
        <v>0.50069444444444444</v>
      </c>
      <c r="I17" s="46">
        <f t="shared" si="0"/>
        <v>45205</v>
      </c>
      <c r="J17" s="50">
        <v>7.69</v>
      </c>
      <c r="K17" s="47" t="s">
        <v>327</v>
      </c>
      <c r="L17" s="50">
        <f t="shared" si="1"/>
        <v>123.04</v>
      </c>
      <c r="M17" s="48"/>
    </row>
    <row r="18" spans="3:13" x14ac:dyDescent="0.35">
      <c r="C18" t="s">
        <v>73</v>
      </c>
      <c r="D18" t="str">
        <f>C18</f>
        <v>VZ</v>
      </c>
      <c r="E18">
        <v>3</v>
      </c>
      <c r="F18">
        <v>2</v>
      </c>
      <c r="G18" s="44">
        <v>45203</v>
      </c>
      <c r="H18" s="52">
        <v>0.62083333333333335</v>
      </c>
      <c r="I18" s="44">
        <f t="shared" si="0"/>
        <v>45208</v>
      </c>
      <c r="J18" s="4">
        <v>14095.5</v>
      </c>
      <c r="K18" t="s">
        <v>326</v>
      </c>
      <c r="L18" s="4">
        <f t="shared" ref="L18:L19" si="2">-J18*F18</f>
        <v>-28191</v>
      </c>
      <c r="M18" s="2">
        <f>-L18/L19</f>
        <v>783.08333333333337</v>
      </c>
    </row>
    <row r="19" spans="3:13" x14ac:dyDescent="0.35">
      <c r="C19" s="46" t="str">
        <f>C18</f>
        <v>VZ</v>
      </c>
      <c r="D19" s="47" t="str">
        <f>_xlfn.CONCAT(C18,"D")</f>
        <v>VZD</v>
      </c>
      <c r="E19" s="47">
        <v>2</v>
      </c>
      <c r="F19" s="47">
        <f>-F18</f>
        <v>-2</v>
      </c>
      <c r="G19" s="46">
        <f>I18</f>
        <v>45208</v>
      </c>
      <c r="H19" s="53">
        <f>H18</f>
        <v>0.62083333333333335</v>
      </c>
      <c r="I19" s="46">
        <f t="shared" si="0"/>
        <v>45210</v>
      </c>
      <c r="J19" s="50">
        <v>18</v>
      </c>
      <c r="K19" s="47" t="s">
        <v>327</v>
      </c>
      <c r="L19" s="50">
        <f t="shared" si="2"/>
        <v>36</v>
      </c>
      <c r="M19" s="48"/>
    </row>
  </sheetData>
  <pageMargins left="0.7" right="0.7" top="0.75" bottom="0.75" header="0.3" footer="0.3"/>
  <ignoredErrors>
    <ignoredError sqref="D5:D6 D9:D10 D13 D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f 2 b 7 d c - 9 d a 9 - 4 8 c 8 - a b 7 0 - 4 0 b e 6 d 9 a 8 9 a 5 "   x m l n s = " h t t p : / / s c h e m a s . m i c r o s o f t . c o m / D a t a M a s h u p " > A A A A A I M E A A B Q S w M E F A A C A A g A G g B G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G g B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A R l f a L g Z A f Q E A A A 8 D A A A T A B w A R m 9 y b X V s Y X M v U 2 V j d G l v b j E u b S C i G A A o o B Q A A A A A A A A A A A A A A A A A A A A A A A A A A A B 9 k U F P 4 z A Q h e + V + h + s c G k l K 1 J h l w M o h 2 5 S x B 4 W A S k n s o o c Z 9 p G 2 J 7 I Y 1 d U F f 8 d p y k C s e n 6 E v t 9 z y / z E g L p G j Q s 7 5 + z 6 / F o P K K N s F C z e l V q a F n C F L j x i I W V o 7 c S g p L S N s 5 Q e g 3 G T W 4 a B X G K x o U D T a L 0 q n g i s F S s o A b b S I y 1 t + 1 m V 3 x c o C J 3 K F / Y 4 l V u h F l D 0 X q l S m H X J X V 6 U Q s n C v S u 9 c H a D x F L 2 k Z T / p y B a n T j w C Y R j z h L U X l t K J l d c L Y w E u v G r J P Z + c 9 z z h 4 8 O s j d T k H y u Y 3 v 0 M D f K e / b n E X 3 F n V g N b s F E W a l K F R b i i o Y j + S o T / r i n D 0 f 9 b l S u R R K W E q c 9 V 8 j 0 0 O l m i 1 3 L X z G L a 0 w t E K r + 4 k 7 S J O B 9 / P 9 P q o E Q U k 7 X a E K F V 2 w M g e v 7 o 2 z f U Q b t O 5 O a P i H Y A u m / D X / 0 I 3 X F d g D q Z p 6 G A h 6 G Q a H r O x 0 2 g n U 5 Z 1 A 2 6 4 2 9 O y 3 c Z c / 4 u 4 T f E X Z I P y z u B 9 I C 2 o p U b d W l P P H / P + G p z z 7 Z n i b j k e N G f x f 1 + 9 Q S w E C L Q A U A A I A C A A a A E Z X r 9 r s P a Q A A A D 2 A A A A E g A A A A A A A A A A A A A A A A A A A A A A Q 2 9 u Z m l n L 1 B h Y 2 t h Z 2 U u e G 1 s U E s B A i 0 A F A A C A A g A G g B G V w / K 6 a u k A A A A 6 Q A A A B M A A A A A A A A A A A A A A A A A 8 A A A A F t D b 2 5 0 Z W 5 0 X 1 R 5 c G V z X S 5 4 b W x Q S w E C L Q A U A A I A C A A a A E Z X 2 i 4 G Q H 0 B A A A P A w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E A A A A A A A A F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l 9 t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Z G Z f b W V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R m X 2 1 l c C I g L z 4 8 R W 5 0 c n k g V H l w Z T 0 i R m l s b G V k Q 2 9 t c G x l d G V S Z X N 1 b H R U b 1 d v c m t z a G V l d C I g V m F s d W U 9 I m w x I i A v P j x F b n R y e S B U e X B l P S J G a W x s R X J y b 3 J D b 3 V u d C I g V m F s d W U 9 I m w 2 M S I g L z 4 8 R W 5 0 c n k g V H l w Z T 0 i R m l s b E x h c 3 R V c G R h d G V k I i B W Y W x 1 Z T 0 i Z D I w M j M t M T A t M D Z U M D M 6 M D A 6 N T I u N z Q 1 M D M 2 N 1 o i I C 8 + P E V u d H J 5 I F R 5 c G U 9 I k Z p b G x D b 2 x 1 b W 5 U e X B l c y I g V m F s d W U 9 I n N C Z 1 l G Q l F V R k J R V U R B d 1 V G Q l E 9 P S I g L z 4 8 R W 5 0 c n k g V H l w Z T 0 i U X V l c n l J R C I g V m F s d W U 9 I n N m N D M x O T B l M y 0 y Y W Q 5 L T Q z N z E t Y m R k M C 0 1 M T E 3 M W U 1 M T E 0 M 2 U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N v b H V t b k 5 h b W V z I i B W Y W x 1 Z T 0 i c 1 s m c X V v d D t i Y X N l X 3 N 5 b W J v b C Z x d W 9 0 O y w m c X V v d D t z a G 9 y d E 5 h b W U m c X V v d D s s J n F 1 b 3 Q 7 b 3 B l b l 9 C Q S Z x d W 9 0 O y w m c X V v d D t i a W R f Q k E m c X V v d D s s J n F 1 b 3 Q 7 Y X N r X 0 J B J n F 1 b 3 Q 7 L C Z x d W 9 0 O 2 9 w Z W 5 f R F 9 C Q S Z x d W 9 0 O y w m c X V v d D t i a W R f R F 9 C Q S Z x d W 9 0 O y w m c X V v d D t h c 2 t f R F 9 C Q S Z x d W 9 0 O y w m c X V v d D t 2 b 2 x 1 b W V f Q k E m c X V v d D s s J n F 1 b 3 Q 7 d m 9 s d W 1 l X 0 R f Q k E m c X V v d D s s J n F 1 b 3 Q 7 T U V Q J n F 1 b 3 Q 7 L C Z x d W 9 0 O 0 1 F U F 9 j b 2 1 w c m F f Q V J T J n F 1 b 3 Q 7 L C Z x d W 9 0 O 0 1 F U F 9 j b 2 1 w c m F f V V N E J n F 1 b 3 Q 7 X S I g L z 4 8 R W 5 0 c n k g V H l w Z T 0 i R m l s b E N v d W 5 0 I i B W Y W x 1 Z T 0 i b D I 5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b W V w L 0 F 1 d G 9 S Z W 1 v d m V k Q 2 9 s d W 1 u c z E u e 2 J h c 2 V f c 3 l t Y m 9 s L D B 9 J n F 1 b 3 Q 7 L C Z x d W 9 0 O 1 N l Y 3 R p b 2 4 x L 2 R m X 2 1 l c C 9 B d X R v U m V t b 3 Z l Z E N v b H V t b n M x L n t z a G 9 y d E 5 h b W U s M X 0 m c X V v d D s s J n F 1 b 3 Q 7 U 2 V j d G l v b j E v Z G Z f b W V w L 0 F 1 d G 9 S Z W 1 v d m V k Q 2 9 s d W 1 u c z E u e 2 9 w Z W 5 f Q k E s M n 0 m c X V v d D s s J n F 1 b 3 Q 7 U 2 V j d G l v b j E v Z G Z f b W V w L 0 F 1 d G 9 S Z W 1 v d m V k Q 2 9 s d W 1 u c z E u e 2 J p Z F 9 C Q S w z f S Z x d W 9 0 O y w m c X V v d D t T Z W N 0 a W 9 u M S 9 k Z l 9 t Z X A v Q X V 0 b 1 J l b W 9 2 Z W R D b 2 x 1 b W 5 z M S 5 7 Y X N r X 0 J B L D R 9 J n F 1 b 3 Q 7 L C Z x d W 9 0 O 1 N l Y 3 R p b 2 4 x L 2 R m X 2 1 l c C 9 B d X R v U m V t b 3 Z l Z E N v b H V t b n M x L n t v c G V u X 0 R f Q k E s N X 0 m c X V v d D s s J n F 1 b 3 Q 7 U 2 V j d G l v b j E v Z G Z f b W V w L 0 F 1 d G 9 S Z W 1 v d m V k Q 2 9 s d W 1 u c z E u e 2 J p Z F 9 E X 0 J B L D Z 9 J n F 1 b 3 Q 7 L C Z x d W 9 0 O 1 N l Y 3 R p b 2 4 x L 2 R m X 2 1 l c C 9 B d X R v U m V t b 3 Z l Z E N v b H V t b n M x L n t h c 2 t f R F 9 C Q S w 3 f S Z x d W 9 0 O y w m c X V v d D t T Z W N 0 a W 9 u M S 9 k Z l 9 t Z X A v Q X V 0 b 1 J l b W 9 2 Z W R D b 2 x 1 b W 5 z M S 5 7 d m 9 s d W 1 l X 0 J B L D h 9 J n F 1 b 3 Q 7 L C Z x d W 9 0 O 1 N l Y 3 R p b 2 4 x L 2 R m X 2 1 l c C 9 B d X R v U m V t b 3 Z l Z E N v b H V t b n M x L n t 2 b 2 x 1 b W V f R F 9 C Q S w 5 f S Z x d W 9 0 O y w m c X V v d D t T Z W N 0 a W 9 u M S 9 k Z l 9 t Z X A v Q X V 0 b 1 J l b W 9 2 Z W R D b 2 x 1 b W 5 z M S 5 7 T U V Q L D E w f S Z x d W 9 0 O y w m c X V v d D t T Z W N 0 a W 9 u M S 9 k Z l 9 t Z X A v Q X V 0 b 1 J l b W 9 2 Z W R D b 2 x 1 b W 5 z M S 5 7 T U V Q X 2 N v b X B y Y V 9 B U l M s M T F 9 J n F 1 b 3 Q 7 L C Z x d W 9 0 O 1 N l Y 3 R p b 2 4 x L 2 R m X 2 1 l c C 9 B d X R v U m V t b 3 Z l Z E N v b H V t b n M x L n t N R V B f Y 2 9 t c H J h X 1 V T R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m X 2 1 l c C 9 B d X R v U m V t b 3 Z l Z E N v b H V t b n M x L n t i Y X N l X 3 N 5 b W J v b C w w f S Z x d W 9 0 O y w m c X V v d D t T Z W N 0 a W 9 u M S 9 k Z l 9 t Z X A v Q X V 0 b 1 J l b W 9 2 Z W R D b 2 x 1 b W 5 z M S 5 7 c 2 h v c n R O Y W 1 l L D F 9 J n F 1 b 3 Q 7 L C Z x d W 9 0 O 1 N l Y 3 R p b 2 4 x L 2 R m X 2 1 l c C 9 B d X R v U m V t b 3 Z l Z E N v b H V t b n M x L n t v c G V u X 0 J B L D J 9 J n F 1 b 3 Q 7 L C Z x d W 9 0 O 1 N l Y 3 R p b 2 4 x L 2 R m X 2 1 l c C 9 B d X R v U m V t b 3 Z l Z E N v b H V t b n M x L n t i a W R f Q k E s M 3 0 m c X V v d D s s J n F 1 b 3 Q 7 U 2 V j d G l v b j E v Z G Z f b W V w L 0 F 1 d G 9 S Z W 1 v d m V k Q 2 9 s d W 1 u c z E u e 2 F z a 1 9 C Q S w 0 f S Z x d W 9 0 O y w m c X V v d D t T Z W N 0 a W 9 u M S 9 k Z l 9 t Z X A v Q X V 0 b 1 J l b W 9 2 Z W R D b 2 x 1 b W 5 z M S 5 7 b 3 B l b l 9 E X 0 J B L D V 9 J n F 1 b 3 Q 7 L C Z x d W 9 0 O 1 N l Y 3 R p b 2 4 x L 2 R m X 2 1 l c C 9 B d X R v U m V t b 3 Z l Z E N v b H V t b n M x L n t i a W R f R F 9 C Q S w 2 f S Z x d W 9 0 O y w m c X V v d D t T Z W N 0 a W 9 u M S 9 k Z l 9 t Z X A v Q X V 0 b 1 J l b W 9 2 Z W R D b 2 x 1 b W 5 z M S 5 7 Y X N r X 0 R f Q k E s N 3 0 m c X V v d D s s J n F 1 b 3 Q 7 U 2 V j d G l v b j E v Z G Z f b W V w L 0 F 1 d G 9 S Z W 1 v d m V k Q 2 9 s d W 1 u c z E u e 3 Z v b H V t Z V 9 C Q S w 4 f S Z x d W 9 0 O y w m c X V v d D t T Z W N 0 a W 9 u M S 9 k Z l 9 t Z X A v Q X V 0 b 1 J l b W 9 2 Z W R D b 2 x 1 b W 5 z M S 5 7 d m 9 s d W 1 l X 0 R f Q k E s O X 0 m c X V v d D s s J n F 1 b 3 Q 7 U 2 V j d G l v b j E v Z G Z f b W V w L 0 F 1 d G 9 S Z W 1 v d m V k Q 2 9 s d W 1 u c z E u e 0 1 F U C w x M H 0 m c X V v d D s s J n F 1 b 3 Q 7 U 2 V j d G l v b j E v Z G Z f b W V w L 0 F 1 d G 9 S Z W 1 v d m V k Q 2 9 s d W 1 u c z E u e 0 1 F U F 9 j b 2 1 w c m F f Q V J T L D E x f S Z x d W 9 0 O y w m c X V v d D t T Z W N 0 a W 9 u M S 9 k Z l 9 t Z X A v Q X V 0 b 1 J l b W 9 2 Z W R D b 2 x 1 b W 5 z M S 5 7 T U V Q X 2 N v b X B y Y V 9 V U 0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t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b W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1 l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D d F d k M 0 K T r d Q r h v k 8 s 8 g A A A A A A I A A A A A A A N m A A D A A A A A E A A A A A b 9 O d r V c L e a f 1 M k 7 b A y 5 R A A A A A A B I A A A K A A A A A Q A A A A 9 U o Q b p Z G 1 F x 0 m i H m v C w h T V A A A A D x Q H y M b j i i 6 1 V l 0 w n C C Y C H J W K / v L D 4 9 w l A r J J 9 J v f A 5 5 l f S M 2 q M y e I Y d V x F j K 2 G L L a Q T u i M Q M N S i L b a G j 2 3 S a 0 I f S B B G N w w q E 8 q T U 4 V c 4 U m B Q A A A B a x 7 z h U 7 u 1 m k a 1 n Z q p e F 2 K o P y u Y w = = < / D a t a M a s h u p > 
</file>

<file path=customXml/itemProps1.xml><?xml version="1.0" encoding="utf-8"?>
<ds:datastoreItem xmlns:ds="http://schemas.openxmlformats.org/officeDocument/2006/customXml" ds:itemID="{D18F994A-750D-476F-B60F-27461DB45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df_mep</vt:lpstr>
      <vt:lpstr>FF</vt:lpstr>
      <vt:lpstr>ccl</vt:lpstr>
      <vt:lpstr>FF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Federico Ian</dc:creator>
  <cp:lastModifiedBy>Murphy, Federico Ian</cp:lastModifiedBy>
  <dcterms:created xsi:type="dcterms:W3CDTF">2015-06-05T18:17:20Z</dcterms:created>
  <dcterms:modified xsi:type="dcterms:W3CDTF">2023-10-06T03:05:51Z</dcterms:modified>
</cp:coreProperties>
</file>