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theme/themeOverride1.xml" ContentType="application/vnd.openxmlformats-officedocument.themeOverride+xml"/>
  <Override PartName="/xl/drawings/drawing2.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5"/>
  <workbookPr/>
  <mc:AlternateContent xmlns:mc="http://schemas.openxmlformats.org/markup-compatibility/2006">
    <mc:Choice Requires="x15">
      <x15ac:absPath xmlns:x15ac="http://schemas.microsoft.com/office/spreadsheetml/2010/11/ac" url="/Users/mattw/gDrive/CBO/Projects/OCO/"/>
    </mc:Choice>
  </mc:AlternateContent>
  <xr:revisionPtr revIDLastSave="0" documentId="13_ncr:1_{CF51F6E8-5A1F-434A-A3FE-F0709845C481}" xr6:coauthVersionLast="36" xr6:coauthVersionMax="36" xr10:uidLastSave="{00000000-0000-0000-0000-000000000000}"/>
  <bookViews>
    <workbookView xWindow="860" yWindow="840" windowWidth="25720" windowHeight="18900" tabRatio="500" xr2:uid="{00000000-000D-0000-FFFF-FFFF00000000}"/>
  </bookViews>
  <sheets>
    <sheet name="Fig_9" sheetId="40" r:id="rId1"/>
    <sheet name="Tab_1" sheetId="37" r:id="rId2"/>
    <sheet name="Funding" sheetId="31" r:id="rId3"/>
    <sheet name="Manpower" sheetId="39" r:id="rId4"/>
    <sheet name="Summary" sheetId="34" r:id="rId5"/>
    <sheet name="Summary-Data" sheetId="29" r:id="rId6"/>
    <sheet name="GB_Tab2-1" sheetId="35" r:id="rId7"/>
    <sheet name="2008" sheetId="22" r:id="rId8"/>
    <sheet name="2009" sheetId="18" r:id="rId9"/>
    <sheet name="2010" sheetId="21" r:id="rId10"/>
    <sheet name="2011" sheetId="2" r:id="rId11"/>
    <sheet name="2012" sheetId="3" r:id="rId12"/>
    <sheet name="2013" sheetId="4" r:id="rId13"/>
    <sheet name="2014" sheetId="5" r:id="rId14"/>
    <sheet name="2015" sheetId="6" r:id="rId15"/>
    <sheet name="2016" sheetId="7" r:id="rId16"/>
    <sheet name="2017" sheetId="17" r:id="rId17"/>
    <sheet name="2018" sheetId="32" r:id="rId18"/>
    <sheet name="2019" sheetId="38" r:id="rId19"/>
    <sheet name="BBA" sheetId="16" r:id="rId20"/>
    <sheet name="pgdp" sheetId="30" r:id="rId21"/>
    <sheet name="GB_Tab6-8" sheetId="41" r:id="rId22"/>
  </sheets>
  <definedNames>
    <definedName name="_Fill" localSheetId="0" hidden="1">#REF!</definedName>
    <definedName name="_Fill" localSheetId="2" hidden="1">#REF!</definedName>
    <definedName name="_Fill" localSheetId="6" hidden="1">#REF!</definedName>
    <definedName name="_Fill" localSheetId="3" hidden="1">#REF!</definedName>
    <definedName name="_Fill" hidden="1">#REF!</definedName>
    <definedName name="_xlnm._FilterDatabase" localSheetId="6" hidden="1">'GB_Tab2-1'!$Z$47:$AB$302</definedName>
    <definedName name="_xlnm._FilterDatabase" localSheetId="5" hidden="1">'Summary-Data'!$A$4:$E$214</definedName>
    <definedName name="_Toc504035144" localSheetId="2">Funding!$B$38</definedName>
    <definedName name="_Toc504035144" localSheetId="3">Manpower!#REF!</definedName>
    <definedName name="_Toc504035145" localSheetId="2">Funding!$B$39</definedName>
    <definedName name="_Toc504035145" localSheetId="3">Manpower!#REF!</definedName>
    <definedName name="dlx.usn" localSheetId="2">#REF!</definedName>
    <definedName name="dlx.usn" localSheetId="3">#REF!</definedName>
    <definedName name="_xlnm.Print_Area" localSheetId="21">'GB_Tab6-8'!$A$1:$L$42</definedName>
  </definedNames>
  <calcPr calcId="162913"/>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F38" i="40" l="1"/>
  <c r="F39" i="40"/>
  <c r="F40" i="40"/>
  <c r="F41" i="40"/>
  <c r="F42" i="40"/>
  <c r="F43" i="40"/>
  <c r="F44" i="40"/>
  <c r="F45" i="40"/>
  <c r="F46" i="40"/>
  <c r="F47" i="40"/>
  <c r="F48" i="40"/>
  <c r="F49" i="40"/>
  <c r="F50" i="40"/>
  <c r="F51" i="40"/>
  <c r="F55" i="40"/>
  <c r="B3" i="40" l="1"/>
  <c r="C3" i="40"/>
  <c r="D3" i="40"/>
  <c r="E3" i="40"/>
  <c r="F3" i="40"/>
  <c r="G3" i="40"/>
  <c r="H3" i="40"/>
  <c r="I3" i="40"/>
  <c r="L3" i="40"/>
  <c r="C22" i="37"/>
  <c r="D22" i="37"/>
  <c r="E22" i="37"/>
  <c r="F22" i="37"/>
  <c r="G22" i="37"/>
  <c r="H22" i="37"/>
  <c r="I22" i="37"/>
  <c r="J22" i="37"/>
  <c r="K22" i="37"/>
  <c r="L22" i="37"/>
  <c r="M22" i="37"/>
  <c r="N22" i="37"/>
  <c r="O22" i="37"/>
  <c r="P22" i="37"/>
  <c r="R22" i="37"/>
  <c r="D24" i="40" l="1"/>
  <c r="D25" i="40"/>
  <c r="D26" i="40"/>
  <c r="D27" i="40"/>
  <c r="M51" i="40" l="1"/>
  <c r="M52" i="40"/>
  <c r="M53" i="40"/>
  <c r="M54" i="40"/>
  <c r="M55" i="40"/>
  <c r="H51" i="40" l="1"/>
  <c r="H23" i="40" s="1"/>
  <c r="H50" i="40"/>
  <c r="H22" i="40" s="1"/>
  <c r="H49" i="40"/>
  <c r="H21" i="40" s="1"/>
  <c r="H48" i="40"/>
  <c r="H20" i="40" s="1"/>
  <c r="H47" i="40"/>
  <c r="H19" i="40" s="1"/>
  <c r="H46" i="40"/>
  <c r="H18" i="40" s="1"/>
  <c r="H45" i="40"/>
  <c r="H17" i="40" s="1"/>
  <c r="H44" i="40"/>
  <c r="H16" i="40" s="1"/>
  <c r="H43" i="40"/>
  <c r="H15" i="40" s="1"/>
  <c r="H42" i="40"/>
  <c r="H14" i="40" s="1"/>
  <c r="H41" i="40"/>
  <c r="H13" i="40" s="1"/>
  <c r="H40" i="40"/>
  <c r="H12" i="40" s="1"/>
  <c r="H39" i="40"/>
  <c r="H11" i="40" s="1"/>
  <c r="H38" i="40"/>
  <c r="H10" i="40" s="1"/>
  <c r="H37" i="40"/>
  <c r="H9" i="40" s="1"/>
  <c r="H36" i="40"/>
  <c r="H8" i="40" s="1"/>
  <c r="H35" i="40"/>
  <c r="H7" i="40" s="1"/>
  <c r="H34" i="40"/>
  <c r="H6" i="40" s="1"/>
  <c r="H33" i="40"/>
  <c r="H5" i="40" s="1"/>
  <c r="H32" i="40"/>
  <c r="H4" i="40" s="1"/>
  <c r="E24" i="40"/>
  <c r="E25" i="40"/>
  <c r="E26" i="40"/>
  <c r="E27" i="40"/>
  <c r="B23" i="40"/>
  <c r="B22" i="40"/>
  <c r="L22" i="40" s="1"/>
  <c r="B21" i="40"/>
  <c r="L21" i="40" s="1"/>
  <c r="B20" i="40"/>
  <c r="B19" i="40"/>
  <c r="B18" i="40"/>
  <c r="B17" i="40"/>
  <c r="B16" i="40"/>
  <c r="B15" i="40"/>
  <c r="B14" i="40"/>
  <c r="B13" i="40"/>
  <c r="B12" i="40"/>
  <c r="B11" i="40"/>
  <c r="B10" i="40"/>
  <c r="B9" i="40"/>
  <c r="B8" i="40"/>
  <c r="B7" i="40"/>
  <c r="B6" i="40"/>
  <c r="B5" i="40"/>
  <c r="B4" i="40"/>
  <c r="B55" i="40"/>
  <c r="B54" i="40"/>
  <c r="B53" i="40"/>
  <c r="B25" i="40" s="1"/>
  <c r="B52" i="40"/>
  <c r="I32" i="40"/>
  <c r="I4" i="40" s="1"/>
  <c r="L48" i="40"/>
  <c r="L47" i="40"/>
  <c r="L46" i="40"/>
  <c r="L45" i="40"/>
  <c r="L44" i="40"/>
  <c r="L43" i="40"/>
  <c r="L42" i="40"/>
  <c r="L41" i="40"/>
  <c r="L40" i="40"/>
  <c r="L39" i="40"/>
  <c r="L38" i="40"/>
  <c r="L37" i="40"/>
  <c r="L36" i="40"/>
  <c r="L35" i="40"/>
  <c r="L34" i="40"/>
  <c r="L33" i="40"/>
  <c r="L32" i="40"/>
  <c r="BB18" i="41"/>
  <c r="BA18" i="41"/>
  <c r="AZ18" i="41"/>
  <c r="AY18" i="41"/>
  <c r="AX18" i="41"/>
  <c r="AW18" i="41"/>
  <c r="AV18" i="41"/>
  <c r="AU18" i="41"/>
  <c r="AT18" i="41"/>
  <c r="AS18" i="41"/>
  <c r="AR18" i="41"/>
  <c r="AQ18" i="41"/>
  <c r="AP18" i="41"/>
  <c r="AO18" i="41"/>
  <c r="AN18" i="41"/>
  <c r="AM18" i="41"/>
  <c r="AL18" i="41"/>
  <c r="AK18" i="41"/>
  <c r="AJ18" i="41"/>
  <c r="AI18" i="41"/>
  <c r="AH18" i="41"/>
  <c r="AG18" i="41"/>
  <c r="AF18" i="41"/>
  <c r="AE18" i="41"/>
  <c r="AD18" i="41"/>
  <c r="AC18" i="41"/>
  <c r="AB18" i="41"/>
  <c r="AA18" i="41"/>
  <c r="Z18" i="41"/>
  <c r="Y18" i="41"/>
  <c r="X18" i="41"/>
  <c r="W18" i="41"/>
  <c r="V18" i="41"/>
  <c r="U18" i="41"/>
  <c r="T18" i="41"/>
  <c r="S18" i="41"/>
  <c r="R18" i="41"/>
  <c r="Q18" i="41"/>
  <c r="P18" i="41"/>
  <c r="O18" i="41"/>
  <c r="N18" i="41"/>
  <c r="M18" i="41"/>
  <c r="L18" i="41"/>
  <c r="K18" i="41"/>
  <c r="J18" i="41"/>
  <c r="I18" i="41"/>
  <c r="H18" i="41"/>
  <c r="G18" i="41"/>
  <c r="F18" i="41"/>
  <c r="E18" i="41"/>
  <c r="D18" i="41"/>
  <c r="C18" i="41"/>
  <c r="B18" i="41"/>
  <c r="M33" i="40"/>
  <c r="BU44" i="41"/>
  <c r="BT44" i="41"/>
  <c r="BS44" i="41"/>
  <c r="BR44" i="41"/>
  <c r="BQ44" i="41"/>
  <c r="BP44" i="41"/>
  <c r="BO44" i="41"/>
  <c r="BN44" i="41"/>
  <c r="BM44" i="41"/>
  <c r="BL44" i="41"/>
  <c r="BK44" i="41"/>
  <c r="BJ44" i="41"/>
  <c r="BI44" i="41"/>
  <c r="BH44" i="41"/>
  <c r="BG44" i="41"/>
  <c r="BF44" i="41"/>
  <c r="BE44" i="41"/>
  <c r="BD44" i="41"/>
  <c r="BC44" i="41"/>
  <c r="BB44" i="41"/>
  <c r="BA44" i="41"/>
  <c r="AZ44" i="41"/>
  <c r="AY44" i="41"/>
  <c r="AX44" i="41"/>
  <c r="AW44" i="41"/>
  <c r="AV44" i="41"/>
  <c r="AU44" i="41"/>
  <c r="AT44" i="41"/>
  <c r="AS44" i="41"/>
  <c r="AR44" i="41"/>
  <c r="AQ44" i="41"/>
  <c r="AP44" i="41"/>
  <c r="AO44" i="41"/>
  <c r="AN44" i="41"/>
  <c r="AM44" i="41"/>
  <c r="AL44" i="41"/>
  <c r="AK44" i="41"/>
  <c r="AJ44" i="41"/>
  <c r="AI44" i="41"/>
  <c r="AH44" i="41"/>
  <c r="AG44" i="41"/>
  <c r="AF44" i="41"/>
  <c r="AE44" i="41"/>
  <c r="AD44" i="41"/>
  <c r="AC44" i="41"/>
  <c r="AB44" i="41"/>
  <c r="AA44" i="41"/>
  <c r="Z44" i="41"/>
  <c r="Y44" i="41"/>
  <c r="X44" i="41"/>
  <c r="W44" i="41"/>
  <c r="V44" i="41"/>
  <c r="U44" i="41"/>
  <c r="T44" i="41"/>
  <c r="S44" i="41"/>
  <c r="R44" i="41"/>
  <c r="Q44" i="41"/>
  <c r="P44" i="41"/>
  <c r="O44" i="41"/>
  <c r="N44" i="41"/>
  <c r="M44" i="41"/>
  <c r="L44" i="41"/>
  <c r="K44" i="41"/>
  <c r="J44" i="41"/>
  <c r="I44" i="41"/>
  <c r="H44" i="41"/>
  <c r="G44" i="41"/>
  <c r="F44" i="41"/>
  <c r="E44" i="41"/>
  <c r="BW32" i="41"/>
  <c r="BO32" i="41"/>
  <c r="BG32" i="41"/>
  <c r="BY31" i="41"/>
  <c r="BX31" i="41"/>
  <c r="BW31" i="41"/>
  <c r="BV31" i="41"/>
  <c r="BU31" i="41"/>
  <c r="BT31" i="41"/>
  <c r="BS31" i="41"/>
  <c r="BR31" i="41"/>
  <c r="BQ31" i="41"/>
  <c r="BP31" i="41"/>
  <c r="BO31" i="41"/>
  <c r="BN31" i="41"/>
  <c r="BM31" i="41"/>
  <c r="BL31" i="41"/>
  <c r="BK31" i="41"/>
  <c r="BJ31" i="41"/>
  <c r="BI31" i="41"/>
  <c r="BH31" i="41"/>
  <c r="BG31" i="41"/>
  <c r="BF31" i="41"/>
  <c r="BE31" i="41"/>
  <c r="BD31" i="41"/>
  <c r="BC31" i="41"/>
  <c r="BB31" i="41"/>
  <c r="BA31" i="41"/>
  <c r="AZ31" i="41"/>
  <c r="AY31" i="41"/>
  <c r="AX31" i="41"/>
  <c r="AW31" i="41"/>
  <c r="AV31" i="41"/>
  <c r="AU31" i="41"/>
  <c r="AT31" i="41"/>
  <c r="AS31" i="41"/>
  <c r="AR31" i="41"/>
  <c r="AQ31" i="41"/>
  <c r="AP31" i="41"/>
  <c r="AO31" i="41"/>
  <c r="AN31" i="41"/>
  <c r="AM31" i="41"/>
  <c r="AL31" i="41"/>
  <c r="AK31" i="41"/>
  <c r="AJ31" i="41"/>
  <c r="AI31" i="41"/>
  <c r="AH31" i="41"/>
  <c r="AG31" i="41"/>
  <c r="AF31" i="41"/>
  <c r="AE31" i="41"/>
  <c r="AD31" i="41"/>
  <c r="AC31" i="41"/>
  <c r="AB31" i="41"/>
  <c r="AA31" i="41"/>
  <c r="Z31" i="41"/>
  <c r="Y31" i="41"/>
  <c r="X31" i="41"/>
  <c r="W31" i="41"/>
  <c r="V31" i="41"/>
  <c r="U31" i="41"/>
  <c r="T31" i="41"/>
  <c r="S31" i="41"/>
  <c r="R31" i="41"/>
  <c r="Q31" i="41"/>
  <c r="P31" i="41"/>
  <c r="O31" i="41"/>
  <c r="N31" i="41"/>
  <c r="M31" i="41"/>
  <c r="L31" i="41"/>
  <c r="K31" i="41"/>
  <c r="J31" i="41"/>
  <c r="I31" i="41"/>
  <c r="H31" i="41"/>
  <c r="G31" i="41"/>
  <c r="F31" i="41"/>
  <c r="E31" i="41"/>
  <c r="D31" i="41"/>
  <c r="C31" i="41"/>
  <c r="B31" i="41"/>
  <c r="BY30" i="41"/>
  <c r="BX30" i="41"/>
  <c r="BW30" i="41"/>
  <c r="BV30" i="41"/>
  <c r="BU30" i="41"/>
  <c r="BT30" i="41"/>
  <c r="BS30" i="41"/>
  <c r="BR30" i="41"/>
  <c r="BQ30" i="41"/>
  <c r="BP30" i="41"/>
  <c r="BO30" i="41"/>
  <c r="BN30" i="41"/>
  <c r="BM30" i="41"/>
  <c r="BL30" i="41"/>
  <c r="BK30" i="41"/>
  <c r="BJ30" i="41"/>
  <c r="BI30" i="41"/>
  <c r="BH30" i="41"/>
  <c r="BG30" i="41"/>
  <c r="BF30" i="41"/>
  <c r="BE30" i="41"/>
  <c r="BD30" i="41"/>
  <c r="BC30" i="41"/>
  <c r="BB30" i="41"/>
  <c r="BA30" i="41"/>
  <c r="AZ30" i="41"/>
  <c r="AY30" i="41"/>
  <c r="AX30" i="41"/>
  <c r="AW30" i="41"/>
  <c r="AV30" i="41"/>
  <c r="AU30" i="41"/>
  <c r="AT30" i="41"/>
  <c r="AS30" i="41"/>
  <c r="AR30" i="41"/>
  <c r="AQ30" i="41"/>
  <c r="AP30" i="41"/>
  <c r="AO30" i="41"/>
  <c r="AN30" i="41"/>
  <c r="AM30" i="41"/>
  <c r="AL30" i="41"/>
  <c r="AK30" i="41"/>
  <c r="AJ30" i="41"/>
  <c r="AI30" i="41"/>
  <c r="AH30" i="41"/>
  <c r="AG30" i="41"/>
  <c r="AF30" i="41"/>
  <c r="AE30" i="41"/>
  <c r="AD30" i="41"/>
  <c r="AC30" i="41"/>
  <c r="AB30" i="41"/>
  <c r="AA30" i="41"/>
  <c r="Z30" i="41"/>
  <c r="Y30" i="41"/>
  <c r="X30" i="41"/>
  <c r="W30" i="41"/>
  <c r="V30" i="41"/>
  <c r="U30" i="41"/>
  <c r="T30" i="41"/>
  <c r="S30" i="41"/>
  <c r="R30" i="41"/>
  <c r="Q30" i="41"/>
  <c r="P30" i="41"/>
  <c r="O30" i="41"/>
  <c r="N30" i="41"/>
  <c r="M30" i="41"/>
  <c r="L30" i="41"/>
  <c r="K30" i="41"/>
  <c r="J30" i="41"/>
  <c r="I30" i="41"/>
  <c r="H30" i="41"/>
  <c r="G30" i="41"/>
  <c r="F30" i="41"/>
  <c r="E30" i="41"/>
  <c r="D30" i="41"/>
  <c r="C30" i="41"/>
  <c r="B30" i="41"/>
  <c r="BY29" i="41"/>
  <c r="BX29" i="41"/>
  <c r="BW29" i="41"/>
  <c r="BV29" i="41"/>
  <c r="BU29" i="41"/>
  <c r="BT29" i="41"/>
  <c r="BS29" i="41"/>
  <c r="BR29" i="41"/>
  <c r="BQ29" i="41"/>
  <c r="BP29" i="41"/>
  <c r="BO29" i="41"/>
  <c r="BN29" i="41"/>
  <c r="BM29" i="41"/>
  <c r="BL29" i="41"/>
  <c r="BK29" i="41"/>
  <c r="BJ29" i="41"/>
  <c r="BI29" i="41"/>
  <c r="BH29" i="41"/>
  <c r="BG29" i="41"/>
  <c r="BF29" i="41"/>
  <c r="BE29" i="41"/>
  <c r="BD29" i="41"/>
  <c r="BC29" i="41"/>
  <c r="BB29" i="41"/>
  <c r="BA29" i="41"/>
  <c r="AZ29" i="41"/>
  <c r="AY29" i="41"/>
  <c r="AX29" i="41"/>
  <c r="AW29" i="41"/>
  <c r="AV29" i="41"/>
  <c r="AU29" i="41"/>
  <c r="AT29" i="41"/>
  <c r="AS29" i="41"/>
  <c r="AR29" i="41"/>
  <c r="AQ29" i="41"/>
  <c r="AP29" i="41"/>
  <c r="AO29" i="41"/>
  <c r="AN29" i="41"/>
  <c r="AM29" i="41"/>
  <c r="AL29" i="41"/>
  <c r="AK29" i="41"/>
  <c r="AJ29" i="41"/>
  <c r="AI29" i="41"/>
  <c r="AH29" i="41"/>
  <c r="AG29" i="41"/>
  <c r="AF29" i="41"/>
  <c r="AE29" i="41"/>
  <c r="AD29" i="41"/>
  <c r="AC29" i="41"/>
  <c r="AB29" i="41"/>
  <c r="AA29" i="41"/>
  <c r="Z29" i="41"/>
  <c r="Y29" i="41"/>
  <c r="X29" i="41"/>
  <c r="W29" i="41"/>
  <c r="V29" i="41"/>
  <c r="U29" i="41"/>
  <c r="T29" i="41"/>
  <c r="S29" i="41"/>
  <c r="R29" i="41"/>
  <c r="Q29" i="41"/>
  <c r="P29" i="41"/>
  <c r="O29" i="41"/>
  <c r="N29" i="41"/>
  <c r="M29" i="41"/>
  <c r="L29" i="41"/>
  <c r="K29" i="41"/>
  <c r="J29" i="41"/>
  <c r="I29" i="41"/>
  <c r="H29" i="41"/>
  <c r="G29" i="41"/>
  <c r="F29" i="41"/>
  <c r="E29" i="41"/>
  <c r="D29" i="41"/>
  <c r="C29" i="41"/>
  <c r="B29" i="41"/>
  <c r="BY28" i="41"/>
  <c r="BX28" i="41"/>
  <c r="BW28" i="41"/>
  <c r="BV28" i="41"/>
  <c r="BU28" i="41"/>
  <c r="BT28" i="41"/>
  <c r="BS28" i="41"/>
  <c r="BR28" i="41"/>
  <c r="BQ28" i="41"/>
  <c r="BP28" i="41"/>
  <c r="BO28" i="41"/>
  <c r="BN28" i="41"/>
  <c r="BM28" i="41"/>
  <c r="BL28" i="41"/>
  <c r="BK28" i="41"/>
  <c r="BJ28" i="41"/>
  <c r="BI28" i="41"/>
  <c r="BH28" i="41"/>
  <c r="BG28" i="41"/>
  <c r="BF28" i="41"/>
  <c r="BE28" i="41"/>
  <c r="BD28" i="41"/>
  <c r="BC28" i="41"/>
  <c r="BB28" i="41"/>
  <c r="BA28" i="41"/>
  <c r="AZ28" i="41"/>
  <c r="AY28" i="41"/>
  <c r="AX28" i="41"/>
  <c r="AW28" i="41"/>
  <c r="AV28" i="41"/>
  <c r="AU28" i="41"/>
  <c r="AT28" i="41"/>
  <c r="AS28" i="41"/>
  <c r="AR28" i="41"/>
  <c r="AQ28" i="41"/>
  <c r="AP28" i="41"/>
  <c r="AO28" i="41"/>
  <c r="AN28" i="41"/>
  <c r="AM28" i="41"/>
  <c r="AL28" i="41"/>
  <c r="AK28" i="41"/>
  <c r="AJ28" i="41"/>
  <c r="AI28" i="41"/>
  <c r="AH28" i="41"/>
  <c r="AG28" i="41"/>
  <c r="AF28" i="41"/>
  <c r="AE28" i="41"/>
  <c r="AD28" i="41"/>
  <c r="AC28" i="41"/>
  <c r="AB28" i="41"/>
  <c r="AA28" i="41"/>
  <c r="Z28" i="41"/>
  <c r="Y28" i="41"/>
  <c r="X28" i="41"/>
  <c r="W28" i="41"/>
  <c r="V28" i="41"/>
  <c r="U28" i="41"/>
  <c r="T28" i="41"/>
  <c r="S28" i="41"/>
  <c r="R28" i="41"/>
  <c r="Q28" i="41"/>
  <c r="P28" i="41"/>
  <c r="O28" i="41"/>
  <c r="N28" i="41"/>
  <c r="M28" i="41"/>
  <c r="L28" i="41"/>
  <c r="K28" i="41"/>
  <c r="J28" i="41"/>
  <c r="I28" i="41"/>
  <c r="H28" i="41"/>
  <c r="G28" i="41"/>
  <c r="F28" i="41"/>
  <c r="E28" i="41"/>
  <c r="D28" i="41"/>
  <c r="C28" i="41"/>
  <c r="B28" i="41"/>
  <c r="BY27" i="41"/>
  <c r="BX27" i="41"/>
  <c r="BW27" i="41"/>
  <c r="BV27" i="41"/>
  <c r="BU27" i="41"/>
  <c r="BT27" i="41"/>
  <c r="BS27" i="41"/>
  <c r="BR27" i="41"/>
  <c r="BQ27" i="41"/>
  <c r="BP27" i="41"/>
  <c r="BO27" i="41"/>
  <c r="BN27" i="41"/>
  <c r="BM27" i="41"/>
  <c r="BL27" i="41"/>
  <c r="BK27" i="41"/>
  <c r="BJ27" i="41"/>
  <c r="BI27" i="41"/>
  <c r="BH27" i="41"/>
  <c r="BG27" i="41"/>
  <c r="BF27" i="41"/>
  <c r="BE27" i="41"/>
  <c r="BD27" i="41"/>
  <c r="BC27" i="41"/>
  <c r="BB27" i="41"/>
  <c r="BA27" i="41"/>
  <c r="AZ27" i="41"/>
  <c r="AY27" i="41"/>
  <c r="AX27" i="41"/>
  <c r="AW27" i="41"/>
  <c r="AV27" i="41"/>
  <c r="AU27" i="41"/>
  <c r="AT27" i="41"/>
  <c r="AS27" i="41"/>
  <c r="AR27" i="41"/>
  <c r="AQ27" i="41"/>
  <c r="AP27" i="41"/>
  <c r="AO27" i="41"/>
  <c r="AN27" i="41"/>
  <c r="AM27" i="41"/>
  <c r="AL27" i="41"/>
  <c r="AK27" i="41"/>
  <c r="AJ27" i="41"/>
  <c r="AI27" i="41"/>
  <c r="AH27" i="41"/>
  <c r="AG27" i="41"/>
  <c r="AF27" i="41"/>
  <c r="AE27" i="41"/>
  <c r="AD27" i="41"/>
  <c r="AC27" i="41"/>
  <c r="AB27" i="41"/>
  <c r="AA27" i="41"/>
  <c r="Z27" i="41"/>
  <c r="Y27" i="41"/>
  <c r="X27" i="41"/>
  <c r="W27" i="41"/>
  <c r="V27" i="41"/>
  <c r="U27" i="41"/>
  <c r="T27" i="41"/>
  <c r="S27" i="41"/>
  <c r="R27" i="41"/>
  <c r="Q27" i="41"/>
  <c r="P27" i="41"/>
  <c r="O27" i="41"/>
  <c r="N27" i="41"/>
  <c r="M27" i="41"/>
  <c r="L27" i="41"/>
  <c r="K27" i="41"/>
  <c r="J27" i="41"/>
  <c r="I27" i="41"/>
  <c r="H27" i="41"/>
  <c r="G27" i="41"/>
  <c r="F27" i="41"/>
  <c r="E27" i="41"/>
  <c r="D27" i="41"/>
  <c r="C27" i="41"/>
  <c r="B27" i="41"/>
  <c r="BY26" i="41"/>
  <c r="BX26" i="41"/>
  <c r="BW26" i="41"/>
  <c r="BV26" i="41"/>
  <c r="BU26" i="41"/>
  <c r="BT26" i="41"/>
  <c r="BS26" i="41"/>
  <c r="BR26" i="41"/>
  <c r="BQ26" i="41"/>
  <c r="BP26" i="41"/>
  <c r="BO26" i="41"/>
  <c r="BN26" i="41"/>
  <c r="BM26" i="41"/>
  <c r="BL26" i="41"/>
  <c r="BK26" i="41"/>
  <c r="BJ26" i="41"/>
  <c r="BI26" i="41"/>
  <c r="BH26" i="41"/>
  <c r="BG26" i="41"/>
  <c r="BF26" i="41"/>
  <c r="BE26" i="41"/>
  <c r="BD26" i="41"/>
  <c r="BC26" i="41"/>
  <c r="BB26" i="41"/>
  <c r="BA26" i="41"/>
  <c r="AZ26" i="41"/>
  <c r="AY26" i="41"/>
  <c r="AX26" i="41"/>
  <c r="AW26" i="41"/>
  <c r="AV26" i="41"/>
  <c r="AU26" i="41"/>
  <c r="AT26" i="41"/>
  <c r="AS26" i="41"/>
  <c r="AR26" i="41"/>
  <c r="AQ26" i="41"/>
  <c r="AP26" i="41"/>
  <c r="AO26" i="41"/>
  <c r="AN26" i="41"/>
  <c r="AM26" i="41"/>
  <c r="AL26" i="41"/>
  <c r="AK26" i="41"/>
  <c r="AJ26" i="41"/>
  <c r="AI26" i="41"/>
  <c r="AH26" i="41"/>
  <c r="AG26" i="41"/>
  <c r="AF26" i="41"/>
  <c r="AE26" i="41"/>
  <c r="AD26" i="41"/>
  <c r="AC26" i="41"/>
  <c r="AB26" i="41"/>
  <c r="AA26" i="41"/>
  <c r="Z26" i="41"/>
  <c r="Y26" i="41"/>
  <c r="X26" i="41"/>
  <c r="W26" i="41"/>
  <c r="V26" i="41"/>
  <c r="U26" i="41"/>
  <c r="T26" i="41"/>
  <c r="S26" i="41"/>
  <c r="R26" i="41"/>
  <c r="Q26" i="41"/>
  <c r="P26" i="41"/>
  <c r="O26" i="41"/>
  <c r="N26" i="41"/>
  <c r="M26" i="41"/>
  <c r="L26" i="41"/>
  <c r="K26" i="41"/>
  <c r="J26" i="41"/>
  <c r="I26" i="41"/>
  <c r="H26" i="41"/>
  <c r="G26" i="41"/>
  <c r="F26" i="41"/>
  <c r="E26" i="41"/>
  <c r="D26" i="41"/>
  <c r="C26" i="41"/>
  <c r="B26" i="41"/>
  <c r="BY25" i="41"/>
  <c r="BX25" i="41"/>
  <c r="BW25" i="41"/>
  <c r="BV25" i="41"/>
  <c r="BU25" i="41"/>
  <c r="BT25" i="41"/>
  <c r="BS25" i="41"/>
  <c r="BR25" i="41"/>
  <c r="BQ25" i="41"/>
  <c r="BP25" i="41"/>
  <c r="BO25" i="41"/>
  <c r="BN25" i="41"/>
  <c r="BM25" i="41"/>
  <c r="BL25" i="41"/>
  <c r="BK25" i="41"/>
  <c r="BJ25" i="41"/>
  <c r="BI25" i="41"/>
  <c r="BH25" i="41"/>
  <c r="BG25" i="41"/>
  <c r="BF25" i="41"/>
  <c r="BE25" i="41"/>
  <c r="BD25" i="41"/>
  <c r="BC25" i="41"/>
  <c r="BB25" i="41"/>
  <c r="BA25" i="41"/>
  <c r="AZ25" i="41"/>
  <c r="AY25" i="41"/>
  <c r="AX25" i="41"/>
  <c r="AW25" i="41"/>
  <c r="AV25" i="41"/>
  <c r="AU25" i="41"/>
  <c r="AT25" i="41"/>
  <c r="AS25" i="41"/>
  <c r="AR25" i="41"/>
  <c r="AQ25" i="41"/>
  <c r="AP25" i="41"/>
  <c r="AO25" i="41"/>
  <c r="AN25" i="41"/>
  <c r="AM25" i="41"/>
  <c r="AL25" i="41"/>
  <c r="AK25" i="41"/>
  <c r="AJ25" i="41"/>
  <c r="AI25" i="41"/>
  <c r="AH25" i="41"/>
  <c r="AG25" i="41"/>
  <c r="AF25" i="41"/>
  <c r="AE25" i="41"/>
  <c r="AD25" i="41"/>
  <c r="AC25" i="41"/>
  <c r="AB25" i="41"/>
  <c r="AA25" i="41"/>
  <c r="Z25" i="41"/>
  <c r="Y25" i="41"/>
  <c r="X25" i="41"/>
  <c r="W25" i="41"/>
  <c r="V25" i="41"/>
  <c r="U25" i="41"/>
  <c r="T25" i="41"/>
  <c r="S25" i="41"/>
  <c r="R25" i="41"/>
  <c r="Q25" i="41"/>
  <c r="P25" i="41"/>
  <c r="O25" i="41"/>
  <c r="N25" i="41"/>
  <c r="M25" i="41"/>
  <c r="L25" i="41"/>
  <c r="K25" i="41"/>
  <c r="J25" i="41"/>
  <c r="I25" i="41"/>
  <c r="H25" i="41"/>
  <c r="G25" i="41"/>
  <c r="F25" i="41"/>
  <c r="E25" i="41"/>
  <c r="D25" i="41"/>
  <c r="C25" i="41"/>
  <c r="B25" i="41"/>
  <c r="BY24" i="41"/>
  <c r="BX24" i="41"/>
  <c r="BW24" i="41"/>
  <c r="BV24" i="41"/>
  <c r="BU24" i="41"/>
  <c r="BT24" i="41"/>
  <c r="BS24" i="41"/>
  <c r="BR24" i="41"/>
  <c r="BQ24" i="41"/>
  <c r="BP24" i="41"/>
  <c r="BO24" i="41"/>
  <c r="BN24" i="41"/>
  <c r="BM24" i="41"/>
  <c r="BL24" i="41"/>
  <c r="BK24" i="41"/>
  <c r="BJ24" i="41"/>
  <c r="BI24" i="41"/>
  <c r="BH24" i="41"/>
  <c r="BG24" i="41"/>
  <c r="BF24" i="41"/>
  <c r="BE24" i="41"/>
  <c r="BD24" i="41"/>
  <c r="BC24" i="41"/>
  <c r="BB24" i="41"/>
  <c r="BA24" i="41"/>
  <c r="AZ24" i="41"/>
  <c r="AY24" i="41"/>
  <c r="AX24" i="41"/>
  <c r="AW24" i="41"/>
  <c r="AV24" i="41"/>
  <c r="AU24" i="41"/>
  <c r="AT24" i="41"/>
  <c r="AS24" i="41"/>
  <c r="AR24" i="41"/>
  <c r="AQ24" i="41"/>
  <c r="AP24" i="41"/>
  <c r="AO24" i="41"/>
  <c r="AN24" i="41"/>
  <c r="AM24" i="41"/>
  <c r="AL24" i="41"/>
  <c r="AK24" i="41"/>
  <c r="AJ24" i="41"/>
  <c r="AI24" i="41"/>
  <c r="AH24" i="41"/>
  <c r="AG24" i="41"/>
  <c r="AF24" i="41"/>
  <c r="AE24" i="41"/>
  <c r="AD24" i="41"/>
  <c r="AC24" i="41"/>
  <c r="AB24" i="41"/>
  <c r="AA24" i="41"/>
  <c r="Z24" i="41"/>
  <c r="Y24" i="41"/>
  <c r="X24" i="41"/>
  <c r="W24" i="41"/>
  <c r="V24" i="41"/>
  <c r="U24" i="41"/>
  <c r="T24" i="41"/>
  <c r="S24" i="41"/>
  <c r="R24" i="41"/>
  <c r="Q24" i="41"/>
  <c r="P24" i="41"/>
  <c r="O24" i="41"/>
  <c r="N24" i="41"/>
  <c r="M24" i="41"/>
  <c r="L24" i="41"/>
  <c r="K24" i="41"/>
  <c r="J24" i="41"/>
  <c r="I24" i="41"/>
  <c r="H24" i="41"/>
  <c r="G24" i="41"/>
  <c r="F24" i="41"/>
  <c r="E24" i="41"/>
  <c r="D24" i="41"/>
  <c r="C24" i="41"/>
  <c r="B24" i="41"/>
  <c r="BY23" i="41"/>
  <c r="BX23" i="41"/>
  <c r="BW23" i="41"/>
  <c r="BV23" i="41"/>
  <c r="BU23" i="41"/>
  <c r="BT23" i="41"/>
  <c r="BS23" i="41"/>
  <c r="BR23" i="41"/>
  <c r="BQ23" i="41"/>
  <c r="BP23" i="41"/>
  <c r="BO23" i="41"/>
  <c r="BN23" i="41"/>
  <c r="BM23" i="41"/>
  <c r="BL23" i="41"/>
  <c r="BK23" i="41"/>
  <c r="BJ23" i="41"/>
  <c r="BI23" i="41"/>
  <c r="BH23" i="41"/>
  <c r="BG23" i="41"/>
  <c r="BF23" i="41"/>
  <c r="BE23" i="41"/>
  <c r="BD23" i="41"/>
  <c r="BC23" i="41"/>
  <c r="BB23" i="41"/>
  <c r="BA23" i="41"/>
  <c r="AZ23" i="41"/>
  <c r="AY23" i="41"/>
  <c r="AX23" i="41"/>
  <c r="AW23" i="41"/>
  <c r="AV23" i="41"/>
  <c r="AU23" i="41"/>
  <c r="AT23" i="41"/>
  <c r="AS23" i="41"/>
  <c r="AR23" i="41"/>
  <c r="AQ23" i="41"/>
  <c r="AP23" i="41"/>
  <c r="AO23" i="41"/>
  <c r="AN23" i="41"/>
  <c r="AM23" i="41"/>
  <c r="AL23" i="41"/>
  <c r="AK23" i="41"/>
  <c r="AJ23" i="41"/>
  <c r="AI23" i="41"/>
  <c r="AH23" i="41"/>
  <c r="AG23" i="41"/>
  <c r="AF23" i="41"/>
  <c r="AE23" i="41"/>
  <c r="AD23" i="41"/>
  <c r="AC23" i="41"/>
  <c r="AB23" i="41"/>
  <c r="AA23" i="41"/>
  <c r="Z23" i="41"/>
  <c r="Y23" i="41"/>
  <c r="X23" i="41"/>
  <c r="W23" i="41"/>
  <c r="V23" i="41"/>
  <c r="U23" i="41"/>
  <c r="T23" i="41"/>
  <c r="S23" i="41"/>
  <c r="R23" i="41"/>
  <c r="Q23" i="41"/>
  <c r="P23" i="41"/>
  <c r="O23" i="41"/>
  <c r="N23" i="41"/>
  <c r="M23" i="41"/>
  <c r="L23" i="41"/>
  <c r="K23" i="41"/>
  <c r="J23" i="41"/>
  <c r="I23" i="41"/>
  <c r="H23" i="41"/>
  <c r="G23" i="41"/>
  <c r="F23" i="41"/>
  <c r="E23" i="41"/>
  <c r="D23" i="41"/>
  <c r="C23" i="41"/>
  <c r="B23" i="41"/>
  <c r="BY22" i="41"/>
  <c r="BX22" i="41"/>
  <c r="BW22" i="41"/>
  <c r="BV22" i="41"/>
  <c r="BU22" i="41"/>
  <c r="BT22" i="41"/>
  <c r="BS22" i="41"/>
  <c r="BR22" i="41"/>
  <c r="BQ22" i="41"/>
  <c r="BP22" i="41"/>
  <c r="BO22" i="41"/>
  <c r="BN22" i="41"/>
  <c r="BM22" i="41"/>
  <c r="BL22" i="41"/>
  <c r="BK22" i="41"/>
  <c r="BJ22" i="41"/>
  <c r="BI22" i="41"/>
  <c r="BH22" i="41"/>
  <c r="BG22" i="41"/>
  <c r="BF22" i="41"/>
  <c r="BE22" i="41"/>
  <c r="BD22" i="41"/>
  <c r="BC22" i="41"/>
  <c r="BB22" i="41"/>
  <c r="BA22" i="41"/>
  <c r="AZ22" i="41"/>
  <c r="AY22" i="41"/>
  <c r="AX22" i="41"/>
  <c r="AW22" i="41"/>
  <c r="AV22" i="41"/>
  <c r="AU22" i="41"/>
  <c r="AT22" i="41"/>
  <c r="AS22" i="41"/>
  <c r="AR22" i="41"/>
  <c r="AQ22" i="41"/>
  <c r="AP22" i="41"/>
  <c r="AO22" i="41"/>
  <c r="AN22" i="41"/>
  <c r="AM22" i="41"/>
  <c r="AL22" i="41"/>
  <c r="AK22" i="41"/>
  <c r="AJ22" i="41"/>
  <c r="AI22" i="41"/>
  <c r="AH22" i="41"/>
  <c r="AG22" i="41"/>
  <c r="AF22" i="41"/>
  <c r="AE22" i="41"/>
  <c r="AD22" i="41"/>
  <c r="AC22" i="41"/>
  <c r="AB22" i="41"/>
  <c r="AA22" i="41"/>
  <c r="Z22" i="41"/>
  <c r="Y22" i="41"/>
  <c r="X22" i="41"/>
  <c r="W22" i="41"/>
  <c r="V22" i="41"/>
  <c r="U22" i="41"/>
  <c r="T22" i="41"/>
  <c r="S22" i="41"/>
  <c r="R22" i="41"/>
  <c r="Q22" i="41"/>
  <c r="P22" i="41"/>
  <c r="O22" i="41"/>
  <c r="N22" i="41"/>
  <c r="M22" i="41"/>
  <c r="L22" i="41"/>
  <c r="K22" i="41"/>
  <c r="J22" i="41"/>
  <c r="I22" i="41"/>
  <c r="H22" i="41"/>
  <c r="G22" i="41"/>
  <c r="F22" i="41"/>
  <c r="E22" i="41"/>
  <c r="D22" i="41"/>
  <c r="C22" i="41"/>
  <c r="B22" i="41"/>
  <c r="BY21" i="41"/>
  <c r="BX21" i="41"/>
  <c r="BW21" i="41"/>
  <c r="BV21" i="41"/>
  <c r="BU21" i="41"/>
  <c r="BT21" i="41"/>
  <c r="BS21" i="41"/>
  <c r="BR21" i="41"/>
  <c r="BQ21" i="41"/>
  <c r="BP21" i="41"/>
  <c r="BO21" i="41"/>
  <c r="BN21" i="41"/>
  <c r="BM21" i="41"/>
  <c r="BL21" i="41"/>
  <c r="BK21" i="41"/>
  <c r="BJ21" i="41"/>
  <c r="BI21" i="41"/>
  <c r="BH21" i="41"/>
  <c r="BG21" i="41"/>
  <c r="BF21" i="41"/>
  <c r="BE21" i="41"/>
  <c r="BD21" i="41"/>
  <c r="BC21" i="41"/>
  <c r="BB21" i="41"/>
  <c r="BA21" i="41"/>
  <c r="AZ21" i="41"/>
  <c r="AY21" i="41"/>
  <c r="AX21" i="41"/>
  <c r="AW21" i="41"/>
  <c r="AV21" i="41"/>
  <c r="AU21" i="41"/>
  <c r="AT21" i="41"/>
  <c r="AS21" i="41"/>
  <c r="AR21" i="41"/>
  <c r="AQ21" i="41"/>
  <c r="AP21" i="41"/>
  <c r="AO21" i="41"/>
  <c r="AN21" i="41"/>
  <c r="AM21" i="41"/>
  <c r="AL21" i="41"/>
  <c r="AK21" i="41"/>
  <c r="AJ21" i="41"/>
  <c r="AI21" i="41"/>
  <c r="AH21" i="41"/>
  <c r="AG21" i="41"/>
  <c r="AF21" i="41"/>
  <c r="AE21" i="41"/>
  <c r="AD21" i="41"/>
  <c r="AC21" i="41"/>
  <c r="AB21" i="41"/>
  <c r="AA21" i="41"/>
  <c r="Z21" i="41"/>
  <c r="Y21" i="41"/>
  <c r="X21" i="41"/>
  <c r="W21" i="41"/>
  <c r="V21" i="41"/>
  <c r="U21" i="41"/>
  <c r="T21" i="41"/>
  <c r="S21" i="41"/>
  <c r="R21" i="41"/>
  <c r="Q21" i="41"/>
  <c r="P21" i="41"/>
  <c r="O21" i="41"/>
  <c r="N21" i="41"/>
  <c r="M21" i="41"/>
  <c r="L21" i="41"/>
  <c r="K21" i="41"/>
  <c r="J21" i="41"/>
  <c r="I21" i="41"/>
  <c r="H21" i="41"/>
  <c r="G21" i="41"/>
  <c r="F21" i="41"/>
  <c r="E21" i="41"/>
  <c r="D21" i="41"/>
  <c r="C21" i="41"/>
  <c r="B21" i="41"/>
  <c r="BY20" i="41"/>
  <c r="BX20" i="41"/>
  <c r="BW20" i="41"/>
  <c r="BV20" i="41"/>
  <c r="BU20" i="41"/>
  <c r="BT20" i="41"/>
  <c r="BS20" i="41"/>
  <c r="BR20" i="41"/>
  <c r="BQ20" i="41"/>
  <c r="BP20" i="41"/>
  <c r="BO20" i="41"/>
  <c r="BN20" i="41"/>
  <c r="BM20" i="41"/>
  <c r="BL20" i="41"/>
  <c r="BK20" i="41"/>
  <c r="BJ20" i="41"/>
  <c r="BI20" i="41"/>
  <c r="BH20" i="41"/>
  <c r="BG20" i="41"/>
  <c r="BF20" i="41"/>
  <c r="BE20" i="41"/>
  <c r="BD20" i="41"/>
  <c r="BC20" i="41"/>
  <c r="BB20" i="41"/>
  <c r="BA20" i="41"/>
  <c r="AZ20" i="41"/>
  <c r="AY20" i="41"/>
  <c r="AX20" i="41"/>
  <c r="AW20" i="41"/>
  <c r="AV20" i="41"/>
  <c r="AU20" i="41"/>
  <c r="AT20" i="41"/>
  <c r="AS20" i="41"/>
  <c r="AR20" i="41"/>
  <c r="AQ20" i="41"/>
  <c r="AP20" i="41"/>
  <c r="AO20" i="41"/>
  <c r="AN20" i="41"/>
  <c r="AM20" i="41"/>
  <c r="AL20" i="41"/>
  <c r="AK20" i="41"/>
  <c r="AJ20" i="41"/>
  <c r="AI20" i="41"/>
  <c r="AH20" i="41"/>
  <c r="AG20" i="41"/>
  <c r="AF20" i="41"/>
  <c r="AE20" i="41"/>
  <c r="AD20" i="41"/>
  <c r="AC20" i="41"/>
  <c r="AB20" i="41"/>
  <c r="AA20" i="41"/>
  <c r="Z20" i="41"/>
  <c r="Y20" i="41"/>
  <c r="X20" i="41"/>
  <c r="W20" i="41"/>
  <c r="V20" i="41"/>
  <c r="U20" i="41"/>
  <c r="T20" i="41"/>
  <c r="S20" i="41"/>
  <c r="R20" i="41"/>
  <c r="Q20" i="41"/>
  <c r="P20" i="41"/>
  <c r="O20" i="41"/>
  <c r="N20" i="41"/>
  <c r="M20" i="41"/>
  <c r="L20" i="41"/>
  <c r="K20" i="41"/>
  <c r="J20" i="41"/>
  <c r="I20" i="41"/>
  <c r="H20" i="41"/>
  <c r="G20" i="41"/>
  <c r="F20" i="41"/>
  <c r="E20" i="41"/>
  <c r="D20" i="41"/>
  <c r="C20" i="41"/>
  <c r="B20" i="41"/>
  <c r="BY18" i="41"/>
  <c r="BY32" i="41" s="1"/>
  <c r="BX18" i="41"/>
  <c r="BX32" i="41" s="1"/>
  <c r="BW18" i="41"/>
  <c r="BV18" i="41"/>
  <c r="BV32" i="41" s="1"/>
  <c r="BU18" i="41"/>
  <c r="BU32" i="41" s="1"/>
  <c r="BT18" i="41"/>
  <c r="BT32" i="41" s="1"/>
  <c r="BS18" i="41"/>
  <c r="BS32" i="41" s="1"/>
  <c r="BR18" i="41"/>
  <c r="BR32" i="41" s="1"/>
  <c r="BQ18" i="41"/>
  <c r="BQ32" i="41" s="1"/>
  <c r="BP18" i="41"/>
  <c r="BP32" i="41" s="1"/>
  <c r="BO18" i="41"/>
  <c r="BN18" i="41"/>
  <c r="BN32" i="41" s="1"/>
  <c r="BM18" i="41"/>
  <c r="BM32" i="41" s="1"/>
  <c r="BL18" i="41"/>
  <c r="BL32" i="41" s="1"/>
  <c r="BK18" i="41"/>
  <c r="BK32" i="41" s="1"/>
  <c r="BJ18" i="41"/>
  <c r="BJ32" i="41" s="1"/>
  <c r="BI18" i="41"/>
  <c r="BI32" i="41" s="1"/>
  <c r="BH18" i="41"/>
  <c r="BH32" i="41" s="1"/>
  <c r="BG18" i="41"/>
  <c r="BF18" i="41"/>
  <c r="BF32" i="41" s="1"/>
  <c r="BE18" i="41"/>
  <c r="BE32" i="41" s="1"/>
  <c r="BD18" i="41"/>
  <c r="BD32" i="41" s="1"/>
  <c r="BC18" i="41"/>
  <c r="BC32" i="41" s="1"/>
  <c r="I53" i="40" l="1"/>
  <c r="I25" i="40" s="1"/>
  <c r="I52" i="40"/>
  <c r="I24" i="40" s="1"/>
  <c r="I55" i="40"/>
  <c r="I27" i="40" s="1"/>
  <c r="H52" i="40"/>
  <c r="H24" i="40" s="1"/>
  <c r="B24" i="40"/>
  <c r="F24" i="40" s="1"/>
  <c r="F52" i="40" s="1"/>
  <c r="H53" i="40"/>
  <c r="H25" i="40" s="1"/>
  <c r="H54" i="40"/>
  <c r="H26" i="40" s="1"/>
  <c r="B26" i="40"/>
  <c r="H55" i="40"/>
  <c r="H27" i="40" s="1"/>
  <c r="B27" i="40"/>
  <c r="I54" i="40"/>
  <c r="I26" i="40" s="1"/>
  <c r="M32" i="40"/>
  <c r="M34" i="40"/>
  <c r="M35" i="40"/>
  <c r="M36" i="40"/>
  <c r="M37" i="40"/>
  <c r="M38" i="40"/>
  <c r="M39" i="40"/>
  <c r="M40" i="40"/>
  <c r="G40" i="40" s="1"/>
  <c r="G12" i="40" s="1"/>
  <c r="M41" i="40"/>
  <c r="M42" i="40"/>
  <c r="G42" i="40" s="1"/>
  <c r="G14" i="40" s="1"/>
  <c r="M43" i="40"/>
  <c r="G43" i="40" s="1"/>
  <c r="G15" i="40" s="1"/>
  <c r="M44" i="40"/>
  <c r="G44" i="40" s="1"/>
  <c r="G16" i="40" s="1"/>
  <c r="M45" i="40"/>
  <c r="G45" i="40" s="1"/>
  <c r="G17" i="40" s="1"/>
  <c r="M46" i="40"/>
  <c r="M47" i="40"/>
  <c r="G47" i="40" s="1"/>
  <c r="G19" i="40" s="1"/>
  <c r="M48" i="40"/>
  <c r="G48" i="40" s="1"/>
  <c r="G20" i="40" s="1"/>
  <c r="M49" i="40"/>
  <c r="M50" i="40"/>
  <c r="L51" i="40"/>
  <c r="L23" i="40" s="1"/>
  <c r="L52" i="40"/>
  <c r="L24" i="40" s="1"/>
  <c r="L53" i="40"/>
  <c r="L25" i="40" s="1"/>
  <c r="L54" i="40"/>
  <c r="L26" i="40" s="1"/>
  <c r="L55" i="40"/>
  <c r="L27" i="40" s="1"/>
  <c r="C51" i="40"/>
  <c r="C50" i="40"/>
  <c r="C49" i="40"/>
  <c r="C48" i="40"/>
  <c r="C47" i="40"/>
  <c r="C46" i="40"/>
  <c r="C45" i="40"/>
  <c r="C44" i="40"/>
  <c r="C43" i="40"/>
  <c r="C42" i="40"/>
  <c r="C41" i="40"/>
  <c r="C40" i="40"/>
  <c r="C39" i="40"/>
  <c r="C38" i="40"/>
  <c r="C37" i="40"/>
  <c r="C36" i="40"/>
  <c r="C35" i="40"/>
  <c r="C34" i="40"/>
  <c r="C33" i="40"/>
  <c r="G55" i="40"/>
  <c r="G27" i="40" s="1"/>
  <c r="G51" i="40"/>
  <c r="G23" i="40" s="1"/>
  <c r="G46" i="40"/>
  <c r="G18" i="40" s="1"/>
  <c r="G41" i="40"/>
  <c r="G13" i="40" s="1"/>
  <c r="G39" i="40"/>
  <c r="G11" i="40" s="1"/>
  <c r="G38" i="40"/>
  <c r="G10" i="40" s="1"/>
  <c r="G37" i="40"/>
  <c r="G9" i="40" s="1"/>
  <c r="F25" i="40" l="1"/>
  <c r="F53" i="40" s="1"/>
  <c r="G52" i="40"/>
  <c r="G24" i="40" s="1"/>
  <c r="L50" i="40"/>
  <c r="G50" i="40"/>
  <c r="G22" i="40" s="1"/>
  <c r="L49" i="40"/>
  <c r="G49" i="40"/>
  <c r="G21" i="40" s="1"/>
  <c r="C12" i="40"/>
  <c r="I40" i="40"/>
  <c r="I12" i="40" s="1"/>
  <c r="C5" i="40"/>
  <c r="I33" i="40"/>
  <c r="I5" i="40" s="1"/>
  <c r="C6" i="40"/>
  <c r="I34" i="40"/>
  <c r="I6" i="40" s="1"/>
  <c r="I42" i="40"/>
  <c r="I14" i="40" s="1"/>
  <c r="C14" i="40"/>
  <c r="I50" i="40"/>
  <c r="I22" i="40" s="1"/>
  <c r="C22" i="40"/>
  <c r="C13" i="40"/>
  <c r="I41" i="40"/>
  <c r="I13" i="40" s="1"/>
  <c r="I35" i="40"/>
  <c r="I7" i="40" s="1"/>
  <c r="C7" i="40"/>
  <c r="I43" i="40"/>
  <c r="I15" i="40" s="1"/>
  <c r="C15" i="40"/>
  <c r="I51" i="40"/>
  <c r="I23" i="40" s="1"/>
  <c r="C23" i="40"/>
  <c r="C8" i="40"/>
  <c r="I36" i="40"/>
  <c r="I8" i="40" s="1"/>
  <c r="C16" i="40"/>
  <c r="I44" i="40"/>
  <c r="I16" i="40" s="1"/>
  <c r="C9" i="40"/>
  <c r="I37" i="40"/>
  <c r="I9" i="40" s="1"/>
  <c r="I45" i="40"/>
  <c r="I17" i="40" s="1"/>
  <c r="C17" i="40"/>
  <c r="C20" i="40"/>
  <c r="I48" i="40"/>
  <c r="I20" i="40" s="1"/>
  <c r="C21" i="40"/>
  <c r="I49" i="40"/>
  <c r="I21" i="40" s="1"/>
  <c r="C10" i="40"/>
  <c r="I38" i="40"/>
  <c r="I10" i="40" s="1"/>
  <c r="C18" i="40"/>
  <c r="I46" i="40"/>
  <c r="I18" i="40" s="1"/>
  <c r="C11" i="40"/>
  <c r="I39" i="40"/>
  <c r="I11" i="40" s="1"/>
  <c r="C19" i="40"/>
  <c r="I47" i="40"/>
  <c r="I19" i="40" s="1"/>
  <c r="D174" i="29"/>
  <c r="F26" i="40" l="1"/>
  <c r="F54" i="40" s="1"/>
  <c r="G53" i="40"/>
  <c r="G25" i="40" s="1"/>
  <c r="D22" i="34" a="1"/>
  <c r="D22" i="34" s="1"/>
  <c r="E22" i="34" a="1"/>
  <c r="E22" i="34" s="1"/>
  <c r="F22" i="34" a="1"/>
  <c r="F22" i="34" s="1"/>
  <c r="G22" i="34" a="1"/>
  <c r="G22" i="34" s="1"/>
  <c r="H22" i="34" a="1"/>
  <c r="H22" i="34" s="1"/>
  <c r="I22" i="34" a="1"/>
  <c r="I22" i="34" s="1"/>
  <c r="J22" i="34" a="1"/>
  <c r="J22" i="34" s="1"/>
  <c r="K22" i="34" a="1"/>
  <c r="K22" i="34" s="1"/>
  <c r="L22" i="34" a="1"/>
  <c r="L22" i="34" s="1"/>
  <c r="M22" i="34" a="1"/>
  <c r="M22" i="34" s="1"/>
  <c r="N22" i="34" a="1"/>
  <c r="N22" i="34" s="1"/>
  <c r="O22" i="34" a="1"/>
  <c r="O22" i="34" s="1"/>
  <c r="P22" i="34" a="1"/>
  <c r="P22" i="34" s="1"/>
  <c r="C22" i="34" a="1"/>
  <c r="C22" i="34" s="1"/>
  <c r="D24" i="34" a="1"/>
  <c r="D24" i="34" s="1"/>
  <c r="E24" i="34" a="1"/>
  <c r="E24" i="34" s="1"/>
  <c r="F24" i="34" a="1"/>
  <c r="F24" i="34" s="1"/>
  <c r="G24" i="34" a="1"/>
  <c r="G24" i="34" s="1"/>
  <c r="H24" i="34" a="1"/>
  <c r="H24" i="34" s="1"/>
  <c r="I24" i="34" a="1"/>
  <c r="I24" i="34" s="1"/>
  <c r="J24" i="34" a="1"/>
  <c r="J24" i="34" s="1"/>
  <c r="K24" i="34" a="1"/>
  <c r="K24" i="34" s="1"/>
  <c r="L24" i="34" a="1"/>
  <c r="L24" i="34" s="1"/>
  <c r="M24" i="34" a="1"/>
  <c r="M24" i="34" s="1"/>
  <c r="N24" i="34" a="1"/>
  <c r="N24" i="34" s="1"/>
  <c r="O24" i="34" a="1"/>
  <c r="O24" i="34" s="1"/>
  <c r="P24" i="34" a="1"/>
  <c r="P24" i="34" s="1"/>
  <c r="C24" i="34" a="1"/>
  <c r="C24" i="34" s="1"/>
  <c r="D213" i="29"/>
  <c r="D50" i="29"/>
  <c r="D16" i="29"/>
  <c r="D202" i="29"/>
  <c r="D20" i="34"/>
  <c r="E20" i="34"/>
  <c r="F20" i="34"/>
  <c r="G20" i="34"/>
  <c r="H20" i="34"/>
  <c r="I20" i="34"/>
  <c r="J20" i="34"/>
  <c r="K20" i="34"/>
  <c r="L20" i="34"/>
  <c r="M20" i="34"/>
  <c r="N20" i="34"/>
  <c r="O20" i="34"/>
  <c r="P20" i="34"/>
  <c r="C20" i="34"/>
  <c r="D30" i="31"/>
  <c r="E30" i="31"/>
  <c r="F30" i="31"/>
  <c r="G30" i="31"/>
  <c r="H30" i="31"/>
  <c r="I30" i="31"/>
  <c r="J30" i="31"/>
  <c r="K30" i="31"/>
  <c r="L30" i="31"/>
  <c r="M30" i="31"/>
  <c r="N30" i="31"/>
  <c r="O30" i="31"/>
  <c r="P30" i="31"/>
  <c r="P9" i="39"/>
  <c r="O9" i="39"/>
  <c r="N9" i="39"/>
  <c r="M9" i="39"/>
  <c r="L9" i="39"/>
  <c r="K9" i="39"/>
  <c r="J9" i="39"/>
  <c r="I9" i="39"/>
  <c r="H9" i="39"/>
  <c r="G9" i="39"/>
  <c r="F9" i="39"/>
  <c r="P6" i="39"/>
  <c r="P11" i="39" s="1"/>
  <c r="O6" i="39"/>
  <c r="O11" i="39" s="1"/>
  <c r="N6" i="39"/>
  <c r="N11" i="39" s="1"/>
  <c r="M6" i="39"/>
  <c r="M11" i="39" s="1"/>
  <c r="L6" i="39"/>
  <c r="L11" i="39" s="1"/>
  <c r="K6" i="39"/>
  <c r="K10" i="39" s="1"/>
  <c r="J6" i="39"/>
  <c r="J12" i="39" s="1"/>
  <c r="I6" i="39"/>
  <c r="I12" i="39" s="1"/>
  <c r="H6" i="39"/>
  <c r="H11" i="39" s="1"/>
  <c r="G6" i="39"/>
  <c r="G11" i="39" s="1"/>
  <c r="F6" i="39"/>
  <c r="F11" i="39" s="1"/>
  <c r="E6" i="39"/>
  <c r="E12" i="39" s="1"/>
  <c r="D6" i="39"/>
  <c r="D12" i="39" s="1"/>
  <c r="C6" i="39"/>
  <c r="C12" i="39" s="1"/>
  <c r="G54" i="40" l="1"/>
  <c r="G26" i="40" s="1"/>
  <c r="C23" i="34"/>
  <c r="I23" i="34"/>
  <c r="P23" i="34"/>
  <c r="P25" i="34" s="1"/>
  <c r="H23" i="34"/>
  <c r="O23" i="34"/>
  <c r="O25" i="34" s="1"/>
  <c r="G23" i="34"/>
  <c r="K23" i="34"/>
  <c r="N23" i="34"/>
  <c r="N25" i="34" s="1"/>
  <c r="F23" i="34"/>
  <c r="M23" i="34"/>
  <c r="M25" i="34" s="1"/>
  <c r="E23" i="34"/>
  <c r="J23" i="34"/>
  <c r="J25" i="34" s="1"/>
  <c r="L23" i="34"/>
  <c r="L25" i="34" s="1"/>
  <c r="D23" i="34"/>
  <c r="L10" i="39"/>
  <c r="I11" i="39"/>
  <c r="K12" i="39"/>
  <c r="F25" i="34"/>
  <c r="D25" i="34"/>
  <c r="K25" i="34"/>
  <c r="H25" i="34"/>
  <c r="C25" i="34"/>
  <c r="I25" i="34"/>
  <c r="G25" i="34"/>
  <c r="E25" i="34"/>
  <c r="M10" i="39"/>
  <c r="J11" i="39"/>
  <c r="L12" i="39"/>
  <c r="F10" i="39"/>
  <c r="N10" i="39"/>
  <c r="K11" i="39"/>
  <c r="M12" i="39"/>
  <c r="G10" i="39"/>
  <c r="O10" i="39"/>
  <c r="F12" i="39"/>
  <c r="N12" i="39"/>
  <c r="H10" i="39"/>
  <c r="P10" i="39"/>
  <c r="G12" i="39"/>
  <c r="O12" i="39"/>
  <c r="I10" i="39"/>
  <c r="H12" i="39"/>
  <c r="P12" i="39"/>
  <c r="J10" i="39"/>
  <c r="D175" i="29"/>
  <c r="D189" i="29"/>
  <c r="D190" i="29"/>
  <c r="C176" i="29"/>
  <c r="C160" i="29"/>
  <c r="D159" i="29"/>
  <c r="D145" i="29"/>
  <c r="D126" i="29"/>
  <c r="D110" i="29"/>
  <c r="D95" i="29"/>
  <c r="D80" i="29"/>
  <c r="D63" i="29"/>
  <c r="D36" i="29"/>
  <c r="C27" i="29"/>
  <c r="C68" i="29" l="1"/>
  <c r="C78" i="29"/>
  <c r="C150" i="29"/>
  <c r="C164" i="29"/>
  <c r="C30" i="31" l="1"/>
  <c r="P20" i="31"/>
  <c r="O20" i="31"/>
  <c r="N20" i="31"/>
  <c r="M20" i="31"/>
  <c r="L20" i="31"/>
  <c r="K20" i="31"/>
  <c r="J20" i="31"/>
  <c r="I20" i="31"/>
  <c r="H20" i="31"/>
  <c r="G20" i="31"/>
  <c r="F20" i="31"/>
  <c r="E20" i="31"/>
  <c r="D20" i="31"/>
  <c r="C20" i="31"/>
  <c r="R30" i="31" l="1"/>
  <c r="D46" i="16"/>
  <c r="C46" i="16"/>
  <c r="C54" i="16"/>
  <c r="C58" i="16" s="1"/>
  <c r="C59" i="16" s="1"/>
  <c r="D54" i="16"/>
  <c r="D58" i="16" s="1"/>
  <c r="C10" i="16"/>
  <c r="D10" i="16"/>
  <c r="E10" i="16"/>
  <c r="B10" i="16"/>
  <c r="F9" i="16"/>
  <c r="F16" i="16"/>
  <c r="F18" i="16" s="1"/>
  <c r="F19" i="16" s="1"/>
  <c r="F21" i="16"/>
  <c r="C30" i="16"/>
  <c r="D30" i="16"/>
  <c r="E30" i="16"/>
  <c r="F30" i="16"/>
  <c r="B30" i="16"/>
  <c r="B21" i="16"/>
  <c r="AO36" i="16"/>
  <c r="C21" i="16" s="1"/>
  <c r="AP36" i="16"/>
  <c r="D21" i="16" s="1"/>
  <c r="AQ36" i="16"/>
  <c r="E21" i="16" s="1"/>
  <c r="AR36" i="16"/>
  <c r="AN36" i="16"/>
  <c r="AO23" i="16"/>
  <c r="AP23" i="16"/>
  <c r="AQ23" i="16"/>
  <c r="AR23" i="16"/>
  <c r="AN23" i="16"/>
  <c r="AN37" i="16" s="1"/>
  <c r="AQ37" i="16" l="1"/>
  <c r="AR37" i="16"/>
  <c r="AP37" i="16"/>
  <c r="AO37" i="16"/>
  <c r="C32" i="16"/>
  <c r="D32" i="16"/>
  <c r="E32" i="16"/>
  <c r="F32" i="16"/>
  <c r="B32" i="16"/>
  <c r="T20" i="16" l="1"/>
  <c r="T19" i="16"/>
  <c r="AL291" i="35" l="1"/>
  <c r="AU291" i="35" s="1"/>
  <c r="AL290" i="35"/>
  <c r="AL245" i="35"/>
  <c r="AT245" i="35" s="1"/>
  <c r="AL244" i="35"/>
  <c r="AS244" i="35" s="1"/>
  <c r="AL201" i="35"/>
  <c r="AW201" i="35" s="1"/>
  <c r="AL200" i="35"/>
  <c r="AU200" i="35" s="1"/>
  <c r="AL199" i="35"/>
  <c r="AW199" i="35" s="1"/>
  <c r="AL198" i="35"/>
  <c r="AL197" i="35"/>
  <c r="AL196" i="35"/>
  <c r="AL195" i="35"/>
  <c r="AL194" i="35"/>
  <c r="AL193" i="35"/>
  <c r="AU193" i="35" s="1"/>
  <c r="AL192" i="35"/>
  <c r="AS192" i="35" s="1"/>
  <c r="AL191" i="35"/>
  <c r="AV191" i="35" s="1"/>
  <c r="AL190" i="35"/>
  <c r="AP190" i="35" s="1"/>
  <c r="AL189" i="35"/>
  <c r="AL188" i="35"/>
  <c r="AW188" i="35" s="1"/>
  <c r="AL187" i="35"/>
  <c r="AL186" i="35"/>
  <c r="AQ186" i="35" s="1"/>
  <c r="AL185" i="35"/>
  <c r="AU185" i="35" s="1"/>
  <c r="AL184" i="35"/>
  <c r="AV184" i="35" s="1"/>
  <c r="AL183" i="35"/>
  <c r="AL182" i="35"/>
  <c r="AL181" i="35"/>
  <c r="AL180" i="35"/>
  <c r="AL179" i="35"/>
  <c r="AL178" i="35"/>
  <c r="AU178" i="35" s="1"/>
  <c r="AL177" i="35"/>
  <c r="AL176" i="35"/>
  <c r="AL175" i="35"/>
  <c r="AV175" i="35" s="1"/>
  <c r="AL174" i="35"/>
  <c r="AL173" i="35"/>
  <c r="AL172" i="35"/>
  <c r="AL171" i="35"/>
  <c r="AL170" i="35"/>
  <c r="AT170" i="35" s="1"/>
  <c r="AL169" i="35"/>
  <c r="AS169" i="35" s="1"/>
  <c r="AL168" i="35"/>
  <c r="AR168" i="35" s="1"/>
  <c r="AL167" i="35"/>
  <c r="AV167" i="35" s="1"/>
  <c r="AL166" i="35"/>
  <c r="AL165" i="35"/>
  <c r="AL164" i="35"/>
  <c r="AW164" i="35" s="1"/>
  <c r="AL163" i="35"/>
  <c r="AL162" i="35"/>
  <c r="AT162" i="35" s="1"/>
  <c r="AL161" i="35"/>
  <c r="AP161" i="35" s="1"/>
  <c r="AL160" i="35"/>
  <c r="AV160" i="35" s="1"/>
  <c r="AL159" i="35"/>
  <c r="AU159" i="35" s="1"/>
  <c r="AL158" i="35"/>
  <c r="AL157" i="35"/>
  <c r="AW157" i="35" s="1"/>
  <c r="AL156" i="35"/>
  <c r="AL155" i="35"/>
  <c r="AL154" i="35"/>
  <c r="AS154" i="35" s="1"/>
  <c r="AL153" i="35"/>
  <c r="AT153" i="35" s="1"/>
  <c r="AL152" i="35"/>
  <c r="AS152" i="35" s="1"/>
  <c r="AL151" i="35"/>
  <c r="AV151" i="35" s="1"/>
  <c r="AL150" i="35"/>
  <c r="AW150" i="35" s="1"/>
  <c r="AL149" i="35"/>
  <c r="AW149" i="35" s="1"/>
  <c r="AL148" i="35"/>
  <c r="AL147" i="35"/>
  <c r="AL146" i="35"/>
  <c r="AT146" i="35" s="1"/>
  <c r="AL145" i="35"/>
  <c r="AU145" i="35" s="1"/>
  <c r="AL144" i="35"/>
  <c r="AT144" i="35" s="1"/>
  <c r="AL143" i="35"/>
  <c r="AR143" i="35" s="1"/>
  <c r="AL142" i="35"/>
  <c r="AW142" i="35" s="1"/>
  <c r="AL141" i="35"/>
  <c r="AL140" i="35"/>
  <c r="AL139" i="35"/>
  <c r="AL138" i="35"/>
  <c r="AU138" i="35" s="1"/>
  <c r="AL137" i="35"/>
  <c r="AV137" i="35" s="1"/>
  <c r="AL136" i="35"/>
  <c r="AV136" i="35" s="1"/>
  <c r="AL135" i="35"/>
  <c r="AT135" i="35" s="1"/>
  <c r="AL134" i="35"/>
  <c r="AL133" i="35"/>
  <c r="AL132" i="35"/>
  <c r="AW132" i="35" s="1"/>
  <c r="AL131" i="35"/>
  <c r="AL130" i="35"/>
  <c r="AR130" i="35" s="1"/>
  <c r="AL129" i="35"/>
  <c r="AT129" i="35" s="1"/>
  <c r="AL128" i="35"/>
  <c r="AS128" i="35" s="1"/>
  <c r="AL127" i="35"/>
  <c r="AV127" i="35" s="1"/>
  <c r="AL126" i="35"/>
  <c r="AL125" i="35"/>
  <c r="AW125" i="35" s="1"/>
  <c r="AL124" i="35"/>
  <c r="AL123" i="35"/>
  <c r="AL122" i="35"/>
  <c r="AW122" i="35" s="1"/>
  <c r="AL121" i="35"/>
  <c r="AP121" i="35" s="1"/>
  <c r="AL120" i="35"/>
  <c r="AV120" i="35" s="1"/>
  <c r="AL119" i="35"/>
  <c r="AU119" i="35" s="1"/>
  <c r="AL118" i="35"/>
  <c r="AW118" i="35" s="1"/>
  <c r="AL117" i="35"/>
  <c r="AW117" i="35" s="1"/>
  <c r="AL116" i="35"/>
  <c r="AL115" i="35"/>
  <c r="AL114" i="35"/>
  <c r="AQ114" i="35" s="1"/>
  <c r="AL113" i="35"/>
  <c r="AQ113" i="35" s="1"/>
  <c r="AL112" i="35"/>
  <c r="AV112" i="35" s="1"/>
  <c r="AL111" i="35"/>
  <c r="AV111" i="35" s="1"/>
  <c r="AL110" i="35"/>
  <c r="AW110" i="35" s="1"/>
  <c r="AL109" i="35"/>
  <c r="AW109" i="35" s="1"/>
  <c r="AL108" i="35"/>
  <c r="AL107" i="35"/>
  <c r="AW107" i="35" s="1"/>
  <c r="AL106" i="35"/>
  <c r="AT106" i="35" s="1"/>
  <c r="AL105" i="35"/>
  <c r="AT105" i="35" s="1"/>
  <c r="AL104" i="35"/>
  <c r="AS104" i="35" s="1"/>
  <c r="AL103" i="35"/>
  <c r="AL102" i="35"/>
  <c r="AL101" i="35"/>
  <c r="AW101" i="35" s="1"/>
  <c r="AL100" i="35"/>
  <c r="AR100" i="35" s="1"/>
  <c r="AL99" i="35"/>
  <c r="AL98" i="35"/>
  <c r="AW98" i="35" s="1"/>
  <c r="AL97" i="35"/>
  <c r="AV97" i="35" s="1"/>
  <c r="AL96" i="35"/>
  <c r="AV96" i="35" s="1"/>
  <c r="AL95" i="35"/>
  <c r="AW95" i="35" s="1"/>
  <c r="AL94" i="35"/>
  <c r="AV94" i="35" s="1"/>
  <c r="AL93" i="35"/>
  <c r="AW93" i="35" s="1"/>
  <c r="AL92" i="35"/>
  <c r="AV92" i="35" s="1"/>
  <c r="AL91" i="35"/>
  <c r="AL90" i="35"/>
  <c r="AQ90" i="35" s="1"/>
  <c r="AL89" i="35"/>
  <c r="AQ89" i="35" s="1"/>
  <c r="AL88" i="35"/>
  <c r="AW88" i="35" s="1"/>
  <c r="AL87" i="35"/>
  <c r="AW87" i="35" s="1"/>
  <c r="AL86" i="35"/>
  <c r="AW86" i="35" s="1"/>
  <c r="AL85" i="35"/>
  <c r="AL84" i="35"/>
  <c r="AU84" i="35" s="1"/>
  <c r="AL83" i="35"/>
  <c r="AL82" i="35"/>
  <c r="AT82" i="35" s="1"/>
  <c r="AL81" i="35"/>
  <c r="AW81" i="35" s="1"/>
  <c r="AL80" i="35"/>
  <c r="AW80" i="35" s="1"/>
  <c r="AL79" i="35"/>
  <c r="AW79" i="35" s="1"/>
  <c r="AL78" i="35"/>
  <c r="AS78" i="35" s="1"/>
  <c r="AL77" i="35"/>
  <c r="AW77" i="35" s="1"/>
  <c r="AL76" i="35"/>
  <c r="AU76" i="35" s="1"/>
  <c r="AL75" i="35"/>
  <c r="AV75" i="35" s="1"/>
  <c r="AL74" i="35"/>
  <c r="AP74" i="35" s="1"/>
  <c r="AL73" i="35"/>
  <c r="AP73" i="35" s="1"/>
  <c r="AL72" i="35"/>
  <c r="AQ72" i="35" s="1"/>
  <c r="AL71" i="35"/>
  <c r="AR71" i="35" s="1"/>
  <c r="AL70" i="35"/>
  <c r="AS70" i="35" s="1"/>
  <c r="AL69" i="35"/>
  <c r="AT69" i="35" s="1"/>
  <c r="AL68" i="35"/>
  <c r="AU68" i="35" s="1"/>
  <c r="AL67" i="35"/>
  <c r="AV67" i="35" s="1"/>
  <c r="AL66" i="35"/>
  <c r="AW66" i="35" s="1"/>
  <c r="AL65" i="35"/>
  <c r="AP65" i="35" s="1"/>
  <c r="AL64" i="35"/>
  <c r="AQ64" i="35" s="1"/>
  <c r="AL63" i="35"/>
  <c r="AR63" i="35" s="1"/>
  <c r="AL62" i="35"/>
  <c r="AS62" i="35" s="1"/>
  <c r="AL61" i="35"/>
  <c r="AT61" i="35" s="1"/>
  <c r="AL60" i="35"/>
  <c r="AU60" i="35" s="1"/>
  <c r="AL59" i="35"/>
  <c r="AV59" i="35" s="1"/>
  <c r="AL58" i="35"/>
  <c r="AV58" i="35" s="1"/>
  <c r="AL57" i="35"/>
  <c r="AP57" i="35" s="1"/>
  <c r="AL56" i="35"/>
  <c r="AQ56" i="35" s="1"/>
  <c r="AL55" i="35"/>
  <c r="AR55" i="35" s="1"/>
  <c r="AL54" i="35"/>
  <c r="AS54" i="35" s="1"/>
  <c r="AL53" i="35"/>
  <c r="AL52" i="35"/>
  <c r="AU52" i="35" s="1"/>
  <c r="AL51" i="35"/>
  <c r="AV51" i="35" s="1"/>
  <c r="AL50" i="35"/>
  <c r="AU50" i="35" s="1"/>
  <c r="AL49" i="35"/>
  <c r="AP49" i="35" s="1"/>
  <c r="AL48" i="35"/>
  <c r="AQ48" i="35" s="1"/>
  <c r="AU302" i="35"/>
  <c r="AT302" i="35"/>
  <c r="AS302" i="35"/>
  <c r="AR302" i="35"/>
  <c r="AQ302" i="35"/>
  <c r="AP302" i="35"/>
  <c r="AW302" i="35"/>
  <c r="AV301" i="35"/>
  <c r="AU301" i="35"/>
  <c r="AT301" i="35"/>
  <c r="AS301" i="35"/>
  <c r="AR301" i="35"/>
  <c r="AQ301" i="35"/>
  <c r="AP301" i="35"/>
  <c r="AV300" i="35"/>
  <c r="AU300" i="35"/>
  <c r="AT300" i="35"/>
  <c r="AS300" i="35"/>
  <c r="AR300" i="35"/>
  <c r="AQ300" i="35"/>
  <c r="AU299" i="35"/>
  <c r="AT299" i="35"/>
  <c r="AS299" i="35"/>
  <c r="AR299" i="35"/>
  <c r="AV298" i="35"/>
  <c r="AU298" i="35"/>
  <c r="AT298" i="35"/>
  <c r="AP298" i="35"/>
  <c r="AS298" i="35"/>
  <c r="AW297" i="35"/>
  <c r="AV297" i="35"/>
  <c r="AU297" i="35"/>
  <c r="AW296" i="35"/>
  <c r="AV296" i="35"/>
  <c r="AR296" i="35"/>
  <c r="AQ296" i="35"/>
  <c r="AP296" i="35"/>
  <c r="AV294" i="35"/>
  <c r="AU294" i="35"/>
  <c r="AT294" i="35"/>
  <c r="AS294" i="35"/>
  <c r="AR294" i="35"/>
  <c r="AQ294" i="35"/>
  <c r="AP294" i="35"/>
  <c r="AW294" i="35"/>
  <c r="AV293" i="35"/>
  <c r="AU293" i="35"/>
  <c r="AT293" i="35"/>
  <c r="AS293" i="35"/>
  <c r="AR293" i="35"/>
  <c r="AQ293" i="35"/>
  <c r="AP293" i="35"/>
  <c r="AV292" i="35"/>
  <c r="AU292" i="35"/>
  <c r="AT292" i="35"/>
  <c r="AS292" i="35"/>
  <c r="AR292" i="35"/>
  <c r="AQ292" i="35"/>
  <c r="AW291" i="35"/>
  <c r="AV291" i="35"/>
  <c r="AW288" i="35"/>
  <c r="AV288" i="35"/>
  <c r="AW287" i="35"/>
  <c r="AS287" i="35"/>
  <c r="AR287" i="35"/>
  <c r="AQ287" i="35"/>
  <c r="AV286" i="35"/>
  <c r="AU286" i="35"/>
  <c r="AT286" i="35"/>
  <c r="AS286" i="35"/>
  <c r="AR286" i="35"/>
  <c r="AQ286" i="35"/>
  <c r="AP286" i="35"/>
  <c r="AW286" i="35"/>
  <c r="AV285" i="35"/>
  <c r="AU285" i="35"/>
  <c r="AT285" i="35"/>
  <c r="AS285" i="35"/>
  <c r="AR285" i="35"/>
  <c r="AQ285" i="35"/>
  <c r="AP285" i="35"/>
  <c r="AV284" i="35"/>
  <c r="AU284" i="35"/>
  <c r="AT284" i="35"/>
  <c r="AS284" i="35"/>
  <c r="AR284" i="35"/>
  <c r="AQ284" i="35"/>
  <c r="AW283" i="35"/>
  <c r="AW282" i="35"/>
  <c r="AV282" i="35"/>
  <c r="AU282" i="35"/>
  <c r="AW281" i="35"/>
  <c r="AV281" i="35"/>
  <c r="AU281" i="35"/>
  <c r="AQ281" i="35"/>
  <c r="AP281" i="35"/>
  <c r="AP280" i="35"/>
  <c r="AW279" i="35"/>
  <c r="AU278" i="35"/>
  <c r="AT278" i="35"/>
  <c r="AS278" i="35"/>
  <c r="AR278" i="35"/>
  <c r="AQ278" i="35"/>
  <c r="AP278" i="35"/>
  <c r="AW278" i="35"/>
  <c r="AV277" i="35"/>
  <c r="AU277" i="35"/>
  <c r="AT277" i="35"/>
  <c r="AS277" i="35"/>
  <c r="AR277" i="35"/>
  <c r="AQ277" i="35"/>
  <c r="AP277" i="35"/>
  <c r="AV276" i="35"/>
  <c r="AU276" i="35"/>
  <c r="AT276" i="35"/>
  <c r="AS276" i="35"/>
  <c r="AR276" i="35"/>
  <c r="AQ276" i="35"/>
  <c r="AS275" i="35"/>
  <c r="AW274" i="35"/>
  <c r="AP274" i="35"/>
  <c r="AW273" i="35"/>
  <c r="AV273" i="35"/>
  <c r="AU273" i="35"/>
  <c r="AW272" i="35"/>
  <c r="AV272" i="35"/>
  <c r="AR272" i="35"/>
  <c r="AQ272" i="35"/>
  <c r="AP272" i="35"/>
  <c r="AU270" i="35"/>
  <c r="AT270" i="35"/>
  <c r="AS270" i="35"/>
  <c r="AR270" i="35"/>
  <c r="AQ270" i="35"/>
  <c r="AP270" i="35"/>
  <c r="AW270" i="35"/>
  <c r="AV269" i="35"/>
  <c r="AU269" i="35"/>
  <c r="AT269" i="35"/>
  <c r="AS269" i="35"/>
  <c r="AR269" i="35"/>
  <c r="AQ269" i="35"/>
  <c r="AP269" i="35"/>
  <c r="AV268" i="35"/>
  <c r="AU268" i="35"/>
  <c r="AT268" i="35"/>
  <c r="AS268" i="35"/>
  <c r="AR268" i="35"/>
  <c r="AQ268" i="35"/>
  <c r="AW267" i="35"/>
  <c r="AV267" i="35"/>
  <c r="AU267" i="35"/>
  <c r="AT267" i="35"/>
  <c r="AS267" i="35"/>
  <c r="AW265" i="35"/>
  <c r="AP265" i="35"/>
  <c r="AW264" i="35"/>
  <c r="AV264" i="35"/>
  <c r="AR264" i="35"/>
  <c r="AW263" i="35"/>
  <c r="AS263" i="35"/>
  <c r="AR263" i="35"/>
  <c r="AQ263" i="35"/>
  <c r="AP263" i="35"/>
  <c r="AU262" i="35"/>
  <c r="AT262" i="35"/>
  <c r="AS262" i="35"/>
  <c r="AR262" i="35"/>
  <c r="AQ262" i="35"/>
  <c r="AP262" i="35"/>
  <c r="AW262" i="35"/>
  <c r="AV261" i="35"/>
  <c r="AU261" i="35"/>
  <c r="AT261" i="35"/>
  <c r="AS261" i="35"/>
  <c r="AR261" i="35"/>
  <c r="AQ261" i="35"/>
  <c r="AP261" i="35"/>
  <c r="AW261" i="35"/>
  <c r="AV260" i="35"/>
  <c r="AU260" i="35"/>
  <c r="AT260" i="35"/>
  <c r="AS260" i="35"/>
  <c r="AR260" i="35"/>
  <c r="AQ260" i="35"/>
  <c r="AW259" i="35"/>
  <c r="AV259" i="35"/>
  <c r="AW258" i="35"/>
  <c r="AV258" i="35"/>
  <c r="AU258" i="35"/>
  <c r="AT258" i="35"/>
  <c r="AP258" i="35"/>
  <c r="AQ257" i="35"/>
  <c r="AW255" i="35"/>
  <c r="AS255" i="35"/>
  <c r="AU254" i="35"/>
  <c r="AT254" i="35"/>
  <c r="AS254" i="35"/>
  <c r="AR254" i="35"/>
  <c r="AQ254" i="35"/>
  <c r="AP254" i="35"/>
  <c r="AW254" i="35"/>
  <c r="AV253" i="35"/>
  <c r="AU253" i="35"/>
  <c r="AT253" i="35"/>
  <c r="AS253" i="35"/>
  <c r="AR253" i="35"/>
  <c r="AQ253" i="35"/>
  <c r="AP253" i="35"/>
  <c r="AV252" i="35"/>
  <c r="AU252" i="35"/>
  <c r="AT252" i="35"/>
  <c r="AS252" i="35"/>
  <c r="AR252" i="35"/>
  <c r="AQ252" i="35"/>
  <c r="AW250" i="35"/>
  <c r="AV250" i="35"/>
  <c r="AW249" i="35"/>
  <c r="AV249" i="35"/>
  <c r="AU249" i="35"/>
  <c r="AQ249" i="35"/>
  <c r="AP249" i="35"/>
  <c r="AU246" i="35"/>
  <c r="AT246" i="35"/>
  <c r="AS246" i="35"/>
  <c r="AR246" i="35"/>
  <c r="AQ246" i="35"/>
  <c r="AP246" i="35"/>
  <c r="AW246" i="35"/>
  <c r="AV245" i="35"/>
  <c r="AU245" i="35"/>
  <c r="AR245" i="35"/>
  <c r="AQ245" i="35"/>
  <c r="AP245" i="35"/>
  <c r="AV244" i="35"/>
  <c r="AU244" i="35"/>
  <c r="AT244" i="35"/>
  <c r="AQ244" i="35"/>
  <c r="AP242" i="35"/>
  <c r="AW240" i="35"/>
  <c r="AV240" i="35"/>
  <c r="AP240" i="35"/>
  <c r="AW239" i="35"/>
  <c r="AT239" i="35"/>
  <c r="AS239" i="35"/>
  <c r="AU238" i="35"/>
  <c r="AT238" i="35"/>
  <c r="AS238" i="35"/>
  <c r="AR238" i="35"/>
  <c r="AQ238" i="35"/>
  <c r="AP238" i="35"/>
  <c r="AW238" i="35"/>
  <c r="AV237" i="35"/>
  <c r="AU237" i="35"/>
  <c r="AT237" i="35"/>
  <c r="AS237" i="35"/>
  <c r="AR237" i="35"/>
  <c r="AQ237" i="35"/>
  <c r="AP237" i="35"/>
  <c r="AW236" i="35"/>
  <c r="AV236" i="35"/>
  <c r="AU236" i="35"/>
  <c r="AT236" i="35"/>
  <c r="AS236" i="35"/>
  <c r="AR236" i="35"/>
  <c r="AW232" i="35"/>
  <c r="AV232" i="35"/>
  <c r="AP232" i="35"/>
  <c r="AW231" i="35"/>
  <c r="AT231" i="35"/>
  <c r="AS231" i="35"/>
  <c r="AV230" i="35"/>
  <c r="AU230" i="35"/>
  <c r="AT230" i="35"/>
  <c r="AS230" i="35"/>
  <c r="AR230" i="35"/>
  <c r="AQ230" i="35"/>
  <c r="AP230" i="35"/>
  <c r="AW230" i="35"/>
  <c r="AV229" i="35"/>
  <c r="AU229" i="35"/>
  <c r="AT229" i="35"/>
  <c r="AS229" i="35"/>
  <c r="AR229" i="35"/>
  <c r="AQ229" i="35"/>
  <c r="AP229" i="35"/>
  <c r="AW228" i="35"/>
  <c r="AV228" i="35"/>
  <c r="AU228" i="35"/>
  <c r="AT228" i="35"/>
  <c r="AS228" i="35"/>
  <c r="AQ228" i="35"/>
  <c r="AW227" i="35"/>
  <c r="AV227" i="35"/>
  <c r="AU227" i="35"/>
  <c r="AT227" i="35"/>
  <c r="AS227" i="35"/>
  <c r="AR227" i="35"/>
  <c r="AW226" i="35"/>
  <c r="AV226" i="35"/>
  <c r="AU226" i="35"/>
  <c r="AT226" i="35"/>
  <c r="AR226" i="35"/>
  <c r="AS226" i="35"/>
  <c r="AW225" i="35"/>
  <c r="AU225" i="35"/>
  <c r="AS225" i="35"/>
  <c r="AR225" i="35"/>
  <c r="AT225" i="35"/>
  <c r="AW224" i="35"/>
  <c r="AT224" i="35"/>
  <c r="AS224" i="35"/>
  <c r="AR224" i="35"/>
  <c r="AU224" i="35"/>
  <c r="AW223" i="35"/>
  <c r="AT223" i="35"/>
  <c r="AS223" i="35"/>
  <c r="AR223" i="35"/>
  <c r="AV223" i="35"/>
  <c r="AV222" i="35"/>
  <c r="AU222" i="35"/>
  <c r="AT222" i="35"/>
  <c r="AS222" i="35"/>
  <c r="AR222" i="35"/>
  <c r="AQ222" i="35"/>
  <c r="AP222" i="35"/>
  <c r="AW222" i="35"/>
  <c r="AW221" i="35"/>
  <c r="AU221" i="35"/>
  <c r="AT221" i="35"/>
  <c r="AS221" i="35"/>
  <c r="AP221" i="35"/>
  <c r="AW220" i="35"/>
  <c r="AU220" i="35"/>
  <c r="AT220" i="35"/>
  <c r="AS220" i="35"/>
  <c r="AQ220" i="35"/>
  <c r="AW219" i="35"/>
  <c r="AU219" i="35"/>
  <c r="AT219" i="35"/>
  <c r="AS219" i="35"/>
  <c r="AR219" i="35"/>
  <c r="AW218" i="35"/>
  <c r="AU218" i="35"/>
  <c r="AP216" i="35"/>
  <c r="AV215" i="35"/>
  <c r="AU215" i="35"/>
  <c r="AT215" i="35"/>
  <c r="AQ215" i="35"/>
  <c r="AP215" i="35"/>
  <c r="AS215" i="35"/>
  <c r="AW214" i="35"/>
  <c r="AV214" i="35"/>
  <c r="AU214" i="35"/>
  <c r="AR214" i="35"/>
  <c r="AP212" i="35"/>
  <c r="AU211" i="35"/>
  <c r="AT211" i="35"/>
  <c r="AS211" i="35"/>
  <c r="AR211" i="35"/>
  <c r="AQ211" i="35"/>
  <c r="AP211" i="35"/>
  <c r="AW211" i="35"/>
  <c r="AV210" i="35"/>
  <c r="AU210" i="35"/>
  <c r="AT210" i="35"/>
  <c r="AS210" i="35"/>
  <c r="AR210" i="35"/>
  <c r="AQ210" i="35"/>
  <c r="AP210" i="35"/>
  <c r="AW209" i="35"/>
  <c r="AV209" i="35"/>
  <c r="AT209" i="35"/>
  <c r="AS209" i="35"/>
  <c r="AV207" i="35"/>
  <c r="AU207" i="35"/>
  <c r="AT207" i="35"/>
  <c r="AQ207" i="35"/>
  <c r="AP207" i="35"/>
  <c r="AS207" i="35"/>
  <c r="AW206" i="35"/>
  <c r="AV206" i="35"/>
  <c r="AW205" i="35"/>
  <c r="AV205" i="35"/>
  <c r="AS205" i="35"/>
  <c r="AR205" i="35"/>
  <c r="AU203" i="35"/>
  <c r="AT203" i="35"/>
  <c r="AS203" i="35"/>
  <c r="AR203" i="35"/>
  <c r="AQ203" i="35"/>
  <c r="AP203" i="35"/>
  <c r="AW203" i="35"/>
  <c r="AV202" i="35"/>
  <c r="AU202" i="35"/>
  <c r="AT202" i="35"/>
  <c r="AS202" i="35"/>
  <c r="AR202" i="35"/>
  <c r="AQ202" i="35"/>
  <c r="AP202" i="35"/>
  <c r="AT199" i="35"/>
  <c r="AW196" i="35"/>
  <c r="AP196" i="35"/>
  <c r="AU195" i="35"/>
  <c r="AT195" i="35"/>
  <c r="AS195" i="35"/>
  <c r="AR195" i="35"/>
  <c r="AQ195" i="35"/>
  <c r="AP195" i="35"/>
  <c r="AW195" i="35"/>
  <c r="AV194" i="35"/>
  <c r="AU194" i="35"/>
  <c r="AT194" i="35"/>
  <c r="AS194" i="35"/>
  <c r="AR194" i="35"/>
  <c r="AQ194" i="35"/>
  <c r="AP194" i="35"/>
  <c r="AP188" i="35"/>
  <c r="AU187" i="35"/>
  <c r="AT187" i="35"/>
  <c r="AS187" i="35"/>
  <c r="AR187" i="35"/>
  <c r="AQ187" i="35"/>
  <c r="AP187" i="35"/>
  <c r="AW187" i="35"/>
  <c r="AV186" i="35"/>
  <c r="AU186" i="35"/>
  <c r="AT186" i="35"/>
  <c r="AS186" i="35"/>
  <c r="AR186" i="35"/>
  <c r="AW186" i="35"/>
  <c r="AU179" i="35"/>
  <c r="AT179" i="35"/>
  <c r="AV178" i="35"/>
  <c r="AS178" i="35"/>
  <c r="AR178" i="35"/>
  <c r="AQ178" i="35"/>
  <c r="AP178" i="35"/>
  <c r="AW178" i="35"/>
  <c r="AV173" i="35"/>
  <c r="AU173" i="35"/>
  <c r="AP173" i="35"/>
  <c r="AT173" i="35"/>
  <c r="AW171" i="35"/>
  <c r="AR171" i="35"/>
  <c r="AP171" i="35"/>
  <c r="AV170" i="35"/>
  <c r="AU170" i="35"/>
  <c r="AR170" i="35"/>
  <c r="AQ170" i="35"/>
  <c r="AW170" i="35"/>
  <c r="AU169" i="35"/>
  <c r="AV162" i="35"/>
  <c r="AU162" i="35"/>
  <c r="AR162" i="35"/>
  <c r="AQ162" i="35"/>
  <c r="AP162" i="35"/>
  <c r="AW162" i="35"/>
  <c r="AQ161" i="35"/>
  <c r="AR160" i="35"/>
  <c r="AV154" i="35"/>
  <c r="AU154" i="35"/>
  <c r="AT154" i="35"/>
  <c r="AP154" i="35"/>
  <c r="AW154" i="35"/>
  <c r="AU153" i="35"/>
  <c r="AU149" i="35"/>
  <c r="AP149" i="35"/>
  <c r="AW147" i="35"/>
  <c r="AR147" i="35"/>
  <c r="AV146" i="35"/>
  <c r="AU146" i="35"/>
  <c r="AR146" i="35"/>
  <c r="AQ146" i="35"/>
  <c r="AW140" i="35"/>
  <c r="AW139" i="35"/>
  <c r="AR139" i="35"/>
  <c r="AQ139" i="35"/>
  <c r="AP139" i="35"/>
  <c r="AV138" i="35"/>
  <c r="AS138" i="35"/>
  <c r="AR138" i="35"/>
  <c r="AU130" i="35"/>
  <c r="AT130" i="35"/>
  <c r="AS130" i="35"/>
  <c r="AP130" i="35"/>
  <c r="AU122" i="35"/>
  <c r="AT122" i="35"/>
  <c r="AP117" i="35"/>
  <c r="AW115" i="35"/>
  <c r="AR115" i="35"/>
  <c r="AT114" i="35"/>
  <c r="AS114" i="35"/>
  <c r="AU109" i="35"/>
  <c r="AQ109" i="35"/>
  <c r="AP109" i="35"/>
  <c r="AU106" i="35"/>
  <c r="AQ106" i="35"/>
  <c r="AV101" i="35"/>
  <c r="AW100" i="35"/>
  <c r="AV100" i="35"/>
  <c r="AR93" i="35"/>
  <c r="AQ93" i="35"/>
  <c r="AW92" i="35"/>
  <c r="AW85" i="35"/>
  <c r="AT85" i="35"/>
  <c r="AW84" i="35"/>
  <c r="AW83" i="35"/>
  <c r="AV83" i="35"/>
  <c r="AT74" i="35"/>
  <c r="AS74" i="35"/>
  <c r="AT53" i="35"/>
  <c r="AW50" i="35"/>
  <c r="AO46" i="35"/>
  <c r="AJ46" i="35"/>
  <c r="AI46" i="35"/>
  <c r="AH46" i="35"/>
  <c r="AG46" i="35"/>
  <c r="AF46" i="35"/>
  <c r="AE46" i="35"/>
  <c r="AD46" i="35"/>
  <c r="AC46" i="35"/>
  <c r="AA46" i="35"/>
  <c r="AJ44" i="35" a="1"/>
  <c r="AJ44" i="35" s="1"/>
  <c r="AI44" i="35" a="1"/>
  <c r="AI44" i="35" s="1"/>
  <c r="AH44" i="35" a="1"/>
  <c r="AH44" i="35" s="1"/>
  <c r="AG44" i="35" a="1"/>
  <c r="AG44" i="35" s="1"/>
  <c r="AF44" i="35" a="1"/>
  <c r="AF44" i="35" s="1"/>
  <c r="AE44" i="35" a="1"/>
  <c r="AE44" i="35" s="1"/>
  <c r="AD44" i="35" a="1"/>
  <c r="AD44" i="35" s="1"/>
  <c r="AC44" i="35" a="1"/>
  <c r="AC44" i="35" s="1"/>
  <c r="AJ43" i="35" a="1"/>
  <c r="AJ43" i="35" s="1"/>
  <c r="AI43" i="35" a="1"/>
  <c r="AI43" i="35" s="1"/>
  <c r="AH43" i="35" a="1"/>
  <c r="AH43" i="35" s="1"/>
  <c r="AG43" i="35" a="1"/>
  <c r="AG43" i="35" s="1"/>
  <c r="AF43" i="35" a="1"/>
  <c r="AF43" i="35" s="1"/>
  <c r="AE43" i="35" a="1"/>
  <c r="AE43" i="35" s="1"/>
  <c r="AD43" i="35" a="1"/>
  <c r="AD43" i="35" s="1"/>
  <c r="AC43" i="35" a="1"/>
  <c r="AC43" i="35" s="1"/>
  <c r="AT136" i="35" l="1"/>
  <c r="AQ137" i="35"/>
  <c r="AW193" i="35"/>
  <c r="AP145" i="35"/>
  <c r="AV185" i="35"/>
  <c r="AR153" i="35"/>
  <c r="AP169" i="35"/>
  <c r="AV153" i="35"/>
  <c r="AV169" i="35"/>
  <c r="AP137" i="35"/>
  <c r="AT66" i="35"/>
  <c r="AR106" i="35"/>
  <c r="AU114" i="35"/>
  <c r="AU98" i="35"/>
  <c r="AR121" i="35"/>
  <c r="AR114" i="35"/>
  <c r="AS122" i="35"/>
  <c r="AV114" i="35"/>
  <c r="AW130" i="35"/>
  <c r="AQ138" i="35"/>
  <c r="AV193" i="35"/>
  <c r="AU66" i="35"/>
  <c r="AS113" i="35"/>
  <c r="AS145" i="35"/>
  <c r="AV192" i="35"/>
  <c r="AQ121" i="35"/>
  <c r="AU152" i="35"/>
  <c r="AT89" i="35"/>
  <c r="AS160" i="35"/>
  <c r="AU167" i="35"/>
  <c r="AW58" i="35"/>
  <c r="AQ82" i="35"/>
  <c r="AV90" i="35"/>
  <c r="AU105" i="35"/>
  <c r="AT127" i="35"/>
  <c r="AT168" i="35"/>
  <c r="AW192" i="35"/>
  <c r="AP58" i="35"/>
  <c r="AR82" i="35"/>
  <c r="AP106" i="35"/>
  <c r="AR113" i="35"/>
  <c r="AR137" i="35"/>
  <c r="AQ58" i="35"/>
  <c r="AW82" i="35"/>
  <c r="AS121" i="35"/>
  <c r="AV143" i="35"/>
  <c r="AU168" i="35"/>
  <c r="AT58" i="35"/>
  <c r="AP82" i="35"/>
  <c r="AS89" i="35"/>
  <c r="AT121" i="35"/>
  <c r="AQ144" i="35"/>
  <c r="AU89" i="35"/>
  <c r="AV89" i="35"/>
  <c r="AP97" i="35"/>
  <c r="AV104" i="35"/>
  <c r="AT113" i="35"/>
  <c r="AU121" i="35"/>
  <c r="AQ129" i="35"/>
  <c r="AU137" i="35"/>
  <c r="AV145" i="35"/>
  <c r="AP50" i="35"/>
  <c r="AU74" i="35"/>
  <c r="AW90" i="35"/>
  <c r="AP98" i="35"/>
  <c r="AP105" i="35"/>
  <c r="AV106" i="35"/>
  <c r="AU113" i="35"/>
  <c r="AP122" i="35"/>
  <c r="AR129" i="35"/>
  <c r="AV130" i="35"/>
  <c r="AW138" i="35"/>
  <c r="AW146" i="35"/>
  <c r="AR161" i="35"/>
  <c r="AQ50" i="35"/>
  <c r="AP66" i="35"/>
  <c r="AV74" i="35"/>
  <c r="AR90" i="35"/>
  <c r="AQ98" i="35"/>
  <c r="AQ105" i="35"/>
  <c r="AV113" i="35"/>
  <c r="AQ122" i="35"/>
  <c r="AU129" i="35"/>
  <c r="AR136" i="35"/>
  <c r="AP138" i="35"/>
  <c r="AP146" i="35"/>
  <c r="AQ154" i="35"/>
  <c r="AU161" i="35"/>
  <c r="AP170" i="35"/>
  <c r="AW200" i="35"/>
  <c r="AQ66" i="35"/>
  <c r="AU90" i="35"/>
  <c r="AR98" i="35"/>
  <c r="AR105" i="35"/>
  <c r="AW114" i="35"/>
  <c r="AR122" i="35"/>
  <c r="AV129" i="35"/>
  <c r="AS136" i="35"/>
  <c r="AT152" i="35"/>
  <c r="AV161" i="35"/>
  <c r="AS168" i="35"/>
  <c r="AV201" i="35"/>
  <c r="AU127" i="35"/>
  <c r="AS97" i="35"/>
  <c r="AV119" i="35"/>
  <c r="AQ128" i="35"/>
  <c r="AR144" i="35"/>
  <c r="AR151" i="35"/>
  <c r="AT160" i="35"/>
  <c r="AV168" i="35"/>
  <c r="AS200" i="35"/>
  <c r="AP81" i="35"/>
  <c r="AT97" i="35"/>
  <c r="AQ112" i="35"/>
  <c r="AQ120" i="35"/>
  <c r="AT128" i="35"/>
  <c r="AU144" i="35"/>
  <c r="AS151" i="35"/>
  <c r="AU160" i="35"/>
  <c r="AT192" i="35"/>
  <c r="AT200" i="35"/>
  <c r="AU97" i="35"/>
  <c r="AU104" i="35"/>
  <c r="AU120" i="35"/>
  <c r="AV144" i="35"/>
  <c r="AQ152" i="35"/>
  <c r="AU192" i="35"/>
  <c r="AP92" i="35"/>
  <c r="AU93" i="35"/>
  <c r="AV109" i="35"/>
  <c r="AQ92" i="35"/>
  <c r="AV93" i="35"/>
  <c r="AU117" i="35"/>
  <c r="AV149" i="35"/>
  <c r="AV157" i="35"/>
  <c r="AQ164" i="35"/>
  <c r="AT77" i="35"/>
  <c r="AR92" i="35"/>
  <c r="AV117" i="35"/>
  <c r="AV125" i="35"/>
  <c r="AQ132" i="35"/>
  <c r="AV164" i="35"/>
  <c r="AS291" i="35"/>
  <c r="AS92" i="35"/>
  <c r="AQ100" i="35"/>
  <c r="AV132" i="35"/>
  <c r="AT291" i="35"/>
  <c r="AR112" i="35"/>
  <c r="AS112" i="35"/>
  <c r="AR120" i="35"/>
  <c r="AU128" i="35"/>
  <c r="AV152" i="35"/>
  <c r="AR159" i="35"/>
  <c r="AR167" i="35"/>
  <c r="AR50" i="35"/>
  <c r="AR58" i="35"/>
  <c r="AR66" i="35"/>
  <c r="AQ74" i="35"/>
  <c r="AU82" i="35"/>
  <c r="AQ88" i="35"/>
  <c r="AS90" i="35"/>
  <c r="AQ97" i="35"/>
  <c r="AS98" i="35"/>
  <c r="AV105" i="35"/>
  <c r="AT112" i="35"/>
  <c r="AP114" i="35"/>
  <c r="AS120" i="35"/>
  <c r="AV121" i="35"/>
  <c r="AV122" i="35"/>
  <c r="AV128" i="35"/>
  <c r="AQ130" i="35"/>
  <c r="AS137" i="35"/>
  <c r="AT138" i="35"/>
  <c r="AT143" i="35"/>
  <c r="AQ145" i="35"/>
  <c r="AS146" i="35"/>
  <c r="AP153" i="35"/>
  <c r="AR154" i="35"/>
  <c r="AV159" i="35"/>
  <c r="AS161" i="35"/>
  <c r="AS162" i="35"/>
  <c r="AS167" i="35"/>
  <c r="AQ169" i="35"/>
  <c r="AS170" i="35"/>
  <c r="AT178" i="35"/>
  <c r="AP186" i="35"/>
  <c r="AP191" i="35"/>
  <c r="AP199" i="35"/>
  <c r="AV50" i="35"/>
  <c r="AS58" i="35"/>
  <c r="AS66" i="35"/>
  <c r="AR74" i="35"/>
  <c r="AV82" i="35"/>
  <c r="AR89" i="35"/>
  <c r="AT90" i="35"/>
  <c r="AR97" i="35"/>
  <c r="AT98" i="35"/>
  <c r="AT104" i="35"/>
  <c r="AW106" i="35"/>
  <c r="AU112" i="35"/>
  <c r="AT120" i="35"/>
  <c r="AP129" i="35"/>
  <c r="AQ136" i="35"/>
  <c r="AT137" i="35"/>
  <c r="AU143" i="35"/>
  <c r="AR145" i="35"/>
  <c r="AQ153" i="35"/>
  <c r="AQ160" i="35"/>
  <c r="AT161" i="35"/>
  <c r="AT167" i="35"/>
  <c r="AT169" i="35"/>
  <c r="AQ199" i="35"/>
  <c r="AS86" i="35"/>
  <c r="AT151" i="35"/>
  <c r="AR87" i="35"/>
  <c r="AT94" i="35"/>
  <c r="AU110" i="35"/>
  <c r="AU151" i="35"/>
  <c r="AQ191" i="35"/>
  <c r="AU94" i="35"/>
  <c r="AV110" i="35"/>
  <c r="AR127" i="35"/>
  <c r="AU135" i="35"/>
  <c r="AW191" i="35"/>
  <c r="AR111" i="35"/>
  <c r="AS127" i="35"/>
  <c r="AV135" i="35"/>
  <c r="AS143" i="35"/>
  <c r="AC45" i="35" a="1"/>
  <c r="AC45" i="35" s="1"/>
  <c r="AE45" i="35" a="1"/>
  <c r="AE45" i="35" s="1"/>
  <c r="AF45" i="35" a="1"/>
  <c r="AF45" i="35" s="1"/>
  <c r="AG45" i="35" a="1"/>
  <c r="AG45" i="35" s="1"/>
  <c r="AH45" i="35" a="1"/>
  <c r="AH45" i="35" s="1"/>
  <c r="AI45" i="35" a="1"/>
  <c r="AI45" i="35" s="1"/>
  <c r="AR244" i="35"/>
  <c r="AS245" i="35"/>
  <c r="AJ45" i="35" a="1"/>
  <c r="AJ45" i="35" s="1"/>
  <c r="AW78" i="35"/>
  <c r="AW94" i="35"/>
  <c r="AR79" i="35"/>
  <c r="AR119" i="35"/>
  <c r="AU142" i="35"/>
  <c r="AQ104" i="35"/>
  <c r="AT111" i="35"/>
  <c r="AS119" i="35"/>
  <c r="AR135" i="35"/>
  <c r="AV142" i="35"/>
  <c r="AS159" i="35"/>
  <c r="AT191" i="35"/>
  <c r="AU199" i="35"/>
  <c r="AU95" i="35"/>
  <c r="AS50" i="35"/>
  <c r="AV95" i="35"/>
  <c r="AT50" i="35"/>
  <c r="AU58" i="35"/>
  <c r="AV66" i="35"/>
  <c r="AW74" i="35"/>
  <c r="AQ80" i="35"/>
  <c r="AS82" i="35"/>
  <c r="AP89" i="35"/>
  <c r="AP90" i="35"/>
  <c r="AV98" i="35"/>
  <c r="AR104" i="35"/>
  <c r="AS105" i="35"/>
  <c r="AS106" i="35"/>
  <c r="AU111" i="35"/>
  <c r="AP113" i="35"/>
  <c r="AT119" i="35"/>
  <c r="AR128" i="35"/>
  <c r="AS129" i="35"/>
  <c r="AS135" i="35"/>
  <c r="AU136" i="35"/>
  <c r="AS144" i="35"/>
  <c r="AT145" i="35"/>
  <c r="AR152" i="35"/>
  <c r="AS153" i="35"/>
  <c r="AT159" i="35"/>
  <c r="AQ168" i="35"/>
  <c r="AR169" i="35"/>
  <c r="AP185" i="35"/>
  <c r="AU191" i="35"/>
  <c r="AT193" i="35"/>
  <c r="AV199" i="35"/>
  <c r="AS111" i="35"/>
  <c r="AD45" i="35" a="1"/>
  <c r="AD45" i="35" s="1"/>
  <c r="AW48" i="35"/>
  <c r="AW49" i="35"/>
  <c r="AW51" i="35"/>
  <c r="AW52" i="35"/>
  <c r="AW53" i="35"/>
  <c r="AW54" i="35"/>
  <c r="AW55" i="35"/>
  <c r="AW56" i="35"/>
  <c r="AW57" i="35"/>
  <c r="AW59" i="35"/>
  <c r="AW60" i="35"/>
  <c r="AW61" i="35"/>
  <c r="AW62" i="35"/>
  <c r="AW63" i="35"/>
  <c r="AW64" i="35"/>
  <c r="AW65" i="35"/>
  <c r="AW67" i="35"/>
  <c r="AW68" i="35"/>
  <c r="AW69" i="35"/>
  <c r="AW70" i="35"/>
  <c r="AW71" i="35"/>
  <c r="AW72" i="35"/>
  <c r="AW73" i="35"/>
  <c r="AW75" i="35"/>
  <c r="AW76" i="35"/>
  <c r="AV91" i="35"/>
  <c r="AU91" i="35"/>
  <c r="AV99" i="35"/>
  <c r="AU99" i="35"/>
  <c r="AT99" i="35"/>
  <c r="AR103" i="35"/>
  <c r="AQ103" i="35"/>
  <c r="AP103" i="35"/>
  <c r="AU124" i="35"/>
  <c r="AT124" i="35"/>
  <c r="AS124" i="35"/>
  <c r="AR124" i="35"/>
  <c r="AS134" i="35"/>
  <c r="AR134" i="35"/>
  <c r="AQ134" i="35"/>
  <c r="AP134" i="35"/>
  <c r="AU156" i="35"/>
  <c r="AT156" i="35"/>
  <c r="AS156" i="35"/>
  <c r="AR156" i="35"/>
  <c r="AS166" i="35"/>
  <c r="AR166" i="35"/>
  <c r="AQ166" i="35"/>
  <c r="AP166" i="35"/>
  <c r="AS182" i="35"/>
  <c r="AT182" i="35"/>
  <c r="AR182" i="35"/>
  <c r="AQ182" i="35"/>
  <c r="AP182" i="35"/>
  <c r="AW182" i="35"/>
  <c r="AV295" i="35"/>
  <c r="AU295" i="35"/>
  <c r="AT295" i="35"/>
  <c r="AW295" i="35"/>
  <c r="AS295" i="35"/>
  <c r="AR295" i="35"/>
  <c r="AQ295" i="35"/>
  <c r="AP295" i="35"/>
  <c r="AP91" i="35"/>
  <c r="AP99" i="35"/>
  <c r="AS103" i="35"/>
  <c r="AU108" i="35"/>
  <c r="AT108" i="35"/>
  <c r="AS108" i="35"/>
  <c r="AP124" i="35"/>
  <c r="AV131" i="35"/>
  <c r="AU131" i="35"/>
  <c r="AT131" i="35"/>
  <c r="AS131" i="35"/>
  <c r="AT134" i="35"/>
  <c r="AT141" i="35"/>
  <c r="AS141" i="35"/>
  <c r="AR141" i="35"/>
  <c r="AQ141" i="35"/>
  <c r="AP156" i="35"/>
  <c r="AV163" i="35"/>
  <c r="AU163" i="35"/>
  <c r="AT163" i="35"/>
  <c r="AS163" i="35"/>
  <c r="AT166" i="35"/>
  <c r="AQ176" i="35"/>
  <c r="AT176" i="35"/>
  <c r="AS176" i="35"/>
  <c r="AR176" i="35"/>
  <c r="AP176" i="35"/>
  <c r="AW176" i="35"/>
  <c r="AU182" i="35"/>
  <c r="AP48" i="35"/>
  <c r="AP51" i="35"/>
  <c r="AP53" i="35"/>
  <c r="AP54" i="35"/>
  <c r="AP55" i="35"/>
  <c r="AP56" i="35"/>
  <c r="AQ57" i="35"/>
  <c r="AP59" i="35"/>
  <c r="AP60" i="35"/>
  <c r="AP61" i="35"/>
  <c r="AP62" i="35"/>
  <c r="AP63" i="35"/>
  <c r="AP64" i="35"/>
  <c r="AQ65" i="35"/>
  <c r="AP67" i="35"/>
  <c r="AP68" i="35"/>
  <c r="AP69" i="35"/>
  <c r="AP70" i="35"/>
  <c r="AP71" i="35"/>
  <c r="AP72" i="35"/>
  <c r="AQ73" i="35"/>
  <c r="AP75" i="35"/>
  <c r="AP76" i="35"/>
  <c r="AP77" i="35"/>
  <c r="AP78" i="35"/>
  <c r="AP79" i="35"/>
  <c r="AP80" i="35"/>
  <c r="AQ81" i="35"/>
  <c r="AP83" i="35"/>
  <c r="AP84" i="35"/>
  <c r="AP85" i="35"/>
  <c r="AP86" i="35"/>
  <c r="AP87" i="35"/>
  <c r="AP88" i="35"/>
  <c r="AQ91" i="35"/>
  <c r="AQ99" i="35"/>
  <c r="AS102" i="35"/>
  <c r="AR102" i="35"/>
  <c r="AQ102" i="35"/>
  <c r="AT103" i="35"/>
  <c r="AP108" i="35"/>
  <c r="AU116" i="35"/>
  <c r="AT116" i="35"/>
  <c r="AS116" i="35"/>
  <c r="AR116" i="35"/>
  <c r="AQ124" i="35"/>
  <c r="AS126" i="35"/>
  <c r="AR126" i="35"/>
  <c r="AQ126" i="35"/>
  <c r="AP126" i="35"/>
  <c r="AP131" i="35"/>
  <c r="AU134" i="35"/>
  <c r="AP141" i="35"/>
  <c r="AU148" i="35"/>
  <c r="AT148" i="35"/>
  <c r="AS148" i="35"/>
  <c r="AR148" i="35"/>
  <c r="AQ156" i="35"/>
  <c r="AS158" i="35"/>
  <c r="AR158" i="35"/>
  <c r="AQ158" i="35"/>
  <c r="AP158" i="35"/>
  <c r="AP163" i="35"/>
  <c r="AU166" i="35"/>
  <c r="AU176" i="35"/>
  <c r="AU180" i="35"/>
  <c r="AS180" i="35"/>
  <c r="AR180" i="35"/>
  <c r="AQ180" i="35"/>
  <c r="AP180" i="35"/>
  <c r="AW180" i="35"/>
  <c r="AV182" i="35"/>
  <c r="AT217" i="35"/>
  <c r="AQ217" i="35"/>
  <c r="AP217" i="35"/>
  <c r="AV217" i="35"/>
  <c r="AW217" i="35"/>
  <c r="AU217" i="35"/>
  <c r="AS217" i="35"/>
  <c r="AV271" i="35"/>
  <c r="AU271" i="35"/>
  <c r="AT271" i="35"/>
  <c r="AW271" i="35"/>
  <c r="AS271" i="35"/>
  <c r="AR271" i="35"/>
  <c r="AQ271" i="35"/>
  <c r="AP271" i="35"/>
  <c r="AQ49" i="35"/>
  <c r="AP52" i="35"/>
  <c r="AR48" i="35"/>
  <c r="AR49" i="35"/>
  <c r="AQ51" i="35"/>
  <c r="AQ52" i="35"/>
  <c r="AQ53" i="35"/>
  <c r="AQ54" i="35"/>
  <c r="AQ55" i="35"/>
  <c r="AR56" i="35"/>
  <c r="AR57" i="35"/>
  <c r="AQ59" i="35"/>
  <c r="AQ60" i="35"/>
  <c r="AQ61" i="35"/>
  <c r="AQ62" i="35"/>
  <c r="AQ63" i="35"/>
  <c r="AR64" i="35"/>
  <c r="AR65" i="35"/>
  <c r="AQ67" i="35"/>
  <c r="AQ68" i="35"/>
  <c r="AQ69" i="35"/>
  <c r="AQ70" i="35"/>
  <c r="AQ71" i="35"/>
  <c r="AR72" i="35"/>
  <c r="AR73" i="35"/>
  <c r="AQ75" i="35"/>
  <c r="AQ76" i="35"/>
  <c r="AQ77" i="35"/>
  <c r="AQ78" i="35"/>
  <c r="AQ79" i="35"/>
  <c r="AR80" i="35"/>
  <c r="AR81" i="35"/>
  <c r="AQ83" i="35"/>
  <c r="AQ84" i="35"/>
  <c r="AQ85" i="35"/>
  <c r="AQ86" i="35"/>
  <c r="AQ87" i="35"/>
  <c r="AR88" i="35"/>
  <c r="AR91" i="35"/>
  <c r="AQ96" i="35"/>
  <c r="AP96" i="35"/>
  <c r="AW96" i="35"/>
  <c r="AR99" i="35"/>
  <c r="AP102" i="35"/>
  <c r="AU103" i="35"/>
  <c r="AV107" i="35"/>
  <c r="AU107" i="35"/>
  <c r="AT107" i="35"/>
  <c r="AQ108" i="35"/>
  <c r="AP116" i="35"/>
  <c r="AV123" i="35"/>
  <c r="AU123" i="35"/>
  <c r="AT123" i="35"/>
  <c r="AS123" i="35"/>
  <c r="AV124" i="35"/>
  <c r="AT126" i="35"/>
  <c r="AQ131" i="35"/>
  <c r="AT133" i="35"/>
  <c r="AS133" i="35"/>
  <c r="AR133" i="35"/>
  <c r="AQ133" i="35"/>
  <c r="AV134" i="35"/>
  <c r="AU141" i="35"/>
  <c r="AP148" i="35"/>
  <c r="AV155" i="35"/>
  <c r="AU155" i="35"/>
  <c r="AT155" i="35"/>
  <c r="AS155" i="35"/>
  <c r="AV156" i="35"/>
  <c r="AT158" i="35"/>
  <c r="AQ163" i="35"/>
  <c r="AT165" i="35"/>
  <c r="AS165" i="35"/>
  <c r="AR165" i="35"/>
  <c r="AQ165" i="35"/>
  <c r="AV166" i="35"/>
  <c r="AU172" i="35"/>
  <c r="AT172" i="35"/>
  <c r="AS172" i="35"/>
  <c r="AR172" i="35"/>
  <c r="AP172" i="35"/>
  <c r="AS174" i="35"/>
  <c r="AT174" i="35"/>
  <c r="AR174" i="35"/>
  <c r="AQ174" i="35"/>
  <c r="AP174" i="35"/>
  <c r="AW174" i="35"/>
  <c r="AV176" i="35"/>
  <c r="AT180" i="35"/>
  <c r="AR183" i="35"/>
  <c r="AT183" i="35"/>
  <c r="AS183" i="35"/>
  <c r="AQ183" i="35"/>
  <c r="AP183" i="35"/>
  <c r="AW183" i="35"/>
  <c r="AU213" i="35"/>
  <c r="AT213" i="35"/>
  <c r="AQ213" i="35"/>
  <c r="AW213" i="35"/>
  <c r="AV213" i="35"/>
  <c r="AS213" i="35"/>
  <c r="AR213" i="35"/>
  <c r="AR217" i="35"/>
  <c r="AS48" i="35"/>
  <c r="AR52" i="35"/>
  <c r="AS55" i="35"/>
  <c r="AR60" i="35"/>
  <c r="AR61" i="35"/>
  <c r="AS63" i="35"/>
  <c r="AS64" i="35"/>
  <c r="AR67" i="35"/>
  <c r="AR68" i="35"/>
  <c r="AR69" i="35"/>
  <c r="AR70" i="35"/>
  <c r="AS71" i="35"/>
  <c r="AS72" i="35"/>
  <c r="AS73" i="35"/>
  <c r="AR75" i="35"/>
  <c r="AR76" i="35"/>
  <c r="AR77" i="35"/>
  <c r="AR78" i="35"/>
  <c r="AS79" i="35"/>
  <c r="AS80" i="35"/>
  <c r="AS81" i="35"/>
  <c r="AR83" i="35"/>
  <c r="AR84" i="35"/>
  <c r="AR85" i="35"/>
  <c r="AR86" i="35"/>
  <c r="AS87" i="35"/>
  <c r="AS88" i="35"/>
  <c r="AS91" i="35"/>
  <c r="AR95" i="35"/>
  <c r="AQ95" i="35"/>
  <c r="AR96" i="35"/>
  <c r="AS99" i="35"/>
  <c r="AT101" i="35"/>
  <c r="AS101" i="35"/>
  <c r="AR101" i="35"/>
  <c r="AT102" i="35"/>
  <c r="AV103" i="35"/>
  <c r="AP107" i="35"/>
  <c r="AR108" i="35"/>
  <c r="AQ116" i="35"/>
  <c r="AS118" i="35"/>
  <c r="AR118" i="35"/>
  <c r="AQ118" i="35"/>
  <c r="AP118" i="35"/>
  <c r="AP123" i="35"/>
  <c r="AW124" i="35"/>
  <c r="AU126" i="35"/>
  <c r="AR131" i="35"/>
  <c r="AP133" i="35"/>
  <c r="AW134" i="35"/>
  <c r="AU140" i="35"/>
  <c r="AT140" i="35"/>
  <c r="AS140" i="35"/>
  <c r="AR140" i="35"/>
  <c r="AV141" i="35"/>
  <c r="AQ148" i="35"/>
  <c r="AS150" i="35"/>
  <c r="AR150" i="35"/>
  <c r="AQ150" i="35"/>
  <c r="AP150" i="35"/>
  <c r="AP155" i="35"/>
  <c r="AW156" i="35"/>
  <c r="AU158" i="35"/>
  <c r="AR163" i="35"/>
  <c r="AP165" i="35"/>
  <c r="AW166" i="35"/>
  <c r="AQ172" i="35"/>
  <c r="AU174" i="35"/>
  <c r="AP177" i="35"/>
  <c r="AT177" i="35"/>
  <c r="AS177" i="35"/>
  <c r="AR177" i="35"/>
  <c r="AQ177" i="35"/>
  <c r="AW177" i="35"/>
  <c r="AV180" i="35"/>
  <c r="AU183" i="35"/>
  <c r="AU197" i="35"/>
  <c r="AT197" i="35"/>
  <c r="AW197" i="35"/>
  <c r="AV197" i="35"/>
  <c r="AS197" i="35"/>
  <c r="AR197" i="35"/>
  <c r="AQ197" i="35"/>
  <c r="AP197" i="35"/>
  <c r="AV204" i="35"/>
  <c r="AU204" i="35"/>
  <c r="AR204" i="35"/>
  <c r="AW204" i="35"/>
  <c r="AT204" i="35"/>
  <c r="AS204" i="35"/>
  <c r="AQ204" i="35"/>
  <c r="AR208" i="35"/>
  <c r="AQ208" i="35"/>
  <c r="AV208" i="35"/>
  <c r="AW208" i="35"/>
  <c r="AU208" i="35"/>
  <c r="AT208" i="35"/>
  <c r="AS208" i="35"/>
  <c r="AP213" i="35"/>
  <c r="AS49" i="35"/>
  <c r="AR51" i="35"/>
  <c r="AR53" i="35"/>
  <c r="AR54" i="35"/>
  <c r="AS56" i="35"/>
  <c r="AS57" i="35"/>
  <c r="AR59" i="35"/>
  <c r="AR62" i="35"/>
  <c r="AS65" i="35"/>
  <c r="AT48" i="35"/>
  <c r="AT49" i="35"/>
  <c r="AS51" i="35"/>
  <c r="AS52" i="35"/>
  <c r="AS53" i="35"/>
  <c r="AT54" i="35"/>
  <c r="AT55" i="35"/>
  <c r="AT56" i="35"/>
  <c r="AT57" i="35"/>
  <c r="AS59" i="35"/>
  <c r="AS60" i="35"/>
  <c r="AS61" i="35"/>
  <c r="AT62" i="35"/>
  <c r="AT63" i="35"/>
  <c r="AT64" i="35"/>
  <c r="AT65" i="35"/>
  <c r="AS67" i="35"/>
  <c r="AS68" i="35"/>
  <c r="AS69" i="35"/>
  <c r="AT70" i="35"/>
  <c r="AT71" i="35"/>
  <c r="AT72" i="35"/>
  <c r="AT73" i="35"/>
  <c r="AS75" i="35"/>
  <c r="AS76" i="35"/>
  <c r="AS77" i="35"/>
  <c r="AT78" i="35"/>
  <c r="AT79" i="35"/>
  <c r="AT80" i="35"/>
  <c r="AT81" i="35"/>
  <c r="AS83" i="35"/>
  <c r="AS84" i="35"/>
  <c r="AS85" i="35"/>
  <c r="AT86" i="35"/>
  <c r="AT87" i="35"/>
  <c r="AT88" i="35"/>
  <c r="AT91" i="35"/>
  <c r="AS94" i="35"/>
  <c r="AR94" i="35"/>
  <c r="AP95" i="35"/>
  <c r="AS96" i="35"/>
  <c r="AW99" i="35"/>
  <c r="AP101" i="35"/>
  <c r="AU102" i="35"/>
  <c r="AW103" i="35"/>
  <c r="AQ107" i="35"/>
  <c r="AV108" i="35"/>
  <c r="AS110" i="35"/>
  <c r="AR110" i="35"/>
  <c r="AQ110" i="35"/>
  <c r="AV115" i="35"/>
  <c r="AU115" i="35"/>
  <c r="AT115" i="35"/>
  <c r="AS115" i="35"/>
  <c r="AV116" i="35"/>
  <c r="AT118" i="35"/>
  <c r="AQ123" i="35"/>
  <c r="AT125" i="35"/>
  <c r="AS125" i="35"/>
  <c r="AR125" i="35"/>
  <c r="AQ125" i="35"/>
  <c r="AV126" i="35"/>
  <c r="AW131" i="35"/>
  <c r="AU133" i="35"/>
  <c r="AP140" i="35"/>
  <c r="AW141" i="35"/>
  <c r="AV147" i="35"/>
  <c r="AU147" i="35"/>
  <c r="AT147" i="35"/>
  <c r="AS147" i="35"/>
  <c r="AV148" i="35"/>
  <c r="AT150" i="35"/>
  <c r="AQ155" i="35"/>
  <c r="AT157" i="35"/>
  <c r="AS157" i="35"/>
  <c r="AR157" i="35"/>
  <c r="AQ157" i="35"/>
  <c r="AV158" i="35"/>
  <c r="AW163" i="35"/>
  <c r="AU165" i="35"/>
  <c r="AV172" i="35"/>
  <c r="AV174" i="35"/>
  <c r="AU177" i="35"/>
  <c r="AT181" i="35"/>
  <c r="AS181" i="35"/>
  <c r="AR181" i="35"/>
  <c r="AQ181" i="35"/>
  <c r="AP181" i="35"/>
  <c r="AW181" i="35"/>
  <c r="AV183" i="35"/>
  <c r="AT198" i="35"/>
  <c r="AS198" i="35"/>
  <c r="AW198" i="35"/>
  <c r="AV198" i="35"/>
  <c r="AU198" i="35"/>
  <c r="AR198" i="35"/>
  <c r="AQ198" i="35"/>
  <c r="AP204" i="35"/>
  <c r="AP208" i="35"/>
  <c r="AU54" i="35"/>
  <c r="AU56" i="35"/>
  <c r="AT60" i="35"/>
  <c r="AU62" i="35"/>
  <c r="AU64" i="35"/>
  <c r="AU65" i="35"/>
  <c r="AT67" i="35"/>
  <c r="AT68" i="35"/>
  <c r="AU70" i="35"/>
  <c r="AU71" i="35"/>
  <c r="AU72" i="35"/>
  <c r="AU73" i="35"/>
  <c r="AT75" i="35"/>
  <c r="AU77" i="35"/>
  <c r="AU78" i="35"/>
  <c r="AU79" i="35"/>
  <c r="AU80" i="35"/>
  <c r="AU81" i="35"/>
  <c r="AT83" i="35"/>
  <c r="AT84" i="35"/>
  <c r="AU85" i="35"/>
  <c r="AU86" i="35"/>
  <c r="AU87" i="35"/>
  <c r="AU88" i="35"/>
  <c r="AW91" i="35"/>
  <c r="AT93" i="35"/>
  <c r="AS93" i="35"/>
  <c r="AP94" i="35"/>
  <c r="AS95" i="35"/>
  <c r="AT96" i="35"/>
  <c r="AU100" i="35"/>
  <c r="AT100" i="35"/>
  <c r="AS100" i="35"/>
  <c r="AQ101" i="35"/>
  <c r="AV102" i="35"/>
  <c r="AR107" i="35"/>
  <c r="AW108" i="35"/>
  <c r="AP110" i="35"/>
  <c r="AP115" i="35"/>
  <c r="AW116" i="35"/>
  <c r="AU118" i="35"/>
  <c r="AR123" i="35"/>
  <c r="AP125" i="35"/>
  <c r="AW126" i="35"/>
  <c r="AU132" i="35"/>
  <c r="AT132" i="35"/>
  <c r="AS132" i="35"/>
  <c r="AR132" i="35"/>
  <c r="AV133" i="35"/>
  <c r="AQ140" i="35"/>
  <c r="AS142" i="35"/>
  <c r="AR142" i="35"/>
  <c r="AQ142" i="35"/>
  <c r="AP142" i="35"/>
  <c r="AP147" i="35"/>
  <c r="AW148" i="35"/>
  <c r="AU150" i="35"/>
  <c r="AR155" i="35"/>
  <c r="AP157" i="35"/>
  <c r="AW158" i="35"/>
  <c r="AU164" i="35"/>
  <c r="AT164" i="35"/>
  <c r="AS164" i="35"/>
  <c r="AR164" i="35"/>
  <c r="AV165" i="35"/>
  <c r="AW172" i="35"/>
  <c r="AR175" i="35"/>
  <c r="AT175" i="35"/>
  <c r="AS175" i="35"/>
  <c r="AQ175" i="35"/>
  <c r="AP175" i="35"/>
  <c r="AW175" i="35"/>
  <c r="AV177" i="35"/>
  <c r="AU181" i="35"/>
  <c r="AQ184" i="35"/>
  <c r="AT184" i="35"/>
  <c r="AS184" i="35"/>
  <c r="AR184" i="35"/>
  <c r="AP184" i="35"/>
  <c r="AW184" i="35"/>
  <c r="AU189" i="35"/>
  <c r="AT189" i="35"/>
  <c r="AW189" i="35"/>
  <c r="AV189" i="35"/>
  <c r="AS189" i="35"/>
  <c r="AR189" i="35"/>
  <c r="AQ189" i="35"/>
  <c r="AP189" i="35"/>
  <c r="AP198" i="35"/>
  <c r="AT233" i="35"/>
  <c r="AS233" i="35"/>
  <c r="AV233" i="35"/>
  <c r="AU233" i="35"/>
  <c r="AR233" i="35"/>
  <c r="AQ233" i="35"/>
  <c r="AP233" i="35"/>
  <c r="AW233" i="35"/>
  <c r="AV247" i="35"/>
  <c r="AU247" i="35"/>
  <c r="AT247" i="35"/>
  <c r="AW247" i="35"/>
  <c r="AS247" i="35"/>
  <c r="AR247" i="35"/>
  <c r="AQ247" i="35"/>
  <c r="AP247" i="35"/>
  <c r="AU48" i="35"/>
  <c r="AU49" i="35"/>
  <c r="AT51" i="35"/>
  <c r="AT52" i="35"/>
  <c r="AU53" i="35"/>
  <c r="AU55" i="35"/>
  <c r="AU57" i="35"/>
  <c r="AT59" i="35"/>
  <c r="AU61" i="35"/>
  <c r="AU63" i="35"/>
  <c r="AU69" i="35"/>
  <c r="AT76" i="35"/>
  <c r="AV48" i="35"/>
  <c r="AV49" i="35"/>
  <c r="AU51" i="35"/>
  <c r="AV52" i="35"/>
  <c r="AV53" i="35"/>
  <c r="AV54" i="35"/>
  <c r="AV55" i="35"/>
  <c r="AV56" i="35"/>
  <c r="AV57" i="35"/>
  <c r="AU59" i="35"/>
  <c r="AV60" i="35"/>
  <c r="AV61" i="35"/>
  <c r="AV62" i="35"/>
  <c r="AV63" i="35"/>
  <c r="AV64" i="35"/>
  <c r="AV65" i="35"/>
  <c r="AU67" i="35"/>
  <c r="AV68" i="35"/>
  <c r="AV69" i="35"/>
  <c r="AV70" i="35"/>
  <c r="AV71" i="35"/>
  <c r="AV72" i="35"/>
  <c r="AV73" i="35"/>
  <c r="AU75" i="35"/>
  <c r="AV76" i="35"/>
  <c r="AV77" i="35"/>
  <c r="AV78" i="35"/>
  <c r="AV79" i="35"/>
  <c r="AV80" i="35"/>
  <c r="AV81" i="35"/>
  <c r="AU83" i="35"/>
  <c r="AV84" i="35"/>
  <c r="AV85" i="35"/>
  <c r="AV86" i="35"/>
  <c r="AV87" i="35"/>
  <c r="AV88" i="35"/>
  <c r="AU92" i="35"/>
  <c r="AT92" i="35"/>
  <c r="AP93" i="35"/>
  <c r="AQ94" i="35"/>
  <c r="AT95" i="35"/>
  <c r="AU96" i="35"/>
  <c r="AP100" i="35"/>
  <c r="AU101" i="35"/>
  <c r="AW102" i="35"/>
  <c r="AS107" i="35"/>
  <c r="AT109" i="35"/>
  <c r="AS109" i="35"/>
  <c r="AR109" i="35"/>
  <c r="AT110" i="35"/>
  <c r="AQ115" i="35"/>
  <c r="AT117" i="35"/>
  <c r="AS117" i="35"/>
  <c r="AR117" i="35"/>
  <c r="AQ117" i="35"/>
  <c r="AV118" i="35"/>
  <c r="AW123" i="35"/>
  <c r="AU125" i="35"/>
  <c r="AP132" i="35"/>
  <c r="AW133" i="35"/>
  <c r="AV139" i="35"/>
  <c r="AU139" i="35"/>
  <c r="AT139" i="35"/>
  <c r="AS139" i="35"/>
  <c r="AV140" i="35"/>
  <c r="AT142" i="35"/>
  <c r="AQ147" i="35"/>
  <c r="AT149" i="35"/>
  <c r="AS149" i="35"/>
  <c r="AR149" i="35"/>
  <c r="AQ149" i="35"/>
  <c r="AV150" i="35"/>
  <c r="AW155" i="35"/>
  <c r="AU157" i="35"/>
  <c r="AP164" i="35"/>
  <c r="AW165" i="35"/>
  <c r="AV171" i="35"/>
  <c r="AU171" i="35"/>
  <c r="AT171" i="35"/>
  <c r="AS171" i="35"/>
  <c r="AQ171" i="35"/>
  <c r="AU175" i="35"/>
  <c r="AV179" i="35"/>
  <c r="AS179" i="35"/>
  <c r="AR179" i="35"/>
  <c r="AQ179" i="35"/>
  <c r="AP179" i="35"/>
  <c r="AW179" i="35"/>
  <c r="AV181" i="35"/>
  <c r="AU184" i="35"/>
  <c r="AT190" i="35"/>
  <c r="AS190" i="35"/>
  <c r="AW190" i="35"/>
  <c r="AV190" i="35"/>
  <c r="AU190" i="35"/>
  <c r="AR190" i="35"/>
  <c r="AQ190" i="35"/>
  <c r="AR243" i="35"/>
  <c r="AQ243" i="35"/>
  <c r="AP243" i="35"/>
  <c r="AW243" i="35"/>
  <c r="AV243" i="35"/>
  <c r="AU243" i="35"/>
  <c r="AU248" i="35"/>
  <c r="AT248" i="35"/>
  <c r="AS248" i="35"/>
  <c r="AW248" i="35"/>
  <c r="AV248" i="35"/>
  <c r="AR248" i="35"/>
  <c r="AW173" i="35"/>
  <c r="AW185" i="35"/>
  <c r="AV188" i="35"/>
  <c r="AU188" i="35"/>
  <c r="AV196" i="35"/>
  <c r="AU196" i="35"/>
  <c r="AV212" i="35"/>
  <c r="AU212" i="35"/>
  <c r="AR212" i="35"/>
  <c r="AR216" i="35"/>
  <c r="AQ216" i="35"/>
  <c r="AV216" i="35"/>
  <c r="AS243" i="35"/>
  <c r="AP248" i="35"/>
  <c r="AS234" i="35"/>
  <c r="AR234" i="35"/>
  <c r="AW234" i="35"/>
  <c r="AV234" i="35"/>
  <c r="AU234" i="35"/>
  <c r="AT234" i="35"/>
  <c r="AQ234" i="35"/>
  <c r="AT243" i="35"/>
  <c r="AQ248" i="35"/>
  <c r="AS290" i="35"/>
  <c r="AR290" i="35"/>
  <c r="AQ290" i="35"/>
  <c r="AW290" i="35"/>
  <c r="AV290" i="35"/>
  <c r="AU290" i="35"/>
  <c r="AT290" i="35"/>
  <c r="AW111" i="35"/>
  <c r="AW119" i="35"/>
  <c r="AW127" i="35"/>
  <c r="AW135" i="35"/>
  <c r="AW143" i="35"/>
  <c r="AW151" i="35"/>
  <c r="AW159" i="35"/>
  <c r="AW167" i="35"/>
  <c r="AQ173" i="35"/>
  <c r="AQ185" i="35"/>
  <c r="AQ188" i="35"/>
  <c r="AQ196" i="35"/>
  <c r="AQ201" i="35"/>
  <c r="AP201" i="35"/>
  <c r="AU201" i="35"/>
  <c r="AT206" i="35"/>
  <c r="AS206" i="35"/>
  <c r="AP206" i="35"/>
  <c r="AQ212" i="35"/>
  <c r="AS216" i="35"/>
  <c r="AP234" i="35"/>
  <c r="AS266" i="35"/>
  <c r="AR266" i="35"/>
  <c r="AQ266" i="35"/>
  <c r="AW266" i="35"/>
  <c r="AV266" i="35"/>
  <c r="AU266" i="35"/>
  <c r="AT266" i="35"/>
  <c r="AP290" i="35"/>
  <c r="AW104" i="35"/>
  <c r="AP111" i="35"/>
  <c r="AW112" i="35"/>
  <c r="AP119" i="35"/>
  <c r="AW120" i="35"/>
  <c r="AP127" i="35"/>
  <c r="AW128" i="35"/>
  <c r="AP135" i="35"/>
  <c r="AW136" i="35"/>
  <c r="AP143" i="35"/>
  <c r="AW144" i="35"/>
  <c r="AP151" i="35"/>
  <c r="AW152" i="35"/>
  <c r="AP159" i="35"/>
  <c r="AW160" i="35"/>
  <c r="AP167" i="35"/>
  <c r="AW168" i="35"/>
  <c r="AR173" i="35"/>
  <c r="AR185" i="35"/>
  <c r="AR188" i="35"/>
  <c r="AQ193" i="35"/>
  <c r="AP193" i="35"/>
  <c r="AR196" i="35"/>
  <c r="AR201" i="35"/>
  <c r="AQ206" i="35"/>
  <c r="AS212" i="35"/>
  <c r="AT216" i="35"/>
  <c r="AS218" i="35"/>
  <c r="AQ218" i="35"/>
  <c r="AP218" i="35"/>
  <c r="AV218" i="35"/>
  <c r="AR235" i="35"/>
  <c r="AQ235" i="35"/>
  <c r="AW235" i="35"/>
  <c r="AV235" i="35"/>
  <c r="AU235" i="35"/>
  <c r="AT235" i="35"/>
  <c r="AT241" i="35"/>
  <c r="AS241" i="35"/>
  <c r="AV241" i="35"/>
  <c r="AU241" i="35"/>
  <c r="AR241" i="35"/>
  <c r="AQ241" i="35"/>
  <c r="AP241" i="35"/>
  <c r="AR251" i="35"/>
  <c r="AQ251" i="35"/>
  <c r="AP251" i="35"/>
  <c r="AW251" i="35"/>
  <c r="AV251" i="35"/>
  <c r="AU251" i="35"/>
  <c r="AT251" i="35"/>
  <c r="AS251" i="35"/>
  <c r="AU256" i="35"/>
  <c r="AT256" i="35"/>
  <c r="AS256" i="35"/>
  <c r="AW256" i="35"/>
  <c r="AV256" i="35"/>
  <c r="AR256" i="35"/>
  <c r="AQ256" i="35"/>
  <c r="AP256" i="35"/>
  <c r="AP266" i="35"/>
  <c r="AW89" i="35"/>
  <c r="AW97" i="35"/>
  <c r="AP104" i="35"/>
  <c r="AW105" i="35"/>
  <c r="AQ111" i="35"/>
  <c r="AP112" i="35"/>
  <c r="AW113" i="35"/>
  <c r="AQ119" i="35"/>
  <c r="AP120" i="35"/>
  <c r="AW121" i="35"/>
  <c r="AQ127" i="35"/>
  <c r="AP128" i="35"/>
  <c r="AW129" i="35"/>
  <c r="AQ135" i="35"/>
  <c r="AP136" i="35"/>
  <c r="AW137" i="35"/>
  <c r="AQ143" i="35"/>
  <c r="AP144" i="35"/>
  <c r="AW145" i="35"/>
  <c r="AQ151" i="35"/>
  <c r="AP152" i="35"/>
  <c r="AW153" i="35"/>
  <c r="AQ159" i="35"/>
  <c r="AP160" i="35"/>
  <c r="AW161" i="35"/>
  <c r="AQ167" i="35"/>
  <c r="AP168" i="35"/>
  <c r="AW169" i="35"/>
  <c r="AS173" i="35"/>
  <c r="AS185" i="35"/>
  <c r="AS188" i="35"/>
  <c r="AR192" i="35"/>
  <c r="AQ192" i="35"/>
  <c r="AR193" i="35"/>
  <c r="AS196" i="35"/>
  <c r="AR200" i="35"/>
  <c r="AQ200" i="35"/>
  <c r="AV200" i="35"/>
  <c r="AS201" i="35"/>
  <c r="AU205" i="35"/>
  <c r="AT205" i="35"/>
  <c r="AQ205" i="35"/>
  <c r="AR206" i="35"/>
  <c r="AQ209" i="35"/>
  <c r="AP209" i="35"/>
  <c r="AU209" i="35"/>
  <c r="AT212" i="35"/>
  <c r="AT214" i="35"/>
  <c r="AS214" i="35"/>
  <c r="AP214" i="35"/>
  <c r="AU216" i="35"/>
  <c r="AR218" i="35"/>
  <c r="AP235" i="35"/>
  <c r="AW241" i="35"/>
  <c r="AT257" i="35"/>
  <c r="AS257" i="35"/>
  <c r="AR257" i="35"/>
  <c r="AW257" i="35"/>
  <c r="AV257" i="35"/>
  <c r="AU257" i="35"/>
  <c r="AT185" i="35"/>
  <c r="AT188" i="35"/>
  <c r="AS191" i="35"/>
  <c r="AR191" i="35"/>
  <c r="AP192" i="35"/>
  <c r="AS193" i="35"/>
  <c r="AT196" i="35"/>
  <c r="AS199" i="35"/>
  <c r="AR199" i="35"/>
  <c r="AP200" i="35"/>
  <c r="AT201" i="35"/>
  <c r="AP205" i="35"/>
  <c r="AU206" i="35"/>
  <c r="AR209" i="35"/>
  <c r="AW212" i="35"/>
  <c r="AQ214" i="35"/>
  <c r="AW216" i="35"/>
  <c r="AT218" i="35"/>
  <c r="AS235" i="35"/>
  <c r="AS242" i="35"/>
  <c r="AR242" i="35"/>
  <c r="AW242" i="35"/>
  <c r="AV242" i="35"/>
  <c r="AU242" i="35"/>
  <c r="AT242" i="35"/>
  <c r="AQ242" i="35"/>
  <c r="AP257" i="35"/>
  <c r="AR275" i="35"/>
  <c r="AQ275" i="35"/>
  <c r="AP275" i="35"/>
  <c r="AW275" i="35"/>
  <c r="AV275" i="35"/>
  <c r="AU275" i="35"/>
  <c r="AT275" i="35"/>
  <c r="AU280" i="35"/>
  <c r="AT280" i="35"/>
  <c r="AS280" i="35"/>
  <c r="AW280" i="35"/>
  <c r="AV280" i="35"/>
  <c r="AR280" i="35"/>
  <c r="AQ280" i="35"/>
  <c r="AT289" i="35"/>
  <c r="AS289" i="35"/>
  <c r="AR289" i="35"/>
  <c r="AW207" i="35"/>
  <c r="AW215" i="35"/>
  <c r="AV219" i="35"/>
  <c r="AV220" i="35"/>
  <c r="AV221" i="35"/>
  <c r="AU223" i="35"/>
  <c r="AV224" i="35"/>
  <c r="AV225" i="35"/>
  <c r="AU232" i="35"/>
  <c r="AT232" i="35"/>
  <c r="AU240" i="35"/>
  <c r="AT240" i="35"/>
  <c r="AT265" i="35"/>
  <c r="AS265" i="35"/>
  <c r="AR265" i="35"/>
  <c r="AS274" i="35"/>
  <c r="AR274" i="35"/>
  <c r="AQ274" i="35"/>
  <c r="AV279" i="35"/>
  <c r="AU279" i="35"/>
  <c r="AT279" i="35"/>
  <c r="AR283" i="35"/>
  <c r="AQ283" i="35"/>
  <c r="AP283" i="35"/>
  <c r="AP289" i="35"/>
  <c r="AV231" i="35"/>
  <c r="AU231" i="35"/>
  <c r="AV239" i="35"/>
  <c r="AU239" i="35"/>
  <c r="AS250" i="35"/>
  <c r="AR250" i="35"/>
  <c r="AQ250" i="35"/>
  <c r="AV255" i="35"/>
  <c r="AU255" i="35"/>
  <c r="AT255" i="35"/>
  <c r="AR259" i="35"/>
  <c r="AQ259" i="35"/>
  <c r="AP259" i="35"/>
  <c r="AP279" i="35"/>
  <c r="AS283" i="35"/>
  <c r="AU288" i="35"/>
  <c r="AT288" i="35"/>
  <c r="AS288" i="35"/>
  <c r="AQ289" i="35"/>
  <c r="AP231" i="35"/>
  <c r="AQ232" i="35"/>
  <c r="AP239" i="35"/>
  <c r="AQ240" i="35"/>
  <c r="AP250" i="35"/>
  <c r="AP255" i="35"/>
  <c r="AS259" i="35"/>
  <c r="AU264" i="35"/>
  <c r="AT264" i="35"/>
  <c r="AS264" i="35"/>
  <c r="AQ265" i="35"/>
  <c r="AT273" i="35"/>
  <c r="AS273" i="35"/>
  <c r="AR273" i="35"/>
  <c r="AT274" i="35"/>
  <c r="AQ279" i="35"/>
  <c r="AS282" i="35"/>
  <c r="AR282" i="35"/>
  <c r="AQ282" i="35"/>
  <c r="AT283" i="35"/>
  <c r="AP288" i="35"/>
  <c r="AU289" i="35"/>
  <c r="AT297" i="35"/>
  <c r="AS297" i="35"/>
  <c r="AR297" i="35"/>
  <c r="AV187" i="35"/>
  <c r="AW194" i="35"/>
  <c r="AV195" i="35"/>
  <c r="AW202" i="35"/>
  <c r="AV203" i="35"/>
  <c r="AR207" i="35"/>
  <c r="AW210" i="35"/>
  <c r="AV211" i="35"/>
  <c r="AR215" i="35"/>
  <c r="AP219" i="35"/>
  <c r="AP220" i="35"/>
  <c r="AQ221" i="35"/>
  <c r="AP223" i="35"/>
  <c r="AP224" i="35"/>
  <c r="AP225" i="35"/>
  <c r="AP226" i="35"/>
  <c r="AP227" i="35"/>
  <c r="AP228" i="35"/>
  <c r="AQ231" i="35"/>
  <c r="AR232" i="35"/>
  <c r="AQ239" i="35"/>
  <c r="AR240" i="35"/>
  <c r="AT249" i="35"/>
  <c r="AS249" i="35"/>
  <c r="AR249" i="35"/>
  <c r="AT250" i="35"/>
  <c r="AQ255" i="35"/>
  <c r="AS258" i="35"/>
  <c r="AR258" i="35"/>
  <c r="AQ258" i="35"/>
  <c r="AT259" i="35"/>
  <c r="AP264" i="35"/>
  <c r="AU265" i="35"/>
  <c r="AP273" i="35"/>
  <c r="AU274" i="35"/>
  <c r="AR279" i="35"/>
  <c r="AP282" i="35"/>
  <c r="AU283" i="35"/>
  <c r="AV287" i="35"/>
  <c r="AU287" i="35"/>
  <c r="AT287" i="35"/>
  <c r="AQ288" i="35"/>
  <c r="AV289" i="35"/>
  <c r="AR291" i="35"/>
  <c r="AQ291" i="35"/>
  <c r="AP291" i="35"/>
  <c r="AP297" i="35"/>
  <c r="AQ219" i="35"/>
  <c r="AR220" i="35"/>
  <c r="AR221" i="35"/>
  <c r="AQ223" i="35"/>
  <c r="AQ224" i="35"/>
  <c r="AQ225" i="35"/>
  <c r="AQ226" i="35"/>
  <c r="AQ227" i="35"/>
  <c r="AR228" i="35"/>
  <c r="AR231" i="35"/>
  <c r="AS232" i="35"/>
  <c r="AQ236" i="35"/>
  <c r="AP236" i="35"/>
  <c r="AR239" i="35"/>
  <c r="AS240" i="35"/>
  <c r="AU250" i="35"/>
  <c r="AR255" i="35"/>
  <c r="AU259" i="35"/>
  <c r="AV263" i="35"/>
  <c r="AU263" i="35"/>
  <c r="AT263" i="35"/>
  <c r="AQ264" i="35"/>
  <c r="AV265" i="35"/>
  <c r="AR267" i="35"/>
  <c r="AQ267" i="35"/>
  <c r="AP267" i="35"/>
  <c r="AU272" i="35"/>
  <c r="AT272" i="35"/>
  <c r="AS272" i="35"/>
  <c r="AQ273" i="35"/>
  <c r="AV274" i="35"/>
  <c r="AS279" i="35"/>
  <c r="AT281" i="35"/>
  <c r="AS281" i="35"/>
  <c r="AR281" i="35"/>
  <c r="AT282" i="35"/>
  <c r="AV283" i="35"/>
  <c r="AP287" i="35"/>
  <c r="AR288" i="35"/>
  <c r="AW289" i="35"/>
  <c r="AU296" i="35"/>
  <c r="AT296" i="35"/>
  <c r="AS296" i="35"/>
  <c r="AQ297" i="35"/>
  <c r="AW298" i="35"/>
  <c r="AV299" i="35"/>
  <c r="AW299" i="35"/>
  <c r="AW244" i="35"/>
  <c r="AW252" i="35"/>
  <c r="AW260" i="35"/>
  <c r="AW268" i="35"/>
  <c r="AW276" i="35"/>
  <c r="AW284" i="35"/>
  <c r="AW292" i="35"/>
  <c r="AQ298" i="35"/>
  <c r="AP299" i="35"/>
  <c r="AW300" i="35"/>
  <c r="AW229" i="35"/>
  <c r="AW237" i="35"/>
  <c r="AV238" i="35"/>
  <c r="AP244" i="35"/>
  <c r="AW245" i="35"/>
  <c r="AV246" i="35"/>
  <c r="AP252" i="35"/>
  <c r="AW253" i="35"/>
  <c r="AV254" i="35"/>
  <c r="AP260" i="35"/>
  <c r="AV262" i="35"/>
  <c r="AP268" i="35"/>
  <c r="AW269" i="35"/>
  <c r="AV270" i="35"/>
  <c r="AP276" i="35"/>
  <c r="AW277" i="35"/>
  <c r="AV278" i="35"/>
  <c r="AP284" i="35"/>
  <c r="AW285" i="35"/>
  <c r="AP292" i="35"/>
  <c r="AW293" i="35"/>
  <c r="AR298" i="35"/>
  <c r="AQ299" i="35"/>
  <c r="AP300" i="35"/>
  <c r="AW301" i="35"/>
  <c r="AV302" i="35"/>
  <c r="AP46" i="35" l="1"/>
  <c r="AP44" i="35" a="1"/>
  <c r="AP44" i="35" s="1"/>
  <c r="AP43" i="35" a="1"/>
  <c r="AP43" i="35" s="1"/>
  <c r="AU46" i="35"/>
  <c r="AU44" i="35" a="1"/>
  <c r="AU44" i="35" s="1"/>
  <c r="AU45" i="35" s="1" a="1"/>
  <c r="AU45" i="35" s="1"/>
  <c r="AU43" i="35" a="1"/>
  <c r="AU43" i="35" s="1"/>
  <c r="AS43" i="35" a="1"/>
  <c r="AS43" i="35" s="1"/>
  <c r="AS44" i="35" a="1"/>
  <c r="AS44" i="35" s="1"/>
  <c r="AS45" i="35" s="1" a="1"/>
  <c r="AS45" i="35" s="1"/>
  <c r="AS46" i="35"/>
  <c r="AQ44" i="35" a="1"/>
  <c r="AQ44" i="35" s="1"/>
  <c r="AQ43" i="35" a="1"/>
  <c r="AQ43" i="35" s="1"/>
  <c r="AW44" i="35" a="1"/>
  <c r="AW44" i="35" s="1"/>
  <c r="AW43" i="35" a="1"/>
  <c r="AW43" i="35" s="1"/>
  <c r="AW46" i="35"/>
  <c r="AV46" i="35"/>
  <c r="AV44" i="35" a="1"/>
  <c r="AV44" i="35" s="1"/>
  <c r="AV45" i="35" s="1" a="1"/>
  <c r="AV45" i="35" s="1"/>
  <c r="AV43" i="35" a="1"/>
  <c r="AV43" i="35" s="1"/>
  <c r="AT46" i="35"/>
  <c r="AT44" i="35" a="1"/>
  <c r="AT44" i="35" s="1"/>
  <c r="AT43" i="35" a="1"/>
  <c r="AT43" i="35" s="1"/>
  <c r="AR46" i="35"/>
  <c r="AR44" i="35" a="1"/>
  <c r="AR44" i="35" s="1"/>
  <c r="AR45" i="35" s="1" a="1"/>
  <c r="AR45" i="35" s="1"/>
  <c r="AR43" i="35" a="1"/>
  <c r="AR43" i="35" s="1"/>
  <c r="AQ46" i="35"/>
  <c r="AT45" i="35" l="1" a="1"/>
  <c r="AT45" i="35" s="1"/>
  <c r="AP45" i="35" a="1"/>
  <c r="AP45" i="35" s="1"/>
  <c r="AQ45" i="35" a="1"/>
  <c r="AQ45" i="35" s="1"/>
  <c r="AW45" i="35" a="1"/>
  <c r="AW45" i="35" s="1"/>
  <c r="AW41" i="35" s="1"/>
  <c r="AW40" i="35" l="1"/>
  <c r="V6" i="35"/>
  <c r="W6" i="35" s="1"/>
  <c r="X6" i="35" l="1"/>
  <c r="W11" i="35"/>
  <c r="W41" i="35" s="1"/>
  <c r="V11" i="35"/>
  <c r="V41" i="35" s="1"/>
  <c r="Y6" i="35" l="1"/>
  <c r="Y11" i="35" s="1"/>
  <c r="Y41" i="35" s="1"/>
  <c r="X11" i="35"/>
  <c r="X41" i="35" s="1"/>
  <c r="B9" i="16" l="1"/>
  <c r="B16" i="16" s="1"/>
  <c r="B15" i="16" s="1"/>
  <c r="B18" i="16" s="1"/>
  <c r="B19" i="16" s="1"/>
  <c r="C3" i="16"/>
  <c r="AJ19" i="16"/>
  <c r="D6" i="16" s="1"/>
  <c r="AJ20" i="16"/>
  <c r="D7" i="16" s="1"/>
  <c r="AE22" i="16"/>
  <c r="X22" i="16"/>
  <c r="W22" i="16"/>
  <c r="V22" i="16"/>
  <c r="T22" i="16"/>
  <c r="Q16" i="16"/>
  <c r="R16" i="16" s="1"/>
  <c r="Q17" i="16"/>
  <c r="Q18" i="16"/>
  <c r="R18" i="16" s="1"/>
  <c r="Q19" i="16"/>
  <c r="Q20" i="16"/>
  <c r="Q21" i="16"/>
  <c r="Q15" i="16"/>
  <c r="R15" i="16" s="1"/>
  <c r="P16" i="16"/>
  <c r="P17" i="16"/>
  <c r="P18" i="16"/>
  <c r="P19" i="16"/>
  <c r="P20" i="16"/>
  <c r="P21" i="16"/>
  <c r="P15" i="16"/>
  <c r="AK21" i="16"/>
  <c r="AJ21" i="16" s="1"/>
  <c r="D8" i="16" s="1"/>
  <c r="AH21" i="16"/>
  <c r="AG21" i="16" s="1"/>
  <c r="AC21" i="16"/>
  <c r="AB21" i="16"/>
  <c r="AH20" i="16"/>
  <c r="AG20" i="16" s="1"/>
  <c r="AC20" i="16"/>
  <c r="AB20" i="16"/>
  <c r="AC19" i="16"/>
  <c r="AB19" i="16"/>
  <c r="AK18" i="16"/>
  <c r="AJ18" i="16" s="1"/>
  <c r="D5" i="16" s="1"/>
  <c r="AH18" i="16"/>
  <c r="AG18" i="16" s="1"/>
  <c r="AC18" i="16"/>
  <c r="AB18" i="16"/>
  <c r="AK17" i="16"/>
  <c r="AJ17" i="16" s="1"/>
  <c r="AH17" i="16"/>
  <c r="AG17" i="16" s="1"/>
  <c r="AC17" i="16"/>
  <c r="AB17" i="16"/>
  <c r="AK16" i="16"/>
  <c r="AJ16" i="16" s="1"/>
  <c r="D3" i="16" s="1"/>
  <c r="AH16" i="16"/>
  <c r="AG16" i="16"/>
  <c r="AC16" i="16"/>
  <c r="AB16" i="16"/>
  <c r="AH15" i="16"/>
  <c r="AB15" i="16"/>
  <c r="R17" i="16" l="1"/>
  <c r="AB22" i="16"/>
  <c r="AD16" i="16"/>
  <c r="P22" i="16"/>
  <c r="AD20" i="16"/>
  <c r="R21" i="16"/>
  <c r="R20" i="16"/>
  <c r="R19" i="16"/>
  <c r="Q22" i="16"/>
  <c r="AH22" i="16"/>
  <c r="AD19" i="16"/>
  <c r="AD18" i="16"/>
  <c r="AD17" i="16"/>
  <c r="AD21" i="16"/>
  <c r="R22" i="16" l="1"/>
  <c r="D35" i="29" l="1"/>
  <c r="D62" i="29"/>
  <c r="D78" i="29"/>
  <c r="D124" i="29"/>
  <c r="D188" i="29"/>
  <c r="F4" i="34" a="1"/>
  <c r="F4" i="34" s="1"/>
  <c r="E4" i="34" a="1"/>
  <c r="E4" i="34" s="1"/>
  <c r="D4" i="34" a="1"/>
  <c r="D4" i="34" s="1"/>
  <c r="C17" i="29"/>
  <c r="O16" i="34" a="1"/>
  <c r="O16" i="34" s="1"/>
  <c r="D37" i="29"/>
  <c r="E19" i="17"/>
  <c r="G4" i="34" l="1" a="1"/>
  <c r="G4" i="34" s="1"/>
  <c r="H4" i="34" a="1"/>
  <c r="H4" i="34" s="1"/>
  <c r="N4" i="34" a="1"/>
  <c r="N4" i="34" s="1"/>
  <c r="E5" i="34" a="1"/>
  <c r="E5" i="34" s="1"/>
  <c r="H5" i="34" a="1"/>
  <c r="H5" i="34" s="1"/>
  <c r="I5" i="34" a="1"/>
  <c r="I5" i="34" s="1"/>
  <c r="C6" i="34" a="1"/>
  <c r="C6" i="34" s="1"/>
  <c r="J4" i="34" a="1"/>
  <c r="J4" i="34" s="1"/>
  <c r="D6" i="34" a="1"/>
  <c r="D6" i="34" s="1"/>
  <c r="L4" i="34" a="1"/>
  <c r="L4" i="34" s="1"/>
  <c r="L6" i="34" a="1"/>
  <c r="L6" i="34" s="1"/>
  <c r="M4" i="34" a="1"/>
  <c r="M4" i="34" s="1"/>
  <c r="G7" i="34" a="1"/>
  <c r="G7" i="34" s="1"/>
  <c r="K6" i="34" a="1"/>
  <c r="K6" i="34" s="1"/>
  <c r="F7" i="34" a="1"/>
  <c r="F7" i="34" s="1"/>
  <c r="N7" i="34" a="1"/>
  <c r="N7" i="34" s="1"/>
  <c r="I8" i="34" a="1"/>
  <c r="I8" i="34" s="1"/>
  <c r="D9" i="34" a="1"/>
  <c r="D9" i="34" s="1"/>
  <c r="L9" i="34" a="1"/>
  <c r="L9" i="34" s="1"/>
  <c r="G10" i="34" a="1"/>
  <c r="G10" i="34" s="1"/>
  <c r="O10" i="34" a="1"/>
  <c r="O10" i="34" s="1"/>
  <c r="J11" i="34" a="1"/>
  <c r="J11" i="34" s="1"/>
  <c r="E12" i="34" a="1"/>
  <c r="E12" i="34" s="1"/>
  <c r="M12" i="34" a="1"/>
  <c r="M12" i="34" s="1"/>
  <c r="H13" i="34" a="1"/>
  <c r="H13" i="34" s="1"/>
  <c r="C14" i="34" a="1"/>
  <c r="C14" i="34" s="1"/>
  <c r="K14" i="34" a="1"/>
  <c r="K14" i="34" s="1"/>
  <c r="F15" i="34" a="1"/>
  <c r="F15" i="34" s="1"/>
  <c r="N15" i="34" a="1"/>
  <c r="N15" i="34" s="1"/>
  <c r="I16" i="34" a="1"/>
  <c r="I16" i="34" s="1"/>
  <c r="O7" i="34" a="1"/>
  <c r="O7" i="34" s="1"/>
  <c r="J8" i="34" a="1"/>
  <c r="J8" i="34" s="1"/>
  <c r="E9" i="34" a="1"/>
  <c r="E9" i="34" s="1"/>
  <c r="M9" i="34" a="1"/>
  <c r="M9" i="34" s="1"/>
  <c r="H10" i="34" a="1"/>
  <c r="H10" i="34" s="1"/>
  <c r="C11" i="34" a="1"/>
  <c r="C11" i="34" s="1"/>
  <c r="K11" i="34" a="1"/>
  <c r="K11" i="34" s="1"/>
  <c r="F12" i="34" a="1"/>
  <c r="F12" i="34" s="1"/>
  <c r="N12" i="34" a="1"/>
  <c r="N12" i="34" s="1"/>
  <c r="I13" i="34" a="1"/>
  <c r="I13" i="34" s="1"/>
  <c r="D14" i="34" a="1"/>
  <c r="D14" i="34" s="1"/>
  <c r="L14" i="34" a="1"/>
  <c r="L14" i="34" s="1"/>
  <c r="G15" i="34" a="1"/>
  <c r="G15" i="34" s="1"/>
  <c r="O15" i="34" a="1"/>
  <c r="O15" i="34" s="1"/>
  <c r="J16" i="34" a="1"/>
  <c r="J16" i="34" s="1"/>
  <c r="O4" i="34" a="1"/>
  <c r="O4" i="34" s="1"/>
  <c r="J5" i="34" a="1"/>
  <c r="J5" i="34" s="1"/>
  <c r="E6" i="34" a="1"/>
  <c r="E6" i="34" s="1"/>
  <c r="M6" i="34" a="1"/>
  <c r="M6" i="34" s="1"/>
  <c r="H7" i="34" a="1"/>
  <c r="H7" i="34" s="1"/>
  <c r="C8" i="34" a="1"/>
  <c r="C8" i="34" s="1"/>
  <c r="K8" i="34" a="1"/>
  <c r="K8" i="34" s="1"/>
  <c r="F9" i="34" a="1"/>
  <c r="F9" i="34" s="1"/>
  <c r="N9" i="34" a="1"/>
  <c r="N9" i="34" s="1"/>
  <c r="I10" i="34" a="1"/>
  <c r="I10" i="34" s="1"/>
  <c r="D11" i="34" a="1"/>
  <c r="D11" i="34" s="1"/>
  <c r="L11" i="34" a="1"/>
  <c r="L11" i="34" s="1"/>
  <c r="G12" i="34" a="1"/>
  <c r="G12" i="34" s="1"/>
  <c r="O12" i="34" a="1"/>
  <c r="O12" i="34" s="1"/>
  <c r="J13" i="34" a="1"/>
  <c r="J13" i="34" s="1"/>
  <c r="E14" i="34" a="1"/>
  <c r="E14" i="34" s="1"/>
  <c r="M14" i="34" a="1"/>
  <c r="M14" i="34" s="1"/>
  <c r="H15" i="34" a="1"/>
  <c r="H15" i="34" s="1"/>
  <c r="C16" i="34" a="1"/>
  <c r="C16" i="34" s="1"/>
  <c r="K16" i="34" a="1"/>
  <c r="K16" i="34" s="1"/>
  <c r="C5" i="34" a="1"/>
  <c r="C5" i="34" s="1"/>
  <c r="K5" i="34" a="1"/>
  <c r="K5" i="34" s="1"/>
  <c r="F6" i="34" a="1"/>
  <c r="F6" i="34" s="1"/>
  <c r="N6" i="34" a="1"/>
  <c r="N6" i="34" s="1"/>
  <c r="I7" i="34" a="1"/>
  <c r="I7" i="34" s="1"/>
  <c r="D8" i="34" a="1"/>
  <c r="D8" i="34" s="1"/>
  <c r="L8" i="34" a="1"/>
  <c r="L8" i="34" s="1"/>
  <c r="G9" i="34" a="1"/>
  <c r="G9" i="34" s="1"/>
  <c r="O9" i="34" a="1"/>
  <c r="O9" i="34" s="1"/>
  <c r="J10" i="34" a="1"/>
  <c r="J10" i="34" s="1"/>
  <c r="E11" i="34" a="1"/>
  <c r="E11" i="34" s="1"/>
  <c r="M11" i="34" a="1"/>
  <c r="M11" i="34" s="1"/>
  <c r="H12" i="34" a="1"/>
  <c r="H12" i="34" s="1"/>
  <c r="C13" i="34" a="1"/>
  <c r="C13" i="34" s="1"/>
  <c r="K13" i="34" a="1"/>
  <c r="K13" i="34" s="1"/>
  <c r="F14" i="34" a="1"/>
  <c r="F14" i="34" s="1"/>
  <c r="N14" i="34" a="1"/>
  <c r="N14" i="34" s="1"/>
  <c r="I15" i="34" a="1"/>
  <c r="I15" i="34" s="1"/>
  <c r="D16" i="34" a="1"/>
  <c r="D16" i="34" s="1"/>
  <c r="L16" i="34" a="1"/>
  <c r="L16" i="34" s="1"/>
  <c r="I4" i="34" a="1"/>
  <c r="I4" i="34" s="1"/>
  <c r="D5" i="34" a="1"/>
  <c r="D5" i="34" s="1"/>
  <c r="L5" i="34" a="1"/>
  <c r="L5" i="34" s="1"/>
  <c r="G6" i="34" a="1"/>
  <c r="G6" i="34" s="1"/>
  <c r="O6" i="34" a="1"/>
  <c r="O6" i="34" s="1"/>
  <c r="J7" i="34" a="1"/>
  <c r="J7" i="34" s="1"/>
  <c r="E8" i="34" a="1"/>
  <c r="E8" i="34" s="1"/>
  <c r="M8" i="34" a="1"/>
  <c r="M8" i="34" s="1"/>
  <c r="H9" i="34" a="1"/>
  <c r="H9" i="34" s="1"/>
  <c r="C10" i="34" a="1"/>
  <c r="C10" i="34" s="1"/>
  <c r="K10" i="34" a="1"/>
  <c r="K10" i="34" s="1"/>
  <c r="F11" i="34" a="1"/>
  <c r="F11" i="34" s="1"/>
  <c r="N11" i="34" a="1"/>
  <c r="N11" i="34" s="1"/>
  <c r="I12" i="34" a="1"/>
  <c r="I12" i="34" s="1"/>
  <c r="D13" i="34" a="1"/>
  <c r="D13" i="34" s="1"/>
  <c r="L13" i="34" a="1"/>
  <c r="L13" i="34" s="1"/>
  <c r="G14" i="34" a="1"/>
  <c r="G14" i="34" s="1"/>
  <c r="O14" i="34" a="1"/>
  <c r="O14" i="34" s="1"/>
  <c r="J15" i="34" a="1"/>
  <c r="J15" i="34" s="1"/>
  <c r="E16" i="34" a="1"/>
  <c r="E16" i="34" s="1"/>
  <c r="M16" i="34" a="1"/>
  <c r="M16" i="34" s="1"/>
  <c r="M5" i="34" a="1"/>
  <c r="M5" i="34" s="1"/>
  <c r="H6" i="34" a="1"/>
  <c r="H6" i="34" s="1"/>
  <c r="C7" i="34" a="1"/>
  <c r="C7" i="34" s="1"/>
  <c r="K7" i="34" a="1"/>
  <c r="K7" i="34" s="1"/>
  <c r="F8" i="34" a="1"/>
  <c r="F8" i="34" s="1"/>
  <c r="N8" i="34" a="1"/>
  <c r="N8" i="34" s="1"/>
  <c r="I9" i="34" a="1"/>
  <c r="I9" i="34" s="1"/>
  <c r="D10" i="34" a="1"/>
  <c r="D10" i="34" s="1"/>
  <c r="L10" i="34" a="1"/>
  <c r="L10" i="34" s="1"/>
  <c r="G11" i="34" a="1"/>
  <c r="G11" i="34" s="1"/>
  <c r="O11" i="34" a="1"/>
  <c r="O11" i="34" s="1"/>
  <c r="J12" i="34" a="1"/>
  <c r="J12" i="34" s="1"/>
  <c r="E13" i="34" a="1"/>
  <c r="E13" i="34" s="1"/>
  <c r="M13" i="34" a="1"/>
  <c r="M13" i="34" s="1"/>
  <c r="H14" i="34" a="1"/>
  <c r="H14" i="34" s="1"/>
  <c r="C15" i="34" a="1"/>
  <c r="C15" i="34" s="1"/>
  <c r="K15" i="34" a="1"/>
  <c r="K15" i="34" s="1"/>
  <c r="F16" i="34" a="1"/>
  <c r="F16" i="34" s="1"/>
  <c r="N16" i="34" a="1"/>
  <c r="N16" i="34" s="1"/>
  <c r="C4" i="34" a="1"/>
  <c r="C4" i="34" s="1"/>
  <c r="K4" i="34" a="1"/>
  <c r="K4" i="34" s="1"/>
  <c r="F5" i="34" a="1"/>
  <c r="F5" i="34" s="1"/>
  <c r="N5" i="34" a="1"/>
  <c r="N5" i="34" s="1"/>
  <c r="I6" i="34" a="1"/>
  <c r="I6" i="34" s="1"/>
  <c r="D7" i="34" a="1"/>
  <c r="D7" i="34" s="1"/>
  <c r="L7" i="34" a="1"/>
  <c r="L7" i="34" s="1"/>
  <c r="G8" i="34" a="1"/>
  <c r="G8" i="34" s="1"/>
  <c r="O8" i="34" a="1"/>
  <c r="O8" i="34" s="1"/>
  <c r="J9" i="34" a="1"/>
  <c r="J9" i="34" s="1"/>
  <c r="E10" i="34" a="1"/>
  <c r="E10" i="34" s="1"/>
  <c r="M10" i="34" a="1"/>
  <c r="M10" i="34" s="1"/>
  <c r="H11" i="34" a="1"/>
  <c r="H11" i="34" s="1"/>
  <c r="C12" i="34" a="1"/>
  <c r="C12" i="34" s="1"/>
  <c r="K12" i="34" a="1"/>
  <c r="K12" i="34" s="1"/>
  <c r="F13" i="34" a="1"/>
  <c r="F13" i="34" s="1"/>
  <c r="N13" i="34" a="1"/>
  <c r="N13" i="34" s="1"/>
  <c r="I14" i="34" a="1"/>
  <c r="I14" i="34" s="1"/>
  <c r="D15" i="34" a="1"/>
  <c r="D15" i="34" s="1"/>
  <c r="L15" i="34" a="1"/>
  <c r="L15" i="34" s="1"/>
  <c r="G16" i="34" a="1"/>
  <c r="G16" i="34" s="1"/>
  <c r="G5" i="34" a="1"/>
  <c r="G5" i="34" s="1"/>
  <c r="O5" i="34" a="1"/>
  <c r="O5" i="34" s="1"/>
  <c r="J6" i="34" a="1"/>
  <c r="J6" i="34" s="1"/>
  <c r="E7" i="34" a="1"/>
  <c r="E7" i="34" s="1"/>
  <c r="M7" i="34" a="1"/>
  <c r="M7" i="34" s="1"/>
  <c r="H8" i="34" a="1"/>
  <c r="H8" i="34" s="1"/>
  <c r="C9" i="34" a="1"/>
  <c r="C9" i="34" s="1"/>
  <c r="K9" i="34" a="1"/>
  <c r="K9" i="34" s="1"/>
  <c r="F10" i="34" a="1"/>
  <c r="F10" i="34" s="1"/>
  <c r="N10" i="34" a="1"/>
  <c r="N10" i="34" s="1"/>
  <c r="I11" i="34" a="1"/>
  <c r="I11" i="34" s="1"/>
  <c r="D12" i="34" a="1"/>
  <c r="D12" i="34" s="1"/>
  <c r="L12" i="34" a="1"/>
  <c r="L12" i="34" s="1"/>
  <c r="G13" i="34" a="1"/>
  <c r="G13" i="34" s="1"/>
  <c r="O13" i="34" a="1"/>
  <c r="O13" i="34" s="1"/>
  <c r="J14" i="34" a="1"/>
  <c r="J14" i="34" s="1"/>
  <c r="E15" i="34" a="1"/>
  <c r="E15" i="34" s="1"/>
  <c r="M15" i="34" a="1"/>
  <c r="M15" i="34" s="1"/>
  <c r="H16" i="34" a="1"/>
  <c r="H16" i="34" s="1"/>
  <c r="B25" i="38"/>
  <c r="D204" i="29"/>
  <c r="D205" i="29"/>
  <c r="D206" i="29"/>
  <c r="D207" i="29"/>
  <c r="D208" i="29"/>
  <c r="D209" i="29"/>
  <c r="D210" i="29"/>
  <c r="D211" i="29"/>
  <c r="D212" i="29"/>
  <c r="D214" i="29"/>
  <c r="O17" i="34" l="1"/>
  <c r="N17" i="34"/>
  <c r="G17" i="34"/>
  <c r="C17" i="34"/>
  <c r="C21" i="34" s="1"/>
  <c r="I17" i="34"/>
  <c r="L17" i="34"/>
  <c r="D17" i="34"/>
  <c r="D21" i="34" s="1"/>
  <c r="H17" i="34"/>
  <c r="F17" i="34"/>
  <c r="J17" i="34"/>
  <c r="K17" i="34"/>
  <c r="M17" i="34"/>
  <c r="E17" i="34"/>
  <c r="F128" i="29"/>
  <c r="G128" i="29"/>
  <c r="H128" i="29"/>
  <c r="D7" i="29"/>
  <c r="D13" i="29"/>
  <c r="D18" i="29"/>
  <c r="D19" i="29"/>
  <c r="D20" i="29"/>
  <c r="D22" i="29"/>
  <c r="D23" i="29"/>
  <c r="D24" i="29"/>
  <c r="D26" i="29"/>
  <c r="D27" i="29"/>
  <c r="D28" i="29"/>
  <c r="D30" i="29"/>
  <c r="D31" i="29"/>
  <c r="D32" i="29"/>
  <c r="D34" i="29"/>
  <c r="D56" i="29"/>
  <c r="D69" i="29"/>
  <c r="D82" i="29"/>
  <c r="D92" i="29"/>
  <c r="D97" i="29"/>
  <c r="D99" i="29"/>
  <c r="D100" i="29"/>
  <c r="D101" i="29"/>
  <c r="D103" i="29"/>
  <c r="D104" i="29"/>
  <c r="D105" i="29"/>
  <c r="D107" i="29"/>
  <c r="D108" i="29"/>
  <c r="D109" i="29"/>
  <c r="D114" i="29"/>
  <c r="D116" i="29"/>
  <c r="D117" i="29"/>
  <c r="D118" i="29"/>
  <c r="D120" i="29"/>
  <c r="D121" i="29"/>
  <c r="D127" i="29"/>
  <c r="D128" i="29"/>
  <c r="D131" i="29"/>
  <c r="D132" i="29"/>
  <c r="D134" i="29"/>
  <c r="D139" i="29"/>
  <c r="D140" i="29"/>
  <c r="D142" i="29"/>
  <c r="D143" i="29"/>
  <c r="D144" i="29"/>
  <c r="D161" i="29"/>
  <c r="D162" i="29"/>
  <c r="D165" i="29"/>
  <c r="D166" i="29"/>
  <c r="D168" i="29"/>
  <c r="D169" i="29"/>
  <c r="D170" i="29"/>
  <c r="D172" i="29"/>
  <c r="D173" i="29"/>
  <c r="D180" i="29"/>
  <c r="D186" i="29"/>
  <c r="D193" i="29"/>
  <c r="D194" i="29"/>
  <c r="D198" i="29"/>
  <c r="D199" i="29"/>
  <c r="D201" i="29"/>
  <c r="D203" i="29"/>
  <c r="C2" i="29"/>
  <c r="D164" i="29"/>
  <c r="D176" i="29"/>
  <c r="H15" i="29" a="1"/>
  <c r="H15" i="29" s="1"/>
  <c r="D9" i="29"/>
  <c r="D46" i="29"/>
  <c r="D21" i="29"/>
  <c r="D60" i="29"/>
  <c r="D74" i="29"/>
  <c r="D102" i="29"/>
  <c r="D130" i="29"/>
  <c r="D152" i="29"/>
  <c r="D163" i="29"/>
  <c r="D179" i="29"/>
  <c r="CA4" i="30"/>
  <c r="BZ4" i="30"/>
  <c r="BY4" i="30"/>
  <c r="BX4" i="30"/>
  <c r="BW4" i="30"/>
  <c r="BV4" i="30"/>
  <c r="BU4" i="30"/>
  <c r="BT4" i="30"/>
  <c r="BS4" i="30"/>
  <c r="BR4" i="30"/>
  <c r="BQ4" i="30"/>
  <c r="BP4" i="30"/>
  <c r="BO4" i="30"/>
  <c r="BN4" i="30"/>
  <c r="BM4" i="30"/>
  <c r="BL4" i="30"/>
  <c r="BK4" i="30"/>
  <c r="BJ4" i="30"/>
  <c r="BI4" i="30"/>
  <c r="BH4" i="30"/>
  <c r="BG4" i="30"/>
  <c r="BF4" i="30"/>
  <c r="BE4" i="30"/>
  <c r="BD4" i="30"/>
  <c r="BC4" i="30"/>
  <c r="BB4" i="30"/>
  <c r="BA4" i="30"/>
  <c r="AZ4" i="30"/>
  <c r="AY4" i="30"/>
  <c r="AX4" i="30"/>
  <c r="AW4" i="30"/>
  <c r="AV4" i="30"/>
  <c r="AU4" i="30"/>
  <c r="AT4" i="30"/>
  <c r="AS4" i="30"/>
  <c r="AR4" i="30"/>
  <c r="AQ4" i="30"/>
  <c r="AP4" i="30"/>
  <c r="AO4" i="30"/>
  <c r="AN4" i="30"/>
  <c r="AM4" i="30"/>
  <c r="AL4" i="30"/>
  <c r="AK4" i="30"/>
  <c r="AJ4" i="30"/>
  <c r="AI4" i="30"/>
  <c r="AH4" i="30"/>
  <c r="AG4" i="30"/>
  <c r="AF4" i="30"/>
  <c r="AE4" i="30"/>
  <c r="AD4" i="30"/>
  <c r="AC4" i="30"/>
  <c r="AB4" i="30"/>
  <c r="AA4" i="30"/>
  <c r="Z4" i="30"/>
  <c r="Y4" i="30"/>
  <c r="X4" i="30"/>
  <c r="W4" i="30"/>
  <c r="V4" i="30"/>
  <c r="U4" i="30"/>
  <c r="T4" i="30"/>
  <c r="S4" i="30"/>
  <c r="R4" i="30"/>
  <c r="Q4" i="30"/>
  <c r="P4" i="30"/>
  <c r="O4" i="30"/>
  <c r="N4" i="30"/>
  <c r="M4" i="30"/>
  <c r="L4" i="30"/>
  <c r="K4" i="30"/>
  <c r="J4" i="30"/>
  <c r="I4" i="30"/>
  <c r="H4" i="30"/>
  <c r="G4" i="30"/>
  <c r="F4" i="30"/>
  <c r="E4" i="30"/>
  <c r="D4" i="30"/>
  <c r="C4" i="30"/>
  <c r="B4" i="30"/>
  <c r="C17" i="3"/>
  <c r="B17" i="3"/>
  <c r="D5" i="2"/>
  <c r="D6" i="2"/>
  <c r="D7" i="2"/>
  <c r="D8" i="2"/>
  <c r="D9" i="2"/>
  <c r="D10" i="2"/>
  <c r="D11" i="2"/>
  <c r="D12" i="2"/>
  <c r="D13" i="2"/>
  <c r="D14" i="2"/>
  <c r="D15" i="2"/>
  <c r="D16" i="2"/>
  <c r="D17" i="2"/>
  <c r="D4" i="2"/>
  <c r="C18" i="2"/>
  <c r="D18" i="2"/>
  <c r="E18" i="2"/>
  <c r="B18" i="2"/>
  <c r="C22" i="21"/>
  <c r="C24" i="21" s="1"/>
  <c r="C28" i="21" s="1"/>
  <c r="F22" i="21"/>
  <c r="B22" i="21"/>
  <c r="C13" i="21"/>
  <c r="F13" i="21"/>
  <c r="F24" i="21" s="1"/>
  <c r="F28" i="21" s="1"/>
  <c r="B13" i="21"/>
  <c r="B24" i="21" s="1"/>
  <c r="B28" i="21" s="1"/>
  <c r="D4" i="21"/>
  <c r="D5" i="21"/>
  <c r="D6" i="21"/>
  <c r="D7" i="21"/>
  <c r="D8" i="21"/>
  <c r="D9" i="21"/>
  <c r="D10" i="21"/>
  <c r="D11" i="21"/>
  <c r="D12" i="21"/>
  <c r="D15" i="21"/>
  <c r="D17" i="21"/>
  <c r="D18" i="21"/>
  <c r="D22" i="21" s="1"/>
  <c r="D24" i="21" s="1"/>
  <c r="D28" i="21" s="1"/>
  <c r="D19" i="21"/>
  <c r="D20" i="21"/>
  <c r="D21" i="21"/>
  <c r="D25" i="21"/>
  <c r="D26" i="21"/>
  <c r="D3" i="21"/>
  <c r="D13" i="21" s="1"/>
  <c r="C20" i="22"/>
  <c r="D3" i="22"/>
  <c r="D4" i="22"/>
  <c r="D5" i="22"/>
  <c r="D6" i="22"/>
  <c r="D7" i="22"/>
  <c r="D8" i="22"/>
  <c r="D9" i="22"/>
  <c r="D10" i="22"/>
  <c r="D11" i="22"/>
  <c r="D12" i="22"/>
  <c r="D13" i="22"/>
  <c r="D14" i="22"/>
  <c r="D15" i="22"/>
  <c r="D16" i="22"/>
  <c r="D17" i="22"/>
  <c r="D18" i="22"/>
  <c r="D19" i="22"/>
  <c r="E20" i="22"/>
  <c r="F20" i="22"/>
  <c r="G3" i="22"/>
  <c r="G4" i="22"/>
  <c r="G5" i="22"/>
  <c r="G6" i="22"/>
  <c r="G7" i="22"/>
  <c r="G8" i="22"/>
  <c r="G9" i="22"/>
  <c r="G10" i="22"/>
  <c r="G11" i="22"/>
  <c r="G12" i="22"/>
  <c r="G13" i="22"/>
  <c r="G14" i="22"/>
  <c r="G15" i="22"/>
  <c r="G16" i="22"/>
  <c r="G17" i="22"/>
  <c r="G18" i="22"/>
  <c r="G19" i="22"/>
  <c r="H20" i="22"/>
  <c r="B20" i="22"/>
  <c r="C13" i="18"/>
  <c r="D13" i="18"/>
  <c r="E13" i="18"/>
  <c r="E23" i="18" s="1"/>
  <c r="E33" i="18" s="1"/>
  <c r="F13" i="18"/>
  <c r="B13" i="18"/>
  <c r="E22" i="18"/>
  <c r="F22" i="18"/>
  <c r="F23" i="18" s="1"/>
  <c r="F33" i="18" s="1"/>
  <c r="D22" i="18"/>
  <c r="D23" i="18" s="1"/>
  <c r="C22" i="18"/>
  <c r="C23" i="18" s="1"/>
  <c r="B22" i="18"/>
  <c r="B23" i="18"/>
  <c r="E22" i="17"/>
  <c r="E21" i="17"/>
  <c r="E20" i="17"/>
  <c r="E18" i="17"/>
  <c r="E17" i="17"/>
  <c r="E16" i="17"/>
  <c r="E15" i="17"/>
  <c r="E23" i="17" s="1"/>
  <c r="E14" i="17"/>
  <c r="E13" i="17"/>
  <c r="E12" i="17"/>
  <c r="E11" i="17"/>
  <c r="E10" i="17"/>
  <c r="E9" i="17"/>
  <c r="E8" i="17"/>
  <c r="E7" i="17"/>
  <c r="E6" i="17"/>
  <c r="E5" i="17"/>
  <c r="E4" i="17"/>
  <c r="E3" i="17"/>
  <c r="E24" i="17" s="1"/>
  <c r="C23" i="17"/>
  <c r="C24" i="17"/>
  <c r="D24" i="17"/>
  <c r="D23" i="17"/>
  <c r="B24" i="17"/>
  <c r="B23" i="17"/>
  <c r="D59" i="16"/>
  <c r="D4" i="16" s="1"/>
  <c r="C4" i="16"/>
  <c r="C9" i="16" s="1"/>
  <c r="C16" i="16" s="1"/>
  <c r="C15" i="16" s="1"/>
  <c r="C18" i="16" s="1"/>
  <c r="C19" i="16" s="1"/>
  <c r="P5" i="34" l="1" a="1"/>
  <c r="P5" i="34" s="1"/>
  <c r="P13" i="34" a="1"/>
  <c r="P13" i="34" s="1"/>
  <c r="P6" i="34" a="1"/>
  <c r="P6" i="34" s="1"/>
  <c r="P14" i="34" a="1"/>
  <c r="P14" i="34" s="1"/>
  <c r="P7" i="34" a="1"/>
  <c r="P7" i="34" s="1"/>
  <c r="P15" i="34" a="1"/>
  <c r="P15" i="34" s="1"/>
  <c r="P8" i="34" a="1"/>
  <c r="P8" i="34" s="1"/>
  <c r="P16" i="34" a="1"/>
  <c r="P16" i="34" s="1"/>
  <c r="P9" i="34" a="1"/>
  <c r="P9" i="34" s="1"/>
  <c r="P4" i="34" a="1"/>
  <c r="P4" i="34" s="1"/>
  <c r="P10" i="34" a="1"/>
  <c r="P10" i="34" s="1"/>
  <c r="P11" i="34" a="1"/>
  <c r="P11" i="34" s="1"/>
  <c r="P12" i="34" a="1"/>
  <c r="P12" i="34" s="1"/>
  <c r="C1" i="29"/>
  <c r="D85" i="29"/>
  <c r="D93" i="29"/>
  <c r="D89" i="29"/>
  <c r="D156" i="29"/>
  <c r="D87" i="29"/>
  <c r="D64" i="29"/>
  <c r="D51" i="29"/>
  <c r="D39" i="29"/>
  <c r="D67" i="29"/>
  <c r="D75" i="29"/>
  <c r="D71" i="29"/>
  <c r="D81" i="29"/>
  <c r="D155" i="29"/>
  <c r="D86" i="29"/>
  <c r="D73" i="29"/>
  <c r="D49" i="29"/>
  <c r="D38" i="29"/>
  <c r="D11" i="29"/>
  <c r="D181" i="29"/>
  <c r="D177" i="29"/>
  <c r="D185" i="29"/>
  <c r="D57" i="29"/>
  <c r="D53" i="29"/>
  <c r="D61" i="29"/>
  <c r="H17" i="29" a="1"/>
  <c r="H17" i="29" s="1"/>
  <c r="D191" i="29"/>
  <c r="D178" i="29"/>
  <c r="D153" i="29"/>
  <c r="D96" i="29"/>
  <c r="D84" i="29"/>
  <c r="D72" i="29"/>
  <c r="D59" i="29"/>
  <c r="D47" i="29"/>
  <c r="D10" i="29"/>
  <c r="D187" i="29"/>
  <c r="D94" i="29"/>
  <c r="D83" i="29"/>
  <c r="D70" i="29"/>
  <c r="D58" i="29"/>
  <c r="G20" i="22"/>
  <c r="D154" i="29"/>
  <c r="D158" i="29"/>
  <c r="D40" i="29"/>
  <c r="D48" i="29"/>
  <c r="D44" i="29"/>
  <c r="D150" i="29"/>
  <c r="D151" i="29"/>
  <c r="D45" i="29"/>
  <c r="D129" i="29"/>
  <c r="D137" i="29"/>
  <c r="D146" i="29"/>
  <c r="D133" i="29"/>
  <c r="D141" i="29"/>
  <c r="D12" i="29"/>
  <c r="D6" i="29"/>
  <c r="D14" i="29"/>
  <c r="D8" i="29"/>
  <c r="D17" i="29"/>
  <c r="D184" i="29"/>
  <c r="D149" i="29"/>
  <c r="D138" i="29"/>
  <c r="D91" i="29"/>
  <c r="D79" i="29"/>
  <c r="D68" i="29"/>
  <c r="D55" i="29"/>
  <c r="D43" i="29"/>
  <c r="D5" i="29"/>
  <c r="D119" i="29"/>
  <c r="D115" i="29"/>
  <c r="D123" i="29"/>
  <c r="D192" i="29"/>
  <c r="D200" i="29"/>
  <c r="D196" i="29"/>
  <c r="D197" i="29"/>
  <c r="D183" i="29"/>
  <c r="D160" i="29"/>
  <c r="D148" i="29"/>
  <c r="D136" i="29"/>
  <c r="D125" i="29"/>
  <c r="D113" i="29"/>
  <c r="D90" i="29"/>
  <c r="D77" i="29"/>
  <c r="D66" i="29"/>
  <c r="D54" i="29"/>
  <c r="D42" i="29"/>
  <c r="D20" i="22"/>
  <c r="D195" i="29"/>
  <c r="D182" i="29"/>
  <c r="D157" i="29"/>
  <c r="D147" i="29"/>
  <c r="D135" i="29"/>
  <c r="D122" i="29"/>
  <c r="D112" i="29"/>
  <c r="D88" i="29"/>
  <c r="D76" i="29"/>
  <c r="D65" i="29"/>
  <c r="D52" i="29"/>
  <c r="D41" i="29"/>
  <c r="D15" i="29"/>
  <c r="D167" i="29"/>
  <c r="D106" i="29"/>
  <c r="D98" i="29"/>
  <c r="D33" i="29"/>
  <c r="D25" i="29"/>
  <c r="D171" i="29"/>
  <c r="D111" i="29"/>
  <c r="D29" i="29"/>
  <c r="P17" i="34" l="1"/>
  <c r="R6" i="34"/>
  <c r="R5" i="34"/>
  <c r="S5" i="34"/>
  <c r="R11" i="34"/>
  <c r="S11" i="34"/>
  <c r="S12" i="34"/>
  <c r="R12" i="34"/>
  <c r="G5" i="31" a="1"/>
  <c r="G5" i="31" s="1"/>
  <c r="G7" i="37" s="1"/>
  <c r="O5" i="31" a="1"/>
  <c r="O5" i="31" s="1"/>
  <c r="O7" i="37" s="1"/>
  <c r="J6" i="31" a="1"/>
  <c r="J6" i="31" s="1"/>
  <c r="J17" i="37" s="1"/>
  <c r="E7" i="31" a="1"/>
  <c r="E7" i="31" s="1"/>
  <c r="E18" i="37" s="1"/>
  <c r="M7" i="31" a="1"/>
  <c r="M7" i="31" s="1"/>
  <c r="M18" i="37" s="1"/>
  <c r="H8" i="31" a="1"/>
  <c r="H8" i="31" s="1"/>
  <c r="H8" i="37" s="1"/>
  <c r="C9" i="31" a="1"/>
  <c r="C9" i="31" s="1"/>
  <c r="K9" i="31" a="1"/>
  <c r="K9" i="31" s="1"/>
  <c r="K10" i="37" s="1"/>
  <c r="F10" i="31" a="1"/>
  <c r="F10" i="31" s="1"/>
  <c r="F9" i="37" s="1"/>
  <c r="N10" i="31" a="1"/>
  <c r="N10" i="31" s="1"/>
  <c r="N9" i="37" s="1"/>
  <c r="I11" i="31" a="1"/>
  <c r="I11" i="31" s="1"/>
  <c r="I15" i="37" s="1"/>
  <c r="D12" i="31" a="1"/>
  <c r="D12" i="31" s="1"/>
  <c r="D16" i="37" s="1"/>
  <c r="L12" i="31" a="1"/>
  <c r="L12" i="31" s="1"/>
  <c r="L16" i="37" s="1"/>
  <c r="G13" i="31" a="1"/>
  <c r="G13" i="31" s="1"/>
  <c r="G19" i="37" s="1"/>
  <c r="O13" i="31" a="1"/>
  <c r="O13" i="31" s="1"/>
  <c r="O19" i="37" s="1"/>
  <c r="J14" i="31" a="1"/>
  <c r="J14" i="31" s="1"/>
  <c r="J20" i="37" s="1"/>
  <c r="E15" i="31" a="1"/>
  <c r="E15" i="31" s="1"/>
  <c r="E11" i="37" s="1"/>
  <c r="M15" i="31" a="1"/>
  <c r="M15" i="31" s="1"/>
  <c r="M11" i="37" s="1"/>
  <c r="H16" i="31" a="1"/>
  <c r="H16" i="31" s="1"/>
  <c r="H21" i="37" s="1"/>
  <c r="C17" i="31" a="1"/>
  <c r="C17" i="31" s="1"/>
  <c r="K17" i="31" a="1"/>
  <c r="K17" i="31" s="1"/>
  <c r="K12" i="37" s="1"/>
  <c r="P7" i="31" a="1"/>
  <c r="P7" i="31" s="1"/>
  <c r="P18" i="37" s="1"/>
  <c r="P15" i="31" a="1"/>
  <c r="P15" i="31" s="1"/>
  <c r="P11" i="37" s="1"/>
  <c r="H5" i="31" a="1"/>
  <c r="H5" i="31" s="1"/>
  <c r="H7" i="37" s="1"/>
  <c r="C6" i="31" a="1"/>
  <c r="C6" i="31" s="1"/>
  <c r="K6" i="31" a="1"/>
  <c r="K6" i="31" s="1"/>
  <c r="K17" i="37" s="1"/>
  <c r="F7" i="31" a="1"/>
  <c r="F7" i="31" s="1"/>
  <c r="F18" i="37" s="1"/>
  <c r="N7" i="31" a="1"/>
  <c r="N7" i="31" s="1"/>
  <c r="N18" i="37" s="1"/>
  <c r="I8" i="31" a="1"/>
  <c r="I8" i="31" s="1"/>
  <c r="I8" i="37" s="1"/>
  <c r="D9" i="31" a="1"/>
  <c r="D9" i="31" s="1"/>
  <c r="D10" i="37" s="1"/>
  <c r="L9" i="31" a="1"/>
  <c r="L9" i="31" s="1"/>
  <c r="L10" i="37" s="1"/>
  <c r="G10" i="31" a="1"/>
  <c r="G10" i="31" s="1"/>
  <c r="G9" i="37" s="1"/>
  <c r="O10" i="31" a="1"/>
  <c r="O10" i="31" s="1"/>
  <c r="O9" i="37" s="1"/>
  <c r="J11" i="31" a="1"/>
  <c r="J11" i="31" s="1"/>
  <c r="J15" i="37" s="1"/>
  <c r="E12" i="31" a="1"/>
  <c r="E12" i="31" s="1"/>
  <c r="E16" i="37" s="1"/>
  <c r="M12" i="31" a="1"/>
  <c r="M12" i="31" s="1"/>
  <c r="M16" i="37" s="1"/>
  <c r="H13" i="31" a="1"/>
  <c r="H13" i="31" s="1"/>
  <c r="H19" i="37" s="1"/>
  <c r="C14" i="31" a="1"/>
  <c r="C14" i="31" s="1"/>
  <c r="K14" i="31" a="1"/>
  <c r="K14" i="31" s="1"/>
  <c r="K20" i="37" s="1"/>
  <c r="F15" i="31" a="1"/>
  <c r="F15" i="31" s="1"/>
  <c r="F11" i="37" s="1"/>
  <c r="N15" i="31" a="1"/>
  <c r="N15" i="31" s="1"/>
  <c r="N11" i="37" s="1"/>
  <c r="I16" i="31" a="1"/>
  <c r="I16" i="31" s="1"/>
  <c r="I21" i="37" s="1"/>
  <c r="D17" i="31" a="1"/>
  <c r="D17" i="31" s="1"/>
  <c r="D12" i="37" s="1"/>
  <c r="L17" i="31" a="1"/>
  <c r="L17" i="31" s="1"/>
  <c r="P8" i="31" a="1"/>
  <c r="P8" i="31" s="1"/>
  <c r="P8" i="37" s="1"/>
  <c r="P16" i="31" a="1"/>
  <c r="P16" i="31" s="1"/>
  <c r="I5" i="31" a="1"/>
  <c r="I5" i="31" s="1"/>
  <c r="I7" i="37" s="1"/>
  <c r="D6" i="31" a="1"/>
  <c r="D6" i="31" s="1"/>
  <c r="D17" i="37" s="1"/>
  <c r="L6" i="31" a="1"/>
  <c r="L6" i="31" s="1"/>
  <c r="L17" i="37" s="1"/>
  <c r="G7" i="31" a="1"/>
  <c r="G7" i="31" s="1"/>
  <c r="G18" i="37" s="1"/>
  <c r="O7" i="31" a="1"/>
  <c r="O7" i="31" s="1"/>
  <c r="O18" i="37" s="1"/>
  <c r="J8" i="31" a="1"/>
  <c r="J8" i="31" s="1"/>
  <c r="J8" i="37" s="1"/>
  <c r="E9" i="31" a="1"/>
  <c r="E9" i="31" s="1"/>
  <c r="E10" i="37" s="1"/>
  <c r="M9" i="31" a="1"/>
  <c r="M9" i="31" s="1"/>
  <c r="M10" i="37" s="1"/>
  <c r="H10" i="31" a="1"/>
  <c r="H10" i="31" s="1"/>
  <c r="H9" i="37" s="1"/>
  <c r="C11" i="31" a="1"/>
  <c r="C11" i="31" s="1"/>
  <c r="K11" i="31" a="1"/>
  <c r="K11" i="31" s="1"/>
  <c r="K15" i="37" s="1"/>
  <c r="F12" i="31" a="1"/>
  <c r="F12" i="31" s="1"/>
  <c r="F16" i="37" s="1"/>
  <c r="N12" i="31" a="1"/>
  <c r="N12" i="31" s="1"/>
  <c r="N16" i="37" s="1"/>
  <c r="I13" i="31" a="1"/>
  <c r="I13" i="31" s="1"/>
  <c r="I19" i="37" s="1"/>
  <c r="D14" i="31" a="1"/>
  <c r="D14" i="31" s="1"/>
  <c r="D20" i="37" s="1"/>
  <c r="L14" i="31" a="1"/>
  <c r="L14" i="31" s="1"/>
  <c r="L20" i="37" s="1"/>
  <c r="G15" i="31" a="1"/>
  <c r="G15" i="31" s="1"/>
  <c r="G11" i="37" s="1"/>
  <c r="O15" i="31" a="1"/>
  <c r="O15" i="31" s="1"/>
  <c r="O11" i="37" s="1"/>
  <c r="J16" i="31" a="1"/>
  <c r="J16" i="31" s="1"/>
  <c r="J21" i="37" s="1"/>
  <c r="E17" i="31" a="1"/>
  <c r="E17" i="31" s="1"/>
  <c r="E12" i="37" s="1"/>
  <c r="M17" i="31" a="1"/>
  <c r="M17" i="31" s="1"/>
  <c r="M12" i="37" s="1"/>
  <c r="P9" i="31" a="1"/>
  <c r="P9" i="31" s="1"/>
  <c r="P10" i="37" s="1"/>
  <c r="P17" i="31" a="1"/>
  <c r="P17" i="31" s="1"/>
  <c r="J5" i="31" a="1"/>
  <c r="J5" i="31" s="1"/>
  <c r="J7" i="37" s="1"/>
  <c r="E6" i="31" a="1"/>
  <c r="E6" i="31" s="1"/>
  <c r="E17" i="37" s="1"/>
  <c r="M6" i="31" a="1"/>
  <c r="M6" i="31" s="1"/>
  <c r="M17" i="37" s="1"/>
  <c r="H7" i="31" a="1"/>
  <c r="H7" i="31" s="1"/>
  <c r="H18" i="37" s="1"/>
  <c r="C8" i="31" a="1"/>
  <c r="C8" i="31" s="1"/>
  <c r="K8" i="31" a="1"/>
  <c r="K8" i="31" s="1"/>
  <c r="K8" i="37" s="1"/>
  <c r="F9" i="31" a="1"/>
  <c r="F9" i="31" s="1"/>
  <c r="F10" i="37" s="1"/>
  <c r="N9" i="31" a="1"/>
  <c r="N9" i="31" s="1"/>
  <c r="N10" i="37" s="1"/>
  <c r="I10" i="31" a="1"/>
  <c r="I10" i="31" s="1"/>
  <c r="I9" i="37" s="1"/>
  <c r="D11" i="31" a="1"/>
  <c r="D11" i="31" s="1"/>
  <c r="D15" i="37" s="1"/>
  <c r="L11" i="31" a="1"/>
  <c r="L11" i="31" s="1"/>
  <c r="L15" i="37" s="1"/>
  <c r="G12" i="31" a="1"/>
  <c r="G12" i="31" s="1"/>
  <c r="G16" i="37" s="1"/>
  <c r="O12" i="31" a="1"/>
  <c r="O12" i="31" s="1"/>
  <c r="O16" i="37" s="1"/>
  <c r="J13" i="31" a="1"/>
  <c r="J13" i="31" s="1"/>
  <c r="J19" i="37" s="1"/>
  <c r="E14" i="31" a="1"/>
  <c r="E14" i="31" s="1"/>
  <c r="E20" i="37" s="1"/>
  <c r="M14" i="31" a="1"/>
  <c r="M14" i="31" s="1"/>
  <c r="M20" i="37" s="1"/>
  <c r="H15" i="31" a="1"/>
  <c r="H15" i="31" s="1"/>
  <c r="H11" i="37" s="1"/>
  <c r="C16" i="31" a="1"/>
  <c r="C16" i="31" s="1"/>
  <c r="K16" i="31" a="1"/>
  <c r="K16" i="31" s="1"/>
  <c r="K21" i="37" s="1"/>
  <c r="F17" i="31" a="1"/>
  <c r="F17" i="31" s="1"/>
  <c r="N17" i="31" a="1"/>
  <c r="N17" i="31" s="1"/>
  <c r="P10" i="31" a="1"/>
  <c r="P10" i="31" s="1"/>
  <c r="P9" i="37" s="1"/>
  <c r="P5" i="31" a="1"/>
  <c r="P5" i="31" s="1"/>
  <c r="P7" i="37" s="1"/>
  <c r="C5" i="31" a="1"/>
  <c r="C5" i="31" s="1"/>
  <c r="K5" i="31" a="1"/>
  <c r="K5" i="31" s="1"/>
  <c r="K7" i="37" s="1"/>
  <c r="F6" i="31" a="1"/>
  <c r="F6" i="31" s="1"/>
  <c r="F17" i="37" s="1"/>
  <c r="N6" i="31" a="1"/>
  <c r="N6" i="31" s="1"/>
  <c r="N17" i="37" s="1"/>
  <c r="I7" i="31" a="1"/>
  <c r="I7" i="31" s="1"/>
  <c r="I18" i="37" s="1"/>
  <c r="D8" i="31" a="1"/>
  <c r="D8" i="31" s="1"/>
  <c r="D8" i="37" s="1"/>
  <c r="L8" i="31" a="1"/>
  <c r="L8" i="31" s="1"/>
  <c r="L8" i="37" s="1"/>
  <c r="G9" i="31" a="1"/>
  <c r="G9" i="31" s="1"/>
  <c r="G10" i="37" s="1"/>
  <c r="O9" i="31" a="1"/>
  <c r="O9" i="31" s="1"/>
  <c r="O10" i="37" s="1"/>
  <c r="J10" i="31" a="1"/>
  <c r="J10" i="31" s="1"/>
  <c r="J9" i="37" s="1"/>
  <c r="E11" i="31" a="1"/>
  <c r="E11" i="31" s="1"/>
  <c r="E15" i="37" s="1"/>
  <c r="M11" i="31" a="1"/>
  <c r="M11" i="31" s="1"/>
  <c r="M15" i="37" s="1"/>
  <c r="H12" i="31" a="1"/>
  <c r="H12" i="31" s="1"/>
  <c r="H16" i="37" s="1"/>
  <c r="C13" i="31" a="1"/>
  <c r="C13" i="31" s="1"/>
  <c r="K13" i="31" a="1"/>
  <c r="K13" i="31" s="1"/>
  <c r="K19" i="37" s="1"/>
  <c r="F14" i="31" a="1"/>
  <c r="F14" i="31" s="1"/>
  <c r="F20" i="37" s="1"/>
  <c r="N14" i="31" a="1"/>
  <c r="N14" i="31" s="1"/>
  <c r="N20" i="37" s="1"/>
  <c r="I15" i="31" a="1"/>
  <c r="I15" i="31" s="1"/>
  <c r="I11" i="37" s="1"/>
  <c r="D16" i="31" a="1"/>
  <c r="D16" i="31" s="1"/>
  <c r="D21" i="37" s="1"/>
  <c r="L16" i="31" a="1"/>
  <c r="L16" i="31" s="1"/>
  <c r="L21" i="37" s="1"/>
  <c r="G17" i="31" a="1"/>
  <c r="G17" i="31" s="1"/>
  <c r="O17" i="31" a="1"/>
  <c r="O17" i="31" s="1"/>
  <c r="P11" i="31" a="1"/>
  <c r="P11" i="31" s="1"/>
  <c r="P15" i="37" s="1"/>
  <c r="D5" i="31" a="1"/>
  <c r="D5" i="31" s="1"/>
  <c r="D7" i="37" s="1"/>
  <c r="L5" i="31" a="1"/>
  <c r="L5" i="31" s="1"/>
  <c r="L7" i="37" s="1"/>
  <c r="G6" i="31" a="1"/>
  <c r="G6" i="31" s="1"/>
  <c r="G17" i="37" s="1"/>
  <c r="O6" i="31" a="1"/>
  <c r="O6" i="31" s="1"/>
  <c r="O17" i="37" s="1"/>
  <c r="J7" i="31" a="1"/>
  <c r="J7" i="31" s="1"/>
  <c r="J18" i="37" s="1"/>
  <c r="E8" i="31" a="1"/>
  <c r="E8" i="31" s="1"/>
  <c r="E8" i="37" s="1"/>
  <c r="M8" i="31" a="1"/>
  <c r="M8" i="31" s="1"/>
  <c r="M8" i="37" s="1"/>
  <c r="H9" i="31" a="1"/>
  <c r="H9" i="31" s="1"/>
  <c r="H10" i="37" s="1"/>
  <c r="C10" i="31" a="1"/>
  <c r="C10" i="31" s="1"/>
  <c r="K10" i="31" a="1"/>
  <c r="K10" i="31" s="1"/>
  <c r="K9" i="37" s="1"/>
  <c r="F11" i="31" a="1"/>
  <c r="F11" i="31" s="1"/>
  <c r="F15" i="37" s="1"/>
  <c r="N11" i="31" a="1"/>
  <c r="N11" i="31" s="1"/>
  <c r="N15" i="37" s="1"/>
  <c r="I12" i="31" a="1"/>
  <c r="I12" i="31" s="1"/>
  <c r="I16" i="37" s="1"/>
  <c r="D13" i="31" a="1"/>
  <c r="D13" i="31" s="1"/>
  <c r="D19" i="37" s="1"/>
  <c r="L13" i="31" a="1"/>
  <c r="L13" i="31" s="1"/>
  <c r="L19" i="37" s="1"/>
  <c r="G14" i="31" a="1"/>
  <c r="G14" i="31" s="1"/>
  <c r="G20" i="37" s="1"/>
  <c r="O14" i="31" a="1"/>
  <c r="O14" i="31" s="1"/>
  <c r="O20" i="37" s="1"/>
  <c r="J15" i="31" a="1"/>
  <c r="J15" i="31" s="1"/>
  <c r="J11" i="37" s="1"/>
  <c r="E16" i="31" a="1"/>
  <c r="E16" i="31" s="1"/>
  <c r="E21" i="37" s="1"/>
  <c r="M16" i="31" a="1"/>
  <c r="M16" i="31" s="1"/>
  <c r="M21" i="37" s="1"/>
  <c r="H17" i="31" a="1"/>
  <c r="H17" i="31" s="1"/>
  <c r="P12" i="31" a="1"/>
  <c r="P12" i="31" s="1"/>
  <c r="P16" i="37" s="1"/>
  <c r="E5" i="31" a="1"/>
  <c r="E5" i="31" s="1"/>
  <c r="E7" i="37" s="1"/>
  <c r="M5" i="31" a="1"/>
  <c r="M5" i="31" s="1"/>
  <c r="M7" i="37" s="1"/>
  <c r="H6" i="31" a="1"/>
  <c r="H6" i="31" s="1"/>
  <c r="H17" i="37" s="1"/>
  <c r="C7" i="31" a="1"/>
  <c r="C7" i="31" s="1"/>
  <c r="K7" i="31" a="1"/>
  <c r="K7" i="31" s="1"/>
  <c r="K18" i="37" s="1"/>
  <c r="F8" i="31" a="1"/>
  <c r="F8" i="31" s="1"/>
  <c r="F8" i="37" s="1"/>
  <c r="N8" i="31" a="1"/>
  <c r="N8" i="31" s="1"/>
  <c r="N8" i="37" s="1"/>
  <c r="I9" i="31" a="1"/>
  <c r="I9" i="31" s="1"/>
  <c r="I10" i="37" s="1"/>
  <c r="D10" i="31" a="1"/>
  <c r="D10" i="31" s="1"/>
  <c r="D9" i="37" s="1"/>
  <c r="L10" i="31" a="1"/>
  <c r="L10" i="31" s="1"/>
  <c r="L9" i="37" s="1"/>
  <c r="G11" i="31" a="1"/>
  <c r="G11" i="31" s="1"/>
  <c r="G15" i="37" s="1"/>
  <c r="O11" i="31" a="1"/>
  <c r="O11" i="31" s="1"/>
  <c r="O15" i="37" s="1"/>
  <c r="J12" i="31" a="1"/>
  <c r="J12" i="31" s="1"/>
  <c r="J16" i="37" s="1"/>
  <c r="E13" i="31" a="1"/>
  <c r="E13" i="31" s="1"/>
  <c r="E19" i="37" s="1"/>
  <c r="M13" i="31" a="1"/>
  <c r="M13" i="31" s="1"/>
  <c r="M19" i="37" s="1"/>
  <c r="H14" i="31" a="1"/>
  <c r="H14" i="31" s="1"/>
  <c r="H20" i="37" s="1"/>
  <c r="C15" i="31" a="1"/>
  <c r="C15" i="31" s="1"/>
  <c r="K15" i="31" a="1"/>
  <c r="K15" i="31" s="1"/>
  <c r="K11" i="37" s="1"/>
  <c r="F16" i="31" a="1"/>
  <c r="F16" i="31" s="1"/>
  <c r="F21" i="37" s="1"/>
  <c r="N16" i="31" a="1"/>
  <c r="N16" i="31" s="1"/>
  <c r="I17" i="31" a="1"/>
  <c r="I17" i="31" s="1"/>
  <c r="I12" i="37" s="1"/>
  <c r="P13" i="31" a="1"/>
  <c r="P13" i="31" s="1"/>
  <c r="P19" i="37" s="1"/>
  <c r="F5" i="31" a="1"/>
  <c r="F5" i="31" s="1"/>
  <c r="F7" i="37" s="1"/>
  <c r="N5" i="31" a="1"/>
  <c r="N5" i="31" s="1"/>
  <c r="N7" i="37" s="1"/>
  <c r="I6" i="31" a="1"/>
  <c r="I6" i="31" s="1"/>
  <c r="I17" i="37" s="1"/>
  <c r="D7" i="31" a="1"/>
  <c r="D7" i="31" s="1"/>
  <c r="D18" i="37" s="1"/>
  <c r="L7" i="31" a="1"/>
  <c r="L7" i="31" s="1"/>
  <c r="L18" i="37" s="1"/>
  <c r="G8" i="31" a="1"/>
  <c r="G8" i="31" s="1"/>
  <c r="G8" i="37" s="1"/>
  <c r="O8" i="31" a="1"/>
  <c r="O8" i="31" s="1"/>
  <c r="O8" i="37" s="1"/>
  <c r="J9" i="31" a="1"/>
  <c r="J9" i="31" s="1"/>
  <c r="J10" i="37" s="1"/>
  <c r="E10" i="31" a="1"/>
  <c r="E10" i="31" s="1"/>
  <c r="E9" i="37" s="1"/>
  <c r="M10" i="31" a="1"/>
  <c r="M10" i="31" s="1"/>
  <c r="M9" i="37" s="1"/>
  <c r="H11" i="31" a="1"/>
  <c r="H11" i="31" s="1"/>
  <c r="H15" i="37" s="1"/>
  <c r="C12" i="31" a="1"/>
  <c r="C12" i="31" s="1"/>
  <c r="K12" i="31" a="1"/>
  <c r="K12" i="31" s="1"/>
  <c r="K16" i="37" s="1"/>
  <c r="F13" i="31" a="1"/>
  <c r="F13" i="31" s="1"/>
  <c r="F19" i="37" s="1"/>
  <c r="N13" i="31" a="1"/>
  <c r="N13" i="31" s="1"/>
  <c r="N19" i="37" s="1"/>
  <c r="I14" i="31" a="1"/>
  <c r="I14" i="31" s="1"/>
  <c r="I20" i="37" s="1"/>
  <c r="D15" i="31" a="1"/>
  <c r="D15" i="31" s="1"/>
  <c r="D11" i="37" s="1"/>
  <c r="L15" i="31" a="1"/>
  <c r="L15" i="31" s="1"/>
  <c r="L11" i="37" s="1"/>
  <c r="G16" i="31" a="1"/>
  <c r="G16" i="31" s="1"/>
  <c r="G21" i="37" s="1"/>
  <c r="O16" i="31" a="1"/>
  <c r="O16" i="31" s="1"/>
  <c r="J17" i="31" a="1"/>
  <c r="J17" i="31" s="1"/>
  <c r="P6" i="31" a="1"/>
  <c r="P6" i="31" s="1"/>
  <c r="P17" i="37" s="1"/>
  <c r="P14" i="31" a="1"/>
  <c r="P14" i="31" s="1"/>
  <c r="S4" i="34"/>
  <c r="R4" i="34"/>
  <c r="R7" i="34"/>
  <c r="S7" i="34"/>
  <c r="R8" i="34"/>
  <c r="S8" i="34"/>
  <c r="R10" i="34"/>
  <c r="S10" i="34"/>
  <c r="R14" i="34"/>
  <c r="S14" i="34"/>
  <c r="R16" i="34"/>
  <c r="S16" i="34"/>
  <c r="S6" i="34"/>
  <c r="R15" i="34"/>
  <c r="S15" i="34"/>
  <c r="S13" i="34"/>
  <c r="R13" i="34"/>
  <c r="R9" i="34"/>
  <c r="S9" i="34"/>
  <c r="D2" i="29"/>
  <c r="D1" i="29" s="1"/>
  <c r="R20" i="31"/>
  <c r="H18" i="29" a="1"/>
  <c r="H18" i="29" s="1"/>
  <c r="H19" i="29" s="1" a="1"/>
  <c r="H19" i="29" s="1"/>
  <c r="K44" i="31" l="1"/>
  <c r="C20" i="37"/>
  <c r="R14" i="31"/>
  <c r="C18" i="37"/>
  <c r="R18" i="37" s="1"/>
  <c r="R7" i="31"/>
  <c r="C7" i="37"/>
  <c r="R7" i="37" s="1"/>
  <c r="R5" i="31"/>
  <c r="C9" i="37"/>
  <c r="R9" i="37" s="1"/>
  <c r="R10" i="31"/>
  <c r="C12" i="37"/>
  <c r="R17" i="31"/>
  <c r="S44" i="31" s="1"/>
  <c r="C16" i="37"/>
  <c r="R16" i="37" s="1"/>
  <c r="R12" i="31"/>
  <c r="C11" i="37"/>
  <c r="R11" i="37" s="1"/>
  <c r="R15" i="31"/>
  <c r="C19" i="37"/>
  <c r="R19" i="37" s="1"/>
  <c r="R13" i="31"/>
  <c r="C8" i="37"/>
  <c r="R8" i="37" s="1"/>
  <c r="R8" i="31"/>
  <c r="C17" i="37"/>
  <c r="R17" i="37" s="1"/>
  <c r="R6" i="31"/>
  <c r="C15" i="37"/>
  <c r="R11" i="31"/>
  <c r="C21" i="37"/>
  <c r="R16" i="31"/>
  <c r="S39" i="31" s="1"/>
  <c r="C10" i="37"/>
  <c r="R9" i="31"/>
  <c r="I39" i="31"/>
  <c r="E44" i="31"/>
  <c r="M44" i="31"/>
  <c r="H39" i="31"/>
  <c r="D44" i="31"/>
  <c r="E39" i="31"/>
  <c r="P21" i="37"/>
  <c r="P39" i="31"/>
  <c r="N21" i="37"/>
  <c r="N39" i="31"/>
  <c r="O21" i="37"/>
  <c r="O39" i="31"/>
  <c r="P21" i="34"/>
  <c r="I44" i="31"/>
  <c r="G44" i="31"/>
  <c r="G12" i="37"/>
  <c r="G13" i="37" s="1"/>
  <c r="F44" i="31"/>
  <c r="F12" i="37"/>
  <c r="M21" i="34"/>
  <c r="H44" i="31"/>
  <c r="H12" i="37"/>
  <c r="H13" i="37" s="1"/>
  <c r="N21" i="34"/>
  <c r="I13" i="37"/>
  <c r="P38" i="31"/>
  <c r="P20" i="37"/>
  <c r="K13" i="37"/>
  <c r="P44" i="31"/>
  <c r="P12" i="37"/>
  <c r="P13" i="37" s="1"/>
  <c r="F21" i="34"/>
  <c r="K21" i="34"/>
  <c r="O21" i="34"/>
  <c r="J44" i="31"/>
  <c r="J12" i="37"/>
  <c r="J13" i="37" s="1"/>
  <c r="D13" i="37"/>
  <c r="L44" i="31"/>
  <c r="L12" i="37"/>
  <c r="L13" i="37" s="1"/>
  <c r="I21" i="34"/>
  <c r="H21" i="34"/>
  <c r="G21" i="34"/>
  <c r="L21" i="34"/>
  <c r="J21" i="34"/>
  <c r="E21" i="34"/>
  <c r="M13" i="37"/>
  <c r="E13" i="37"/>
  <c r="O44" i="31"/>
  <c r="O12" i="37"/>
  <c r="O13" i="37" s="1"/>
  <c r="N44" i="31"/>
  <c r="N12" i="37"/>
  <c r="N13" i="37" s="1"/>
  <c r="E38" i="31"/>
  <c r="J38" i="31"/>
  <c r="M39" i="31"/>
  <c r="D39" i="31"/>
  <c r="O38" i="31"/>
  <c r="N38" i="31"/>
  <c r="G38" i="31"/>
  <c r="F39" i="31"/>
  <c r="M38" i="31"/>
  <c r="L39" i="31"/>
  <c r="L38" i="31"/>
  <c r="K39" i="31"/>
  <c r="K38" i="31"/>
  <c r="J39" i="31"/>
  <c r="I38" i="31"/>
  <c r="R17" i="34"/>
  <c r="S17" i="34"/>
  <c r="T17" i="34" s="1"/>
  <c r="H38" i="31"/>
  <c r="G39" i="31"/>
  <c r="P37" i="31"/>
  <c r="P23" i="31"/>
  <c r="P25" i="31"/>
  <c r="P43" i="31"/>
  <c r="P28" i="31"/>
  <c r="P19" i="31"/>
  <c r="P21" i="31" s="1"/>
  <c r="P42" i="31"/>
  <c r="L37" i="31"/>
  <c r="L25" i="31"/>
  <c r="L23" i="31"/>
  <c r="C37" i="31"/>
  <c r="C25" i="31"/>
  <c r="C23" i="31"/>
  <c r="M37" i="31"/>
  <c r="M25" i="31"/>
  <c r="M23" i="31"/>
  <c r="H37" i="31"/>
  <c r="H23" i="31"/>
  <c r="H25" i="31"/>
  <c r="N43" i="31"/>
  <c r="N28" i="31"/>
  <c r="J43" i="31"/>
  <c r="J28" i="31"/>
  <c r="F38" i="31"/>
  <c r="K42" i="31"/>
  <c r="K19" i="31"/>
  <c r="K21" i="31" s="1"/>
  <c r="C38" i="31"/>
  <c r="K37" i="31"/>
  <c r="K25" i="31"/>
  <c r="K23" i="31"/>
  <c r="H20" i="29" a="1"/>
  <c r="H20" i="29" s="1"/>
  <c r="J37" i="31"/>
  <c r="J23" i="31"/>
  <c r="J25" i="31"/>
  <c r="G42" i="31"/>
  <c r="G19" i="31"/>
  <c r="G21" i="31" s="1"/>
  <c r="L43" i="31"/>
  <c r="L28" i="31"/>
  <c r="F42" i="31"/>
  <c r="F19" i="31"/>
  <c r="F21" i="31" s="1"/>
  <c r="E37" i="31"/>
  <c r="E25" i="31"/>
  <c r="E23" i="31"/>
  <c r="H43" i="31"/>
  <c r="H28" i="31"/>
  <c r="C43" i="31"/>
  <c r="C28" i="31"/>
  <c r="O37" i="31"/>
  <c r="O25" i="31"/>
  <c r="O23" i="31"/>
  <c r="I43" i="31"/>
  <c r="I28" i="31"/>
  <c r="C44" i="31"/>
  <c r="E42" i="31"/>
  <c r="E19" i="31"/>
  <c r="E21" i="31" s="1"/>
  <c r="O43" i="31"/>
  <c r="O28" i="31"/>
  <c r="K43" i="31"/>
  <c r="K28" i="31"/>
  <c r="C42" i="31"/>
  <c r="C19" i="31"/>
  <c r="G43" i="31"/>
  <c r="G28" i="31"/>
  <c r="F43" i="31"/>
  <c r="F28" i="31"/>
  <c r="D37" i="31"/>
  <c r="D25" i="31"/>
  <c r="D23" i="31"/>
  <c r="N42" i="31"/>
  <c r="N19" i="31"/>
  <c r="N21" i="31" s="1"/>
  <c r="L42" i="31"/>
  <c r="L19" i="31"/>
  <c r="L21" i="31" s="1"/>
  <c r="O42" i="31"/>
  <c r="O19" i="31"/>
  <c r="O21" i="31" s="1"/>
  <c r="D42" i="31"/>
  <c r="D19" i="31"/>
  <c r="D21" i="31" s="1"/>
  <c r="D38" i="31"/>
  <c r="G37" i="31"/>
  <c r="G25" i="31"/>
  <c r="G23" i="31"/>
  <c r="J42" i="31"/>
  <c r="J19" i="31"/>
  <c r="J21" i="31" s="1"/>
  <c r="I42" i="31"/>
  <c r="I19" i="31"/>
  <c r="I21" i="31" s="1"/>
  <c r="M42" i="31"/>
  <c r="M19" i="31"/>
  <c r="M21" i="31" s="1"/>
  <c r="N37" i="31"/>
  <c r="N25" i="31"/>
  <c r="N23" i="31"/>
  <c r="E43" i="31"/>
  <c r="E28" i="31"/>
  <c r="D43" i="31"/>
  <c r="D28" i="31"/>
  <c r="M43" i="31"/>
  <c r="M50" i="31" s="1"/>
  <c r="M28" i="31"/>
  <c r="C39" i="31"/>
  <c r="I37" i="31"/>
  <c r="I23" i="31"/>
  <c r="I25" i="31"/>
  <c r="H42" i="31"/>
  <c r="H19" i="31"/>
  <c r="H21" i="31" s="1"/>
  <c r="F37" i="31"/>
  <c r="F25" i="31"/>
  <c r="F23" i="31"/>
  <c r="K50" i="31" l="1"/>
  <c r="E50" i="31"/>
  <c r="D50" i="31"/>
  <c r="S38" i="31"/>
  <c r="S43" i="31"/>
  <c r="S50" i="31" s="1"/>
  <c r="C13" i="37"/>
  <c r="R10" i="37"/>
  <c r="R15" i="37"/>
  <c r="S42" i="31"/>
  <c r="R19" i="31"/>
  <c r="R23" i="31"/>
  <c r="T4" i="34"/>
  <c r="R25" i="31"/>
  <c r="T9" i="34"/>
  <c r="S37" i="31"/>
  <c r="T7" i="34"/>
  <c r="T12" i="34"/>
  <c r="T16" i="34"/>
  <c r="T6" i="34"/>
  <c r="T8" i="34"/>
  <c r="T15" i="34"/>
  <c r="T10" i="34"/>
  <c r="T11" i="34"/>
  <c r="R28" i="31"/>
  <c r="T13" i="34"/>
  <c r="T14" i="34"/>
  <c r="T5" i="34"/>
  <c r="P23" i="37"/>
  <c r="I50" i="31"/>
  <c r="G50" i="31"/>
  <c r="E23" i="37"/>
  <c r="R21" i="37"/>
  <c r="N40" i="31"/>
  <c r="N49" i="31" s="1"/>
  <c r="O40" i="31"/>
  <c r="O49" i="31" s="1"/>
  <c r="H40" i="31"/>
  <c r="H49" i="31" s="1"/>
  <c r="F40" i="31"/>
  <c r="F49" i="31" s="1"/>
  <c r="H50" i="31"/>
  <c r="O50" i="31"/>
  <c r="P50" i="31"/>
  <c r="M23" i="37"/>
  <c r="K23" i="37"/>
  <c r="R20" i="37"/>
  <c r="E40" i="31"/>
  <c r="E49" i="31" s="1"/>
  <c r="F50" i="31"/>
  <c r="L50" i="31"/>
  <c r="I23" i="37"/>
  <c r="R12" i="37"/>
  <c r="J23" i="37"/>
  <c r="H23" i="37"/>
  <c r="G23" i="37"/>
  <c r="D23" i="37"/>
  <c r="N50" i="31"/>
  <c r="N23" i="37"/>
  <c r="F13" i="37"/>
  <c r="J40" i="31"/>
  <c r="J49" i="31" s="1"/>
  <c r="P40" i="31"/>
  <c r="P49" i="31" s="1"/>
  <c r="O23" i="37"/>
  <c r="J50" i="31"/>
  <c r="L23" i="37"/>
  <c r="G40" i="31"/>
  <c r="G49" i="31" s="1"/>
  <c r="M40" i="31"/>
  <c r="M49" i="31" s="1"/>
  <c r="L40" i="31"/>
  <c r="L49" i="31" s="1"/>
  <c r="I40" i="31"/>
  <c r="I49" i="31" s="1"/>
  <c r="K40" i="31"/>
  <c r="K49" i="31" s="1"/>
  <c r="P45" i="31"/>
  <c r="P31" i="31"/>
  <c r="P24" i="31"/>
  <c r="P33" i="31"/>
  <c r="P29" i="31"/>
  <c r="J45" i="31"/>
  <c r="C50" i="31"/>
  <c r="P26" i="31"/>
  <c r="P32" i="31"/>
  <c r="D40" i="31"/>
  <c r="D49" i="31" s="1"/>
  <c r="C45" i="31"/>
  <c r="I45" i="31"/>
  <c r="N45" i="31"/>
  <c r="K45" i="31"/>
  <c r="H45" i="31"/>
  <c r="F45" i="31"/>
  <c r="G45" i="31"/>
  <c r="M45" i="31"/>
  <c r="O45" i="31"/>
  <c r="H21" i="29" a="1"/>
  <c r="H21" i="29" s="1"/>
  <c r="E45" i="31"/>
  <c r="I29" i="31"/>
  <c r="I33" i="31"/>
  <c r="L29" i="31"/>
  <c r="L33" i="31"/>
  <c r="J32" i="31"/>
  <c r="J26" i="31"/>
  <c r="H31" i="31"/>
  <c r="H24" i="31"/>
  <c r="H29" i="31"/>
  <c r="H33" i="31"/>
  <c r="J31" i="31"/>
  <c r="J24" i="31"/>
  <c r="C40" i="31"/>
  <c r="C49" i="31" s="1"/>
  <c r="D29" i="31"/>
  <c r="D33" i="31"/>
  <c r="G33" i="31"/>
  <c r="G29" i="31"/>
  <c r="M33" i="31"/>
  <c r="M29" i="31"/>
  <c r="O31" i="31"/>
  <c r="O24" i="31"/>
  <c r="M31" i="31"/>
  <c r="M24" i="31"/>
  <c r="L31" i="31"/>
  <c r="L24" i="31"/>
  <c r="O33" i="31"/>
  <c r="O29" i="31"/>
  <c r="N31" i="31"/>
  <c r="N24" i="31"/>
  <c r="O32" i="31"/>
  <c r="O26" i="31"/>
  <c r="E31" i="31"/>
  <c r="E24" i="31"/>
  <c r="J33" i="31"/>
  <c r="J29" i="31"/>
  <c r="M32" i="31"/>
  <c r="M26" i="31"/>
  <c r="L32" i="31"/>
  <c r="L26" i="31"/>
  <c r="K32" i="31"/>
  <c r="K26" i="31"/>
  <c r="H32" i="31"/>
  <c r="H26" i="31"/>
  <c r="I32" i="31"/>
  <c r="I26" i="31"/>
  <c r="N32" i="31"/>
  <c r="N26" i="31"/>
  <c r="G31" i="31"/>
  <c r="G24" i="31"/>
  <c r="L45" i="31"/>
  <c r="D31" i="31"/>
  <c r="D24" i="31"/>
  <c r="C21" i="31"/>
  <c r="R21" i="31" s="1"/>
  <c r="E32" i="31"/>
  <c r="E26" i="31"/>
  <c r="F29" i="31"/>
  <c r="F33" i="31"/>
  <c r="K33" i="31"/>
  <c r="K29" i="31"/>
  <c r="G32" i="31"/>
  <c r="G26" i="31"/>
  <c r="D32" i="31"/>
  <c r="D26" i="31"/>
  <c r="N29" i="31"/>
  <c r="N33" i="31"/>
  <c r="C31" i="31"/>
  <c r="C24" i="31"/>
  <c r="E33" i="31"/>
  <c r="E29" i="31"/>
  <c r="F31" i="31"/>
  <c r="F24" i="31"/>
  <c r="F32" i="31"/>
  <c r="F26" i="31"/>
  <c r="I31" i="31"/>
  <c r="I24" i="31"/>
  <c r="D45" i="31"/>
  <c r="C33" i="31"/>
  <c r="C29" i="31"/>
  <c r="K31" i="31"/>
  <c r="K24" i="31"/>
  <c r="C32" i="31"/>
  <c r="C26" i="31"/>
  <c r="S40" i="31" l="1"/>
  <c r="S49" i="31" s="1"/>
  <c r="C23" i="37"/>
  <c r="S45" i="31"/>
  <c r="R13" i="37"/>
  <c r="N47" i="31"/>
  <c r="F47" i="31"/>
  <c r="O47" i="31"/>
  <c r="H47" i="31"/>
  <c r="M47" i="31"/>
  <c r="E47" i="31"/>
  <c r="G47" i="31"/>
  <c r="L47" i="31"/>
  <c r="K47" i="31"/>
  <c r="F23" i="37"/>
  <c r="J47" i="31"/>
  <c r="P47" i="31"/>
  <c r="I47" i="31"/>
  <c r="D47" i="31"/>
  <c r="C47" i="31"/>
  <c r="R32" i="31"/>
  <c r="R26" i="31"/>
  <c r="R33" i="31"/>
  <c r="R29" i="31"/>
  <c r="H22" i="29" a="1"/>
  <c r="H22" i="29" s="1"/>
  <c r="R31" i="31"/>
  <c r="R24" i="31"/>
  <c r="S47" i="31" l="1"/>
  <c r="R23" i="37"/>
  <c r="T23" i="37" s="1"/>
  <c r="H23" i="29" a="1"/>
  <c r="H23" i="29" s="1"/>
  <c r="H24" i="29" l="1" a="1"/>
  <c r="H24" i="29" s="1"/>
  <c r="H25" i="29" l="1" a="1"/>
  <c r="H25" i="29" s="1"/>
  <c r="H26" i="29" s="1" a="1"/>
  <c r="H26" i="29" s="1"/>
  <c r="H27" i="29" s="1" a="1"/>
  <c r="H27" i="29" s="1"/>
  <c r="H28" i="29" s="1" a="1"/>
  <c r="H28" i="29" s="1"/>
  <c r="H29" i="29" s="1" a="1"/>
  <c r="H29" i="29" s="1"/>
  <c r="H30" i="29" s="1" a="1"/>
  <c r="H30" i="29" s="1"/>
  <c r="H31" i="29" s="1" a="1"/>
  <c r="H31" i="29" s="1"/>
  <c r="H32" i="29" s="1" a="1"/>
  <c r="H32" i="29" s="1"/>
  <c r="H33" i="29" s="1" a="1"/>
  <c r="H33" i="29" s="1"/>
  <c r="H34" i="29" l="1" a="1"/>
  <c r="H34" i="29" s="1"/>
  <c r="H37" i="29" s="1" a="1"/>
  <c r="H37" i="29" s="1"/>
  <c r="H35" i="29" a="1"/>
  <c r="H35" i="29" s="1"/>
  <c r="H38" i="29" l="1" a="1"/>
  <c r="H38" i="29" s="1"/>
  <c r="H39" i="29" s="1" a="1"/>
  <c r="H39" i="29" s="1"/>
  <c r="H40" i="29" s="1" a="1"/>
  <c r="H40" i="29" s="1"/>
  <c r="H41" i="29" s="1" a="1"/>
  <c r="H41" i="29" s="1"/>
  <c r="H42" i="29" s="1" a="1"/>
  <c r="H42" i="29" s="1"/>
  <c r="H43" i="29" s="1" a="1"/>
  <c r="H43" i="29" s="1"/>
  <c r="H44" i="29" s="1" a="1"/>
  <c r="H44" i="29" s="1"/>
  <c r="H45" i="29" s="1" a="1"/>
  <c r="H45" i="29" s="1"/>
  <c r="H46" i="29" s="1" a="1"/>
  <c r="H46" i="29" s="1"/>
  <c r="H47" i="29" s="1" a="1"/>
  <c r="H47" i="29" s="1"/>
  <c r="H48" i="29" s="1" a="1"/>
  <c r="H48" i="29" s="1"/>
  <c r="Z22" i="16"/>
  <c r="AC15" i="16"/>
  <c r="AC22" i="16" s="1"/>
  <c r="AD15" i="16"/>
  <c r="AD22" i="16" s="1"/>
  <c r="AK15" i="16"/>
  <c r="AG15" i="16"/>
  <c r="AG22" i="16" s="1"/>
  <c r="AK22" i="16" l="1"/>
  <c r="AJ15" i="16"/>
  <c r="D2" i="16" s="1"/>
  <c r="AJ22" i="16"/>
  <c r="D9" i="16" l="1"/>
  <c r="E8" i="16" l="1"/>
  <c r="E7" i="16"/>
  <c r="E6" i="16"/>
  <c r="E3" i="16"/>
  <c r="E5" i="16"/>
  <c r="E4" i="16"/>
  <c r="E2" i="16"/>
  <c r="E9" i="16" s="1"/>
  <c r="E16" i="16" s="1"/>
  <c r="E15" i="16" s="1"/>
  <c r="E18" i="16" s="1"/>
  <c r="E19" i="16" s="1"/>
  <c r="D16" i="16"/>
  <c r="D15" i="16" s="1"/>
  <c r="D18" i="16" s="1"/>
  <c r="D19"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Matt Woodward</author>
    <author>F M Woodward</author>
  </authors>
  <commentList>
    <comment ref="C27" authorId="0" shapeId="0" xr:uid="{90AFFB4D-02FC-BE47-B661-07EF6CED5A1C}">
      <text>
        <r>
          <rPr>
            <b/>
            <sz val="10"/>
            <color rgb="FF000000"/>
            <rFont val="Tahoma"/>
            <family val="2"/>
          </rPr>
          <t>Matt Woodward:</t>
        </r>
        <r>
          <rPr>
            <sz val="10"/>
            <color rgb="FF000000"/>
            <rFont val="Tahoma"/>
            <family val="2"/>
          </rPr>
          <t xml:space="preserve">
</t>
        </r>
        <r>
          <rPr>
            <sz val="10"/>
            <color rgb="FF000000"/>
            <rFont val="Tahoma"/>
            <family val="2"/>
          </rPr>
          <t xml:space="preserve">Moved 2.3 to OCO for Base to align with PB19 reqeust
</t>
        </r>
      </text>
    </comment>
    <comment ref="C68" authorId="1" shapeId="0" xr:uid="{00000000-0006-0000-0400-000001000000}">
      <text>
        <r>
          <rPr>
            <b/>
            <sz val="10"/>
            <color rgb="FF000000"/>
            <rFont val="Calibri"/>
            <family val="2"/>
          </rPr>
          <t>F M Woodward:</t>
        </r>
        <r>
          <rPr>
            <sz val="10"/>
            <color rgb="FF000000"/>
            <rFont val="Calibri"/>
            <family val="2"/>
          </rPr>
          <t xml:space="preserve">
</t>
        </r>
        <r>
          <rPr>
            <sz val="10"/>
            <color rgb="FF000000"/>
            <rFont val="Calibri"/>
            <family val="2"/>
          </rPr>
          <t xml:space="preserve">+4.9B of non-DoD classified from other, pg 65 of 2013 overview
</t>
        </r>
      </text>
    </comment>
    <comment ref="C80" authorId="0" shapeId="0" xr:uid="{9154F2CC-D226-4C4A-B296-160204375FD8}">
      <text>
        <r>
          <rPr>
            <b/>
            <sz val="10"/>
            <color rgb="FF000000"/>
            <rFont val="Tahoma"/>
            <family val="2"/>
          </rPr>
          <t>Matt Woodward:</t>
        </r>
        <r>
          <rPr>
            <sz val="10"/>
            <color rgb="FF000000"/>
            <rFont val="Tahoma"/>
            <family val="2"/>
          </rPr>
          <t xml:space="preserve">
</t>
        </r>
        <r>
          <rPr>
            <sz val="10"/>
            <color rgb="FF000000"/>
            <rFont val="Tahoma"/>
            <family val="2"/>
          </rPr>
          <t>Sequestration</t>
        </r>
      </text>
    </comment>
    <comment ref="C145" authorId="0" shapeId="0" xr:uid="{2FB3C37E-16C4-AD4A-A6B8-EE498A586DEB}">
      <text>
        <r>
          <rPr>
            <b/>
            <sz val="10"/>
            <color rgb="FF000000"/>
            <rFont val="Tahoma"/>
            <family val="2"/>
          </rPr>
          <t>Matt Woodward:</t>
        </r>
        <r>
          <rPr>
            <sz val="10"/>
            <color rgb="FF000000"/>
            <rFont val="Tahoma"/>
            <family val="2"/>
          </rPr>
          <t xml:space="preserve">
</t>
        </r>
        <r>
          <rPr>
            <sz val="10"/>
            <color rgb="FF000000"/>
            <rFont val="Tahoma"/>
            <family val="2"/>
          </rPr>
          <t xml:space="preserve">Recovery Act
</t>
        </r>
      </text>
    </comment>
    <comment ref="C150" authorId="1" shapeId="0" xr:uid="{00000000-0006-0000-0400-000002000000}">
      <text>
        <r>
          <rPr>
            <b/>
            <sz val="10"/>
            <color rgb="FF000000"/>
            <rFont val="Calibri"/>
            <family val="2"/>
          </rPr>
          <t>F M Woodward:</t>
        </r>
        <r>
          <rPr>
            <sz val="10"/>
            <color rgb="FF000000"/>
            <rFont val="Calibri"/>
            <family val="2"/>
          </rPr>
          <t xml:space="preserve">
</t>
        </r>
        <r>
          <rPr>
            <sz val="10"/>
            <color rgb="FF000000"/>
            <rFont val="Calibri"/>
            <family val="2"/>
          </rPr>
          <t xml:space="preserve">+$6.6B in non-dod classified, pg 81, 2009 Sup request </t>
        </r>
      </text>
    </comment>
    <comment ref="C160" authorId="0" shapeId="0" xr:uid="{3308FCEE-26B9-9D44-B3E0-25F75A82B214}">
      <text>
        <r>
          <rPr>
            <b/>
            <sz val="10"/>
            <color rgb="FF000000"/>
            <rFont val="Tahoma"/>
            <family val="2"/>
          </rPr>
          <t>Matt Woodward:</t>
        </r>
        <r>
          <rPr>
            <sz val="10"/>
            <color rgb="FF000000"/>
            <rFont val="Tahoma"/>
            <family val="2"/>
          </rPr>
          <t xml:space="preserve">
</t>
        </r>
        <r>
          <rPr>
            <sz val="10"/>
            <color rgb="FF000000"/>
            <rFont val="Tahoma"/>
            <family val="2"/>
          </rPr>
          <t>removed  non-DoD Classified</t>
        </r>
      </text>
    </comment>
    <comment ref="C164" authorId="1" shapeId="0" xr:uid="{00000000-0006-0000-0400-000004000000}">
      <text>
        <r>
          <rPr>
            <b/>
            <sz val="10"/>
            <color rgb="FF000000"/>
            <rFont val="Calibri"/>
            <family val="2"/>
          </rPr>
          <t>F M Woodward:</t>
        </r>
        <r>
          <rPr>
            <sz val="10"/>
            <color rgb="FF000000"/>
            <rFont val="Calibri"/>
            <family val="2"/>
          </rPr>
          <t xml:space="preserve">
</t>
        </r>
        <r>
          <rPr>
            <sz val="10"/>
            <color rgb="FF000000"/>
            <rFont val="Calibri"/>
            <family val="2"/>
          </rPr>
          <t>+$5.9 to combine non DoD classified with MIP</t>
        </r>
      </text>
    </comment>
    <comment ref="C175" authorId="0" shapeId="0" xr:uid="{95672483-CA65-404B-9939-4DC6094F1833}">
      <text>
        <r>
          <rPr>
            <b/>
            <sz val="10"/>
            <color rgb="FF000000"/>
            <rFont val="Tahoma"/>
            <family val="2"/>
          </rPr>
          <t>Matt Woodward:</t>
        </r>
        <r>
          <rPr>
            <sz val="10"/>
            <color rgb="FF000000"/>
            <rFont val="Tahoma"/>
            <family val="2"/>
          </rPr>
          <t xml:space="preserve">
</t>
        </r>
        <r>
          <rPr>
            <sz val="10"/>
            <color rgb="FF000000"/>
            <rFont val="Tahoma"/>
            <family val="2"/>
          </rPr>
          <t>Other supplementals</t>
        </r>
      </text>
    </comment>
    <comment ref="C176" authorId="0" shapeId="0" xr:uid="{E5B192C1-6603-9642-AF46-3402209E4B3D}">
      <text>
        <r>
          <rPr>
            <b/>
            <sz val="10"/>
            <color rgb="FF000000"/>
            <rFont val="Tahoma"/>
            <family val="2"/>
          </rPr>
          <t>Matt Woodward:</t>
        </r>
        <r>
          <rPr>
            <sz val="10"/>
            <color rgb="FF000000"/>
            <rFont val="Tahoma"/>
            <family val="2"/>
          </rPr>
          <t xml:space="preserve">
</t>
        </r>
        <r>
          <rPr>
            <sz val="10"/>
            <color rgb="FF000000"/>
            <rFont val="Tahoma"/>
            <family val="2"/>
          </rPr>
          <t xml:space="preserve">removed non-DoD Classified
</t>
        </r>
      </text>
    </comment>
  </commentList>
</comments>
</file>

<file path=xl/sharedStrings.xml><?xml version="1.0" encoding="utf-8"?>
<sst xmlns="http://schemas.openxmlformats.org/spreadsheetml/2006/main" count="2438" uniqueCount="593">
  <si>
    <t>Operations</t>
  </si>
  <si>
    <t>Force</t>
  </si>
  <si>
    <t>Iraq</t>
  </si>
  <si>
    <t>CERP</t>
  </si>
  <si>
    <t>Subtotal</t>
  </si>
  <si>
    <t>Reconstitution</t>
  </si>
  <si>
    <t>Enacted</t>
  </si>
  <si>
    <t>Total</t>
  </si>
  <si>
    <t>Request</t>
  </si>
  <si>
    <t>--</t>
  </si>
  <si>
    <t>Afghanistan</t>
  </si>
  <si>
    <t>Army</t>
  </si>
  <si>
    <t>Navy</t>
  </si>
  <si>
    <t>In-Theater</t>
  </si>
  <si>
    <t>Actual</t>
  </si>
  <si>
    <t>In-Theater Support (outside of Afghanistan)</t>
  </si>
  <si>
    <t>Operations/Force Protection (in Afghanistan)</t>
  </si>
  <si>
    <t>Joint Improvised Explosive Device (IED) Defeat</t>
  </si>
  <si>
    <t>Afghanistan Security Forces Fund (ASFF)</t>
  </si>
  <si>
    <t>Commander's Emergency Response Program (CERP)</t>
  </si>
  <si>
    <t>Task Force for Business Stability Operations (TFBSO)</t>
  </si>
  <si>
    <t>Office of Security Cooperation – Iraq (OSC-I)</t>
  </si>
  <si>
    <t>Temporary Military End Strength</t>
  </si>
  <si>
    <t>European Reassurance Initiative (ERI)</t>
  </si>
  <si>
    <t>Support for Coalition Forces (Incl. Lift and Sustain)</t>
  </si>
  <si>
    <t>Unexploded Ordnance Clean-up</t>
  </si>
  <si>
    <t>Equipment Reset and Readiness</t>
  </si>
  <si>
    <t>Counterterrorism Partnerships Fund (CTPF)</t>
  </si>
  <si>
    <t>In CONUS/Other Mobilization</t>
  </si>
  <si>
    <t>O&amp;M</t>
  </si>
  <si>
    <t>Air Force</t>
  </si>
  <si>
    <t>Prior-year Cancellations</t>
  </si>
  <si>
    <t>Afghanistan Infrastructure Fund (AIF)</t>
  </si>
  <si>
    <t>Classified and Military Intelligence Programs</t>
  </si>
  <si>
    <t>Contingency Activities [nominal $B]</t>
  </si>
  <si>
    <t>.</t>
  </si>
  <si>
    <t>Enduring Total</t>
  </si>
  <si>
    <t>Average Strength Estimates</t>
  </si>
  <si>
    <t>Total DoD AC+RC [1000s, PB17 FYDP]</t>
  </si>
  <si>
    <t>Fraction of the Total DoD Forces</t>
  </si>
  <si>
    <t>Fraction of the AC Forces</t>
  </si>
  <si>
    <t>Total DoD AC [1000s, PB17 FYDP]</t>
  </si>
  <si>
    <t>Classified Programs</t>
  </si>
  <si>
    <t>Procurement</t>
  </si>
  <si>
    <t>Military Personnel</t>
  </si>
  <si>
    <t>Military Construction</t>
  </si>
  <si>
    <t>Defense-Wide</t>
  </si>
  <si>
    <t>Bipartisan Budget Act Compliance/non-war Congressional Adds</t>
  </si>
  <si>
    <t>Milcon</t>
  </si>
  <si>
    <t>Iraq Train and Equip Fund (ITEF, ISFF,STEF,CTEF)</t>
  </si>
  <si>
    <t>………………….</t>
  </si>
  <si>
    <t xml:space="preserve">Operations/Force Protection </t>
  </si>
  <si>
    <t xml:space="preserve">In-Theater Support </t>
  </si>
  <si>
    <t>2016 Enacted</t>
  </si>
  <si>
    <t>2017 Nov</t>
  </si>
  <si>
    <t>2017 March</t>
  </si>
  <si>
    <t>2017 Total</t>
  </si>
  <si>
    <t>National Guard and Reserve/Military Readiness</t>
  </si>
  <si>
    <t>Syria Train and Equip Fund</t>
  </si>
  <si>
    <t>Non-DoD Classified</t>
  </si>
  <si>
    <t>Force Protection</t>
  </si>
  <si>
    <t>for domestic National Guard and Reserve Equipment).</t>
  </si>
  <si>
    <t>**Includes rescissions enacted in FY 2012 for FY 2010 OCO appropriations.</t>
  </si>
  <si>
    <t>Baseline Fuel</t>
  </si>
  <si>
    <t>Supplemental</t>
  </si>
  <si>
    <t>FY 2010</t>
  </si>
  <si>
    <t>FY2009</t>
  </si>
  <si>
    <t>Continuing the Fight</t>
  </si>
  <si>
    <t>IED Defeat</t>
  </si>
  <si>
    <t>Military Intelligence Program</t>
  </si>
  <si>
    <t>Iraq Security Forces</t>
  </si>
  <si>
    <t>Afghan National Security Forces</t>
  </si>
  <si>
    <t>Pakistan Counterinsurgency Capability</t>
  </si>
  <si>
    <t>Coalition Support</t>
  </si>
  <si>
    <t>Grow the Force / Accelerate Grow the Force</t>
  </si>
  <si>
    <t>U.S. Southwest Border Security (FY 09/10)</t>
  </si>
  <si>
    <t>Other Requests and Non-DoD Classified</t>
  </si>
  <si>
    <t>Subtotal Additional Requests</t>
  </si>
  <si>
    <t>Subtotal Continuing the Fight</t>
  </si>
  <si>
    <t> Bridge Enacted  </t>
  </si>
  <si>
    <t> Supplemental     </t>
  </si>
  <si>
    <t> Total         </t>
  </si>
  <si>
    <t>BCTs / RCTs</t>
  </si>
  <si>
    <t>Border Security with Mexico</t>
  </si>
  <si>
    <t>1 Additional Requests include $3.4 billion to be cancelled from the Base budget to offset the costs in the FY 2009 Supplemental Request ($2.2B for Accelerate/Grow the Force; $0.4B for Family Support; $0.3B</t>
  </si>
  <si>
    <t>for NCR Acceleration, $0.5B for Military Personnel). 2 FY 2009 column includes amounts for Wounded Warrior and Family Support programs. $0.3B is included in FY 2009 for National Capital Region</t>
  </si>
  <si>
    <t>Acceleration. 3 Reflects the requested reappropriation of $181.5 million from the O&amp;M, Defense-Wide appropriation to the Military Construction, Defense-wide appropriation associated with a general provision</t>
  </si>
  <si>
    <t>to properly fund a National Security Agency project. 4 Includes $6.6 million for a National Security Agency classified Military Construction project.</t>
  </si>
  <si>
    <t>a request for a cancellation/reappropriation of $1.0B ISFF funding provided in the FY09 Bridge to make it available until September 30, 2010.</t>
  </si>
  <si>
    <t>1 Additional Requests include $3.4 billion to be cancelled from the Base budget to offset the costs in the FY 2009 Supplemental Request ($2.2B for Accelerate/Grow the Force; $0.4B for Family Support; $0.3B for NCR Acceleration; $0.5</t>
  </si>
  <si>
    <t>for Military Personnel). 2 Congress appropriated funding for Grow the Force in FY 2007 and Accelerate Grow the Force in FY 2008. In FY 2009, Congress appropriated $0.1B in Bridge funding and the Department is requesting an</t>
  </si>
  <si>
    <t>additional $2.2B to fund Army and Marine Corps Accelerate Grow the Force. 3 FY 2007, FY 2008 and FY 2009 columns include amounts for Wounded Warrior and Family Support programs. $0.3B is included in FY 2009 for National</t>
  </si>
  <si>
    <t>Capital Region Acceleration. 4 FY 2007, FY 2008 and FY 2009 columns include amounts for Non-DoD Clasified programs. FY 2007 / FY 2008 columns include amounts for other requests, e.g., baseline fuel. 5 The FY09 Supplemental</t>
  </si>
  <si>
    <t>Request includes a request for a cancellation/reappropriation within the Base budget: $0.2B from O&amp;M, Defense-Wide to Military Construction, Defense-Wide. 6 The FY09</t>
  </si>
  <si>
    <t>Supplemental Request includes a request for a cancellation/reappropriation of $0.1B of $2.0B ASFF funding provided in the FY09 Bridge to make it available until September 30, 2010. 7 The FY09 Supplemental Request includes</t>
  </si>
  <si>
    <t>Table 2, page 82</t>
  </si>
  <si>
    <t>FY2008</t>
  </si>
  <si>
    <t>Table 2, page 75</t>
  </si>
  <si>
    <t>Iraq and Afghan Security Forces</t>
  </si>
  <si>
    <t>Regional War on Terror</t>
  </si>
  <si>
    <t>Modularity</t>
  </si>
  <si>
    <t>Enhancing Ground Forces</t>
  </si>
  <si>
    <t>U.S. Forces *Plus Up*</t>
  </si>
  <si>
    <t>BCT/RCT</t>
  </si>
  <si>
    <t>FY2007</t>
  </si>
  <si>
    <t>Title IX</t>
  </si>
  <si>
    <t>Grow the Force</t>
  </si>
  <si>
    <t>FY2006*</t>
  </si>
  <si>
    <t>*Reflects FY2006 enacted ammounts</t>
  </si>
  <si>
    <t>Non-GWOT Activities</t>
  </si>
  <si>
    <t>Additional Requests (1)</t>
  </si>
  <si>
    <t>Grow the Force / Accelerate Grow the force (2)</t>
  </si>
  <si>
    <t>Wounded Warrior / Family Support /NCR(3)</t>
  </si>
  <si>
    <t>Other Requests and Non-DoD Classified(4)</t>
  </si>
  <si>
    <r>
      <t>Reappropriation of ISFF Funding(</t>
    </r>
    <r>
      <rPr>
        <sz val="5"/>
        <color theme="1"/>
        <rFont val="Helvetica"/>
        <family val="2"/>
      </rPr>
      <t xml:space="preserve">7) </t>
    </r>
    <r>
      <rPr>
        <sz val="8"/>
        <color theme="1"/>
        <rFont val="Helvetica"/>
        <family val="2"/>
      </rPr>
      <t xml:space="preserve">(Two Year) </t>
    </r>
  </si>
  <si>
    <r>
      <t>Cancellation of ISFF Funding(</t>
    </r>
    <r>
      <rPr>
        <sz val="5"/>
        <color theme="1"/>
        <rFont val="Helvetica"/>
        <family val="2"/>
      </rPr>
      <t xml:space="preserve">7) </t>
    </r>
    <r>
      <rPr>
        <sz val="8"/>
        <color theme="1"/>
        <rFont val="Helvetica"/>
        <family val="2"/>
      </rPr>
      <t>(One Year)</t>
    </r>
  </si>
  <si>
    <r>
      <t>Reappropriation of ASFF Funding(</t>
    </r>
    <r>
      <rPr>
        <sz val="5"/>
        <color theme="1"/>
        <rFont val="Helvetica"/>
        <family val="2"/>
      </rPr>
      <t xml:space="preserve">6) </t>
    </r>
    <r>
      <rPr>
        <sz val="8"/>
        <color theme="1"/>
        <rFont val="Helvetica"/>
        <family val="2"/>
      </rPr>
      <t xml:space="preserve">(Two Year) </t>
    </r>
  </si>
  <si>
    <r>
      <t>Cancellation of ASFF Funding(</t>
    </r>
    <r>
      <rPr>
        <sz val="5"/>
        <color theme="1"/>
        <rFont val="Helvetica"/>
        <family val="2"/>
      </rPr>
      <t xml:space="preserve">6) </t>
    </r>
    <r>
      <rPr>
        <sz val="8"/>
        <color theme="1"/>
        <rFont val="Helvetica"/>
        <family val="2"/>
      </rPr>
      <t xml:space="preserve">(One Year) </t>
    </r>
  </si>
  <si>
    <r>
      <t>Reappropriation of Base Funding(</t>
    </r>
    <r>
      <rPr>
        <sz val="5"/>
        <color theme="1"/>
        <rFont val="Helvetica"/>
        <family val="2"/>
      </rPr>
      <t xml:space="preserve">5) </t>
    </r>
    <r>
      <rPr>
        <sz val="8"/>
        <color theme="1"/>
        <rFont val="Helvetica"/>
        <family val="2"/>
      </rPr>
      <t xml:space="preserve">(Milcon, DW) </t>
    </r>
  </si>
  <si>
    <r>
      <t>Cancellation of Base Funding(</t>
    </r>
    <r>
      <rPr>
        <sz val="5"/>
        <color theme="1"/>
        <rFont val="Helvetica"/>
        <family val="2"/>
      </rPr>
      <t xml:space="preserve">5) </t>
    </r>
    <r>
      <rPr>
        <sz val="8"/>
        <color theme="1"/>
        <rFont val="Helvetica"/>
        <family val="2"/>
      </rPr>
      <t>(O&amp;M, DW)</t>
    </r>
  </si>
  <si>
    <r>
      <t>Cancellation of Base Funding(</t>
    </r>
    <r>
      <rPr>
        <sz val="5"/>
        <color theme="1"/>
        <rFont val="Helvetica"/>
        <family val="2"/>
      </rPr>
      <t xml:space="preserve">1) </t>
    </r>
    <r>
      <rPr>
        <sz val="8"/>
        <color theme="1"/>
        <rFont val="Helvetica"/>
        <family val="2"/>
      </rPr>
      <t>(Procurement)</t>
    </r>
  </si>
  <si>
    <r>
      <t>Cancellation of Base Funding(</t>
    </r>
    <r>
      <rPr>
        <sz val="5"/>
        <color theme="1"/>
        <rFont val="Helvetica"/>
        <family val="2"/>
      </rPr>
      <t xml:space="preserve">1) </t>
    </r>
    <r>
      <rPr>
        <sz val="8"/>
        <color theme="1"/>
        <rFont val="Helvetica"/>
        <family val="2"/>
      </rPr>
      <t xml:space="preserve">(Fuel Savings) </t>
    </r>
  </si>
  <si>
    <t>Supplemental Request(1)</t>
  </si>
  <si>
    <r>
      <t>Cancellation of Base Funding(1)</t>
    </r>
    <r>
      <rPr>
        <vertAlign val="superscript"/>
        <sz val="12"/>
        <color theme="1"/>
        <rFont val="Calibri"/>
        <family val="2"/>
        <scheme val="minor"/>
      </rPr>
      <t xml:space="preserve"> </t>
    </r>
    <r>
      <rPr>
        <sz val="12"/>
        <color theme="1"/>
        <rFont val="Calibri"/>
        <family val="2"/>
        <scheme val="minor"/>
      </rPr>
      <t>(Fuel Savings)</t>
    </r>
  </si>
  <si>
    <t>Cancellation of Base Funding(1) (Procurement)</t>
  </si>
  <si>
    <t>Table 5-10, Page 5-18</t>
  </si>
  <si>
    <t>Additional Requests(1)</t>
  </si>
  <si>
    <t>Wounded Warrior / Family Support /NCR(2)</t>
  </si>
  <si>
    <t>Table 6-1, Page 6-5</t>
  </si>
  <si>
    <t>FY2011</t>
  </si>
  <si>
    <t>Reconstitution/Reset</t>
  </si>
  <si>
    <t>FY 2011
Request</t>
  </si>
  <si>
    <t>Military Intelligence Program (Incl ISR)</t>
  </si>
  <si>
    <t>Afghanistan Security Forces</t>
  </si>
  <si>
    <t>Army End Strength</t>
  </si>
  <si>
    <t>Navy End Strength</t>
  </si>
  <si>
    <t>Total Operations</t>
  </si>
  <si>
    <r>
      <rPr>
        <b/>
        <sz val="9"/>
        <rFont val="Arial"/>
        <family val="2"/>
      </rPr>
      <t>Force</t>
    </r>
  </si>
  <si>
    <r>
      <rPr>
        <sz val="9"/>
        <rFont val="Arial"/>
        <family val="2"/>
      </rPr>
      <t>Iraq</t>
    </r>
  </si>
  <si>
    <r>
      <rPr>
        <sz val="9"/>
        <rFont val="Arial"/>
        <family val="2"/>
      </rPr>
      <t>Afghanistan</t>
    </r>
  </si>
  <si>
    <r>
      <rPr>
        <sz val="9"/>
        <rFont val="Arial"/>
        <family val="2"/>
      </rPr>
      <t>Afghanistan Increase</t>
    </r>
  </si>
  <si>
    <r>
      <rPr>
        <sz val="9"/>
        <rFont val="Arial"/>
        <family val="2"/>
      </rPr>
      <t>Additional Enablers*</t>
    </r>
  </si>
  <si>
    <r>
      <rPr>
        <b/>
        <sz val="9"/>
        <rFont val="Arial"/>
        <family val="2"/>
      </rPr>
      <t>Iraq and Afghanistan</t>
    </r>
  </si>
  <si>
    <r>
      <rPr>
        <sz val="9"/>
        <rFont val="Arial"/>
        <family val="2"/>
      </rPr>
      <t>In-Theater Support</t>
    </r>
  </si>
  <si>
    <r>
      <rPr>
        <b/>
        <sz val="9"/>
        <rFont val="Arial"/>
        <family val="2"/>
      </rPr>
      <t>Subtotal OIF/OEF</t>
    </r>
  </si>
  <si>
    <r>
      <rPr>
        <sz val="9"/>
        <rFont val="Arial"/>
        <family val="2"/>
      </rPr>
      <t>In CONUS Mobilization</t>
    </r>
  </si>
  <si>
    <r>
      <rPr>
        <b/>
        <sz val="9"/>
        <color rgb="FFFFFFFF"/>
        <rFont val="Arial"/>
        <family val="2"/>
      </rPr>
      <t>Total Force Levels</t>
    </r>
  </si>
  <si>
    <t>FY 2011</t>
  </si>
  <si>
    <r>
      <rPr>
        <b/>
        <sz val="9"/>
        <color theme="1"/>
        <rFont val="Arial"/>
        <family val="2"/>
      </rPr>
      <t>FY 2009</t>
    </r>
  </si>
  <si>
    <r>
      <rPr>
        <b/>
        <sz val="9"/>
        <color theme="1"/>
        <rFont val="Arial"/>
        <family val="2"/>
      </rPr>
      <t>FY 2010</t>
    </r>
  </si>
  <si>
    <r>
      <rPr>
        <b/>
        <sz val="9"/>
        <color theme="1"/>
        <rFont val="Arial"/>
        <family val="2"/>
      </rPr>
      <t>FY 2011</t>
    </r>
  </si>
  <si>
    <t>FY2012
Request</t>
  </si>
  <si>
    <t>Improvised Explosive Devices (IED) Defeat</t>
  </si>
  <si>
    <t>Military Intelligence Program (Includes ISR)</t>
  </si>
  <si>
    <t>Iraq Security Forces Fund (ISFF)</t>
  </si>
  <si>
    <t>Afghanistan Infrastructure Fund (AIF)*</t>
  </si>
  <si>
    <t>Commander’s Emergency Response Program (CERP)*</t>
  </si>
  <si>
    <t>Equipment Reset</t>
  </si>
  <si>
    <t>Army Temporary End Strength</t>
  </si>
  <si>
    <t>Navy Temporary End Strength</t>
  </si>
  <si>
    <t>Table 6-3, Page 6-5</t>
  </si>
  <si>
    <t>Functional Category Breakout</t>
  </si>
  <si>
    <t>FY 2010
Enacted</t>
  </si>
  <si>
    <t>FY 2012
Request</t>
  </si>
  <si>
    <t>Afghanistan and Iraq</t>
  </si>
  <si>
    <t>In-Theater Support</t>
  </si>
  <si>
    <t>Subtotal OND/OEF</t>
  </si>
  <si>
    <t>In CONUS Mobilization</t>
  </si>
  <si>
    <t>Total Force Levels</t>
  </si>
  <si>
    <t>* For purposes of estimating costs, this assumes enablers above the 30K buildup. Actual number will be determined by
operational requirements.
** U.S. forces will be deployed in Iraq only for the first quarter of FY 2012. In accordance with the U.S.-Iraq Security Agreement, all
U.S. forces in Iraq will withdraw by December 31, 2011.</t>
  </si>
  <si>
    <t>Afghanistan*</t>
  </si>
  <si>
    <t>Iraq**</t>
  </si>
  <si>
    <t>Table 6-5, page 6-7</t>
  </si>
  <si>
    <t>Military Intelligence Program (MIP) (Includes ISR)</t>
  </si>
  <si>
    <t>Support for Coalition Forces</t>
  </si>
  <si>
    <t>Temporary End Strength</t>
  </si>
  <si>
    <t>Non-war/Other*</t>
  </si>
  <si>
    <t>Rescissions**</t>
  </si>
  <si>
    <t>Total including Rescissions</t>
  </si>
  <si>
    <t>FY2012</t>
  </si>
  <si>
    <t>FY2013</t>
  </si>
  <si>
    <t>Table 6-3, page 6-5</t>
  </si>
  <si>
    <t>Enacted*</t>
  </si>
  <si>
    <t>* Reflects base budget amounts transferred by the Congress to OCO, and congressional non-war adds (e.g., $1B</t>
  </si>
  <si>
    <t>* Revised from the FY 2012 President’s Budget estimate of 98,250 average annual troops In Afghanistan to reflect</t>
  </si>
  <si>
    <t>the President’s decision to redeploy approximately 33,000 troops from Afghanistan by the summer of 2012.</t>
  </si>
  <si>
    <t>**U.S. forces were deployed in Iraq only for the first quarter of FY 2012. In accordance with the U.S.-Iraq Security</t>
  </si>
  <si>
    <t>Agreement, all U.S. forces withdrew by December 31, 2011.</t>
  </si>
  <si>
    <t>(Annual Average Troop Strength)</t>
  </si>
  <si>
    <t>FY 2013
Enacted1/</t>
  </si>
  <si>
    <t>FY 2014
Request</t>
  </si>
  <si>
    <t>Operations/Force Protection</t>
  </si>
  <si>
    <t>Military Intelligence Program (MIP)</t>
  </si>
  <si>
    <t>Office of Security Cooperation - Iraq (OSC-I)</t>
  </si>
  <si>
    <t>Investment/Equipment Reset</t>
  </si>
  <si>
    <t>Military Construction2/</t>
  </si>
  <si>
    <t>-</t>
  </si>
  <si>
    <t>Other3/</t>
  </si>
  <si>
    <t>Prior-Year Cancellations4/</t>
  </si>
  <si>
    <t>Total including Prior-Year Cancellations</t>
  </si>
  <si>
    <t>Figure 3, page 5</t>
  </si>
  <si>
    <r>
      <t xml:space="preserve">1/ </t>
    </r>
    <r>
      <rPr>
        <i/>
        <sz val="9"/>
        <color theme="1"/>
        <rFont val="Arial"/>
        <family val="2"/>
      </rPr>
      <t>Reflects a preliminary allocation of OCO appropriations, excluding sequestration </t>
    </r>
  </si>
  <si>
    <r>
      <t xml:space="preserve">2/ </t>
    </r>
    <r>
      <rPr>
        <i/>
        <sz val="9"/>
        <color theme="1"/>
        <rFont val="Arial"/>
        <family val="2"/>
      </rPr>
      <t>FY 2013 column includes congressional cancellation of prior year military constructions funds and offsetting </t>
    </r>
  </si>
  <si>
    <t>increase to Navy and Marine Corps military construction </t>
  </si>
  <si>
    <r>
      <t xml:space="preserve">3/ </t>
    </r>
    <r>
      <rPr>
        <i/>
        <sz val="9"/>
        <color theme="1"/>
        <rFont val="Arial"/>
        <family val="2"/>
      </rPr>
      <t>Includes non-war amounts provided by Congress, e.g., Army reset moved from the Department’s base </t>
    </r>
  </si>
  <si>
    <t>budget to OCO and additive amounts for National Guard Reserve Equipment, and certain classified activities </t>
  </si>
  <si>
    <r>
      <t>4/</t>
    </r>
    <r>
      <rPr>
        <i/>
        <sz val="9"/>
        <color theme="1"/>
        <rFont val="Arial"/>
        <family val="2"/>
      </rPr>
      <t>FY 2013 column reflects congressional cancellations; FY 2014 column reflect cancellations proposed by the </t>
    </r>
  </si>
  <si>
    <t>Department </t>
  </si>
  <si>
    <t>NOTE: Operations/Force Protection numbers may not match amounts shown in Table 4, Resource Exhibits, due to rounding</t>
  </si>
  <si>
    <t>OCO Functional/Mission Category Breakout</t>
  </si>
  <si>
    <t>FY 2012
Actual</t>
  </si>
  <si>
    <t>FY 2013
Estimated</t>
  </si>
  <si>
    <t>Subtotal OEF/Iraq</t>
  </si>
  <si>
    <t>In CONUS3//Other Mobilization</t>
  </si>
  <si>
    <t>1/U.S. forces were deployed in Iraq only for the first quarter of FY 2012. In accordance with the U.S.-Iraq Security Agreement, all U.S .combat forces withdrew by December 31, 2011
2/Office of Security Cooperation-Iraq activities are still on-going under Chief of Mission authority; military strength in FY 2013 is about 230, declining to about 125 in FY 2014
3/ In-CONUS = In the Continental United States</t>
  </si>
  <si>
    <t>Figure 5 Page 9</t>
  </si>
  <si>
    <t>OCO Budget</t>
  </si>
  <si>
    <t>FY 2014
Enacted*</t>
  </si>
  <si>
    <t>FY 2015
Request</t>
  </si>
  <si>
    <t>FY 2015
Change</t>
  </si>
  <si>
    <t>FY 2015
Updated Request</t>
  </si>
  <si>
    <t>Operations/Force Protection in Afghanistan</t>
  </si>
  <si>
    <t>In-Theater Support (Outside of Afghanistan)</t>
  </si>
  <si>
    <t>Unexploded Ordnance Removal</t>
  </si>
  <si>
    <t>Iraq Train and Equip Fund (ITEF)</t>
  </si>
  <si>
    <t>Other Classified**</t>
  </si>
  <si>
    <t>Total OCO</t>
  </si>
  <si>
    <t>Prior-Year Cancellation</t>
  </si>
  <si>
    <t>Total OCO including Prior-Year Cancellation</t>
  </si>
  <si>
    <t>Figure 3, page 3</t>
  </si>
  <si>
    <t>* FY 2014 Enacted includes base budget amounts transferred by the Congress to OCO
** Includes non-war amounts provided by Congress and certain classified activities</t>
  </si>
  <si>
    <t>FY 2013
Actual</t>
  </si>
  <si>
    <t>FY 2014
Estimated</t>
  </si>
  <si>
    <t>Afghanistan (OEF)</t>
  </si>
  <si>
    <t>Iraq (OIR)*</t>
  </si>
  <si>
    <t>In-CONUS**/Other Mobilization</t>
  </si>
  <si>
    <t>Figure 3, page 2</t>
  </si>
  <si>
    <t>* Includes 1,500 U.S. military personnel to support the Iraq Train and Equip mission</t>
  </si>
  <si>
    <t>** In-CONUS = In the Continental United States</t>
  </si>
  <si>
    <t>Syria Train and Equip Fund (STEF)/2</t>
  </si>
  <si>
    <t>Investment/Equipment Reset and Readiness</t>
  </si>
  <si>
    <t>DoD Classified Activities</t>
  </si>
  <si>
    <t>Non-DoD and Other Classified Activities/3</t>
  </si>
  <si>
    <t>Counterterrorism Partnerships Fund (CTPF)/2</t>
  </si>
  <si>
    <t>National Guard and Reserve Equipment/Military Readiness/Ebola</t>
  </si>
  <si>
    <t>FY2015 Enacted(1)</t>
  </si>
  <si>
    <t>FY2016 Request</t>
  </si>
  <si>
    <t>Figure 7-3, page 7-3</t>
  </si>
  <si>
    <t>1/ Reflects Total Obligation Authority provided in the Consolidated Appropriations Act, 2014 (PL 113-76)
2/ The FY 2015 CTPF total of $1.3 billion included $500 million for Syria Train and Equip
3/ Includes non-war amounts provided by Congress and certain classified activities</t>
  </si>
  <si>
    <t>FY 2014
Actual</t>
  </si>
  <si>
    <t>FY 2016
Request</t>
  </si>
  <si>
    <t>Iraq (OIR)1</t>
  </si>
  <si>
    <t>In CONUS2/Other Mobilization</t>
  </si>
  <si>
    <t>Figure 7-2, page 7-2</t>
  </si>
  <si>
    <t>1 Includes additional forces for counter-ISIL operations
2 In-CONUS = In the Continental United States</t>
  </si>
  <si>
    <t>FY 2017
Request</t>
  </si>
  <si>
    <t>FY 2017
November Amendment</t>
  </si>
  <si>
    <t>LESS:
Enacted Security Assistance</t>
  </si>
  <si>
    <t>Request for Additional FY 2017
Appropriations</t>
  </si>
  <si>
    <t>FY 2017
Remaining Request</t>
  </si>
  <si>
    <t>Joint Improvised-Threat Defeat Fund</t>
  </si>
  <si>
    <t>Counter-ISIS Train and Equip Fund (CTEF) *</t>
  </si>
  <si>
    <t>+&lt;0.1</t>
  </si>
  <si>
    <t>Bipartisan Budget Act (BBA) of 2015 Compliance</t>
  </si>
  <si>
    <t>Figure 2.4, page 9</t>
  </si>
  <si>
    <t>* CTEF is a new account and includes the original request of $630 million for the Iraq Train and Equip Fund (ITEF) and $250 million for the Syria Train and Equip Fund (STEF), plus an additional request of $446.4 million for ITEF related requirements and $180 million for STEF related requirements in this request for additional appropriations.</t>
  </si>
  <si>
    <t>FY 2017 Request</t>
  </si>
  <si>
    <t>FY 2017
November OCO Amendment</t>
  </si>
  <si>
    <t>FY 2017 Revised Request</t>
  </si>
  <si>
    <t>Afghanistan (OFS)</t>
  </si>
  <si>
    <t>Iraq/Syria (OIR)</t>
  </si>
  <si>
    <t>In-Theater Support*</t>
  </si>
  <si>
    <t>Figure 2.2, page 6</t>
  </si>
  <si>
    <t>* In-Theater support includes support for Afghanistan/Iraq, Combined Joint Task Force (CJTF) Horn of Africa (HOA)/Northwest Africa counterterrorism, and ERI (including approximately 10,500 afloat forces).</t>
  </si>
  <si>
    <t>FY 2016
Enacted</t>
  </si>
  <si>
    <t>FY 2017
Change</t>
  </si>
  <si>
    <t>Syria Train and Equip Fund (STEF)</t>
  </si>
  <si>
    <t>National Guard and Reserve Equipment/Military Readiness</t>
  </si>
  <si>
    <t>Figure 4, page 5</t>
  </si>
  <si>
    <t>* Includes counter-ISIL efforts in Libya</t>
  </si>
  <si>
    <t>FY 2017
Revised Request</t>
  </si>
  <si>
    <t>Figure 2, Page 2</t>
  </si>
  <si>
    <t>* In-Theater support includes support for Afghanistan/Iraq, Combined Joint Task Force (CJTF) Horn of Africa (HOA)/Northwest
Africa counterterrorism, and ERI (including approximately 10,500 afloat forces).
** In-CONUS = In the Continental United States</t>
  </si>
  <si>
    <t>Position</t>
  </si>
  <si>
    <t>Cancellation of Base Funding(1) (Fuel Savings)</t>
  </si>
  <si>
    <t>OCO Activity</t>
  </si>
  <si>
    <t>[nomonal $B]</t>
  </si>
  <si>
    <t>pgdp</t>
  </si>
  <si>
    <t>FY15=1</t>
  </si>
  <si>
    <t>Afghanistan Security Funding (ASFF, AIF)</t>
  </si>
  <si>
    <t>Alt-Activity Title</t>
  </si>
  <si>
    <t>OCO</t>
  </si>
  <si>
    <t>Base</t>
  </si>
  <si>
    <t>Fraction</t>
  </si>
  <si>
    <t>Unique Categoires</t>
  </si>
  <si>
    <t>reference(Tab 2 GreenBook)</t>
  </si>
  <si>
    <t>fraction enduring</t>
  </si>
  <si>
    <t xml:space="preserve">This category of incremental costs includes the fullspectrum of military operations requirements for U.S. personnel operating in Afghanistan, Iraq, and Syria. </t>
  </si>
  <si>
    <t>Funds requested in this category provide for critical combat and other support for personnel in Afghanistan and Iraq that comes from units and forces operating outside of Afghanistan and Iraq. Included are costs to support bases or installations in the Middle East (e.g., Kuwait, Qatar, and United Arab Emirates, etc.), and the incremental costs for afloat and air expeditionary forces located elsewhere in the Central Command region.</t>
  </si>
  <si>
    <t>These funds will be used to understand, develop, procure, and field measures to defeat improvised threats to U.S. forces, closing the gap between the enemy’s innovation cycles and operational capabilities used by the Joint Force. The FY 2017 budget request for the Joint Improvised-Threat Defeat Fund marks the transition of essential enduring capabilities to a permanent organization under the Defense Threat Reduction Agency (DTRA).</t>
  </si>
  <si>
    <t>This request funds the sustainment, operations, and professionalization of up to 352,000 members of the ANDSF, including 195,000 members of the Afghan National Army (ANA) and 157,000 Afghan National Police (ANP). The request funds the sustainment of the ANA and ANP and supports further development of the capacity of the Afghan Ministries of Defense and Interior to sustain and command and control their forces.</t>
  </si>
  <si>
    <t>Amounts requested finance coalition, friendly forces, and a variety of support requirements for key foreign partners who wish to participate in U.S. military operations but lack financial means. Such support reduces the burden on U.S. forces and is critical to overall mission success.</t>
  </si>
  <si>
    <t>The request funds the replenishment, replacement, and repair of equipment and munitions expended, destroyed, damaged, or worn out due to prolonged use in combat operations.</t>
  </si>
  <si>
    <t>The continued and evolving nature of the Islamic State of Iraq and Levant (ISIL), also known as Daesh, underscores the importance of training, advising, assisting, and equipping Iraqi Security Forces (ISF). The Iraq Train and Equip Fund (ITEF) enhances the ISF's ability to liberate and secure lost territory, secure borders, protect the population, and further improve the quality of provincial and national defenses.</t>
  </si>
  <si>
    <t>will continue the President’s initiative to support a more sustainable and partnership-focused approach to counterterrorism in the U.S. Africa Command (USAFRICOM) and U.S. Central Command (USCENTCOM) areas of responsibility. The CTPF allows U.S. forces to be more readily available for other contingency operations, build better relationships with partners, and promote global security in a more cost effective manner.</t>
  </si>
  <si>
    <t>to reassure allies of the U.S. commitment to their security and territorial integrity as members of the NATO Alliance. The request provides near-term flexibility and responsiveness to the evolving concerns of U.S. allies and partners in Europe (especially Central and Eastern Europe), and help increase the capability and readiness of U.S. allies and partners. The FY 2017 funding request also supports the expansion of ERI to provide measures for a quick joint response against any threats made by aggressive actors in the region.</t>
  </si>
  <si>
    <t>1/ CTEF is a new account and includes the original request of $630 million for the Iraq Train and Equip Fund (ITEF) and $250 million for the Syria Train and Equip Fund (STEF), plus the additional March budget amendment request of $446.4 million for ITEF related requirements and $180 million for STEF related requirements.</t>
  </si>
  <si>
    <t>4/ FY 2017 requested ‘BBA Compliance’ includes base budget amounts added to the OCO budget to meet the BA) of 2015 mandated topline.</t>
  </si>
  <si>
    <r>
      <rPr>
        <b/>
        <sz val="12"/>
        <color rgb="FFFFFFFF"/>
        <rFont val="Calibri"/>
        <family val="2"/>
        <scheme val="minor"/>
      </rPr>
      <t>OCO Budget</t>
    </r>
  </si>
  <si>
    <r>
      <rPr>
        <b/>
        <sz val="12"/>
        <color rgb="FFFFFFFF"/>
        <rFont val="Calibri"/>
        <family val="2"/>
        <scheme val="minor"/>
      </rPr>
      <t>FY 2017 Request</t>
    </r>
  </si>
  <si>
    <r>
      <rPr>
        <b/>
        <sz val="12"/>
        <color rgb="FFFFFFFF"/>
        <rFont val="Calibri"/>
        <family val="2"/>
        <scheme val="minor"/>
      </rPr>
      <t>FY 2018 Request</t>
    </r>
  </si>
  <si>
    <r>
      <rPr>
        <sz val="12"/>
        <rFont val="Calibri"/>
        <family val="2"/>
        <scheme val="minor"/>
      </rPr>
      <t xml:space="preserve">Counter-ISIS Train and Equip Fund (CTEF) </t>
    </r>
    <r>
      <rPr>
        <vertAlign val="superscript"/>
        <sz val="12"/>
        <rFont val="Calibri"/>
        <family val="2"/>
        <scheme val="minor"/>
      </rPr>
      <t>/1</t>
    </r>
  </si>
  <si>
    <r>
      <rPr>
        <sz val="12"/>
        <rFont val="Calibri"/>
        <family val="2"/>
        <scheme val="minor"/>
      </rPr>
      <t xml:space="preserve">Security Cooperation </t>
    </r>
    <r>
      <rPr>
        <vertAlign val="superscript"/>
        <sz val="12"/>
        <rFont val="Calibri"/>
        <family val="2"/>
        <scheme val="minor"/>
      </rPr>
      <t>/3</t>
    </r>
  </si>
  <si>
    <r>
      <rPr>
        <sz val="12"/>
        <rFont val="Calibri"/>
        <family val="2"/>
        <scheme val="minor"/>
      </rPr>
      <t xml:space="preserve">Bipartisan Budget Act (BBA) of 2015 Compliance </t>
    </r>
    <r>
      <rPr>
        <vertAlign val="superscript"/>
        <sz val="12"/>
        <rFont val="Calibri"/>
        <family val="2"/>
        <scheme val="minor"/>
      </rPr>
      <t>/4</t>
    </r>
  </si>
  <si>
    <r>
      <rPr>
        <i/>
        <sz val="12"/>
        <rFont val="Calibri"/>
        <family val="2"/>
        <scheme val="minor"/>
      </rPr>
      <t>2/ The FY 2017 request includes $289.5 million requested in the FY 2017/2018 Iraq Train and Equip Fund (ITEF) for support to the Kurdish Peshmerga.
3/ In FY 2017, funding for Security Cooperation was appropriated as the Counterterrorism Partnerships Fund (CTPF). The National Defense Authorization Act for FY 2017 realigned CTPF funding to Operation and Maintenance, Defense-Wide and made it available for a wide range of security cooperation activities, including counterterrorism.</t>
    </r>
  </si>
  <si>
    <t>Counter-ISIS Train and Equip Fund (CTEF) /1</t>
  </si>
  <si>
    <t>Security Cooperation /3</t>
  </si>
  <si>
    <r>
      <rPr>
        <b/>
        <sz val="9"/>
        <color rgb="FFFFFFFF"/>
        <rFont val="Arial"/>
        <family val="2"/>
      </rPr>
      <t>Force</t>
    </r>
  </si>
  <si>
    <r>
      <rPr>
        <b/>
        <sz val="9"/>
        <color rgb="FFFFFFFF"/>
        <rFont val="Arial"/>
        <family val="2"/>
      </rPr>
      <t xml:space="preserve">FY 2016
</t>
    </r>
    <r>
      <rPr>
        <b/>
        <sz val="9"/>
        <color rgb="FFFFFFFF"/>
        <rFont val="Arial"/>
        <family val="2"/>
      </rPr>
      <t>Enacted</t>
    </r>
  </si>
  <si>
    <r>
      <rPr>
        <b/>
        <sz val="9"/>
        <color rgb="FFFFFFFF"/>
        <rFont val="Arial"/>
        <family val="2"/>
      </rPr>
      <t xml:space="preserve">FY 2017
</t>
    </r>
    <r>
      <rPr>
        <b/>
        <sz val="9"/>
        <color rgb="FFFFFFFF"/>
        <rFont val="Arial"/>
        <family val="2"/>
      </rPr>
      <t>Request</t>
    </r>
  </si>
  <si>
    <r>
      <rPr>
        <b/>
        <sz val="9"/>
        <color rgb="FFFFFFFF"/>
        <rFont val="Arial"/>
        <family val="2"/>
      </rPr>
      <t xml:space="preserve">FY 2018
</t>
    </r>
    <r>
      <rPr>
        <b/>
        <sz val="9"/>
        <color rgb="FFFFFFFF"/>
        <rFont val="Arial"/>
        <family val="2"/>
      </rPr>
      <t>Request</t>
    </r>
  </si>
  <si>
    <r>
      <rPr>
        <sz val="9"/>
        <rFont val="Arial"/>
        <family val="2"/>
      </rPr>
      <t>Afghanistan (OFS)</t>
    </r>
    <r>
      <rPr>
        <vertAlign val="superscript"/>
        <sz val="6"/>
        <rFont val="Arial"/>
        <family val="2"/>
      </rPr>
      <t>1</t>
    </r>
  </si>
  <si>
    <r>
      <rPr>
        <sz val="9"/>
        <rFont val="Arial"/>
        <family val="2"/>
      </rPr>
      <t>Iraq/Syria (OIR)</t>
    </r>
  </si>
  <si>
    <r>
      <rPr>
        <sz val="9"/>
        <rFont val="Arial"/>
        <family val="2"/>
      </rPr>
      <t>In-Theater Support</t>
    </r>
    <r>
      <rPr>
        <vertAlign val="superscript"/>
        <sz val="6"/>
        <rFont val="Arial"/>
        <family val="2"/>
      </rPr>
      <t>2</t>
    </r>
  </si>
  <si>
    <r>
      <rPr>
        <sz val="9"/>
        <rFont val="Arial"/>
        <family val="2"/>
      </rPr>
      <t>In CONUS</t>
    </r>
    <r>
      <rPr>
        <vertAlign val="superscript"/>
        <sz val="6"/>
        <rFont val="Arial"/>
        <family val="2"/>
      </rPr>
      <t>3</t>
    </r>
    <r>
      <rPr>
        <sz val="9"/>
        <rFont val="Arial"/>
        <family val="2"/>
      </rPr>
      <t>/Other Mobilization</t>
    </r>
  </si>
  <si>
    <r>
      <rPr>
        <b/>
        <sz val="9"/>
        <rFont val="Arial"/>
        <family val="2"/>
      </rPr>
      <t>Total Force Levels</t>
    </r>
  </si>
  <si>
    <r>
      <rPr>
        <b/>
        <i/>
        <vertAlign val="superscript"/>
        <sz val="5"/>
        <rFont val="Arial-BoldItalicMT"/>
        <family val="2"/>
      </rPr>
      <t>1</t>
    </r>
    <r>
      <rPr>
        <b/>
        <i/>
        <vertAlign val="superscript"/>
        <sz val="5"/>
        <rFont val="Arial"/>
        <family val="2"/>
      </rPr>
      <t xml:space="preserve"> </t>
    </r>
    <r>
      <rPr>
        <i/>
        <sz val="8"/>
        <rFont val="Arial"/>
        <family val="2"/>
      </rPr>
      <t xml:space="preserve">At the time of publication, this force level is under review.
</t>
    </r>
    <r>
      <rPr>
        <b/>
        <i/>
        <vertAlign val="superscript"/>
        <sz val="5"/>
        <rFont val="Arial-BoldItalicMT"/>
        <family val="2"/>
      </rPr>
      <t>2</t>
    </r>
    <r>
      <rPr>
        <b/>
        <i/>
        <vertAlign val="superscript"/>
        <sz val="5"/>
        <rFont val="Arial"/>
        <family val="2"/>
      </rPr>
      <t xml:space="preserve"> </t>
    </r>
    <r>
      <rPr>
        <i/>
        <sz val="8"/>
        <rFont val="Arial"/>
        <family val="2"/>
      </rPr>
      <t>In-Theater support includes support for Afghanistan/Iraq, Combined Joint Task Force (CJTF) HOA / NW Africa CT, and ERI (including approximately 10,500 afloat forces).</t>
    </r>
  </si>
  <si>
    <r>
      <rPr>
        <b/>
        <i/>
        <vertAlign val="superscript"/>
        <sz val="5"/>
        <rFont val="Arial-BoldItalicMT"/>
        <family val="2"/>
      </rPr>
      <t>3</t>
    </r>
    <r>
      <rPr>
        <b/>
        <i/>
        <vertAlign val="superscript"/>
        <sz val="5"/>
        <rFont val="Arial"/>
        <family val="2"/>
      </rPr>
      <t xml:space="preserve"> </t>
    </r>
    <r>
      <rPr>
        <i/>
        <sz val="8"/>
        <rFont val="Arial"/>
        <family val="2"/>
      </rPr>
      <t>In-CONUS = In the Continental United States</t>
    </r>
  </si>
  <si>
    <t>Operational Total</t>
  </si>
  <si>
    <t>OCO Total (Mil and CTR)</t>
  </si>
  <si>
    <t>Other Supplemental Changes</t>
  </si>
  <si>
    <t>Forces and Infrastructure</t>
  </si>
  <si>
    <t>Security Cooperation (ERI, CTPF)</t>
  </si>
  <si>
    <t>Average</t>
  </si>
  <si>
    <t>Total [nominal $B]</t>
  </si>
  <si>
    <t>Enduring Costs</t>
  </si>
  <si>
    <t>Enuring Costs (High Case)</t>
  </si>
  <si>
    <t>Incremental Costs</t>
  </si>
  <si>
    <t>Total Budget (Green Book Tab 2-1)</t>
  </si>
  <si>
    <t>[BA nominal $M]</t>
  </si>
  <si>
    <t>Department</t>
  </si>
  <si>
    <t>RDT&amp;E</t>
  </si>
  <si>
    <t>Family    Housing</t>
  </si>
  <si>
    <t>Revolving Funds &amp; Other</t>
  </si>
  <si>
    <t>Total Department of Defense</t>
  </si>
  <si>
    <t>Fiscal Year</t>
  </si>
  <si>
    <t>PGPD</t>
  </si>
  <si>
    <t>21.  Public Law 113-6 (Consolidated and Further Continuing Appropriations Act, 2013).  These figures include sequestration of funding pursuant to the Balanced Budget and Emergency Deficit Control Act as amended.</t>
  </si>
  <si>
    <t>[BA Nominal $B]</t>
  </si>
  <si>
    <t>Fraction Enduring</t>
  </si>
  <si>
    <t>Fraction Enduring (High Case)</t>
  </si>
  <si>
    <t>Operational Forces in Afghanistan</t>
  </si>
  <si>
    <t>Operational Forces in Iraq</t>
  </si>
  <si>
    <t>Afghanistan Security Funding</t>
  </si>
  <si>
    <t>Security Cooperation</t>
  </si>
  <si>
    <t>Iraq Train and Equip Fund</t>
  </si>
  <si>
    <t>Other Emergency Spending</t>
  </si>
  <si>
    <t>Other Emeregency Spending</t>
  </si>
  <si>
    <t xml:space="preserve">Activities Likely to Continue </t>
  </si>
  <si>
    <t>Investment Funding with Long-term Effects</t>
  </si>
  <si>
    <t>OCO Funding Explicitly Identified for Base-budget Activities</t>
  </si>
  <si>
    <t>War Related Costs</t>
  </si>
  <si>
    <t>Pass Through spending</t>
  </si>
  <si>
    <t>non-war Related Emergency Costs</t>
  </si>
  <si>
    <t>Transient OCO Costs</t>
  </si>
  <si>
    <t>Enduring OCO Costs</t>
  </si>
  <si>
    <t>War-related and base budget spending in the OCO.</t>
  </si>
  <si>
    <t>Other Emergency Funding</t>
  </si>
  <si>
    <t>Enduring OCO Funding</t>
  </si>
  <si>
    <t>…………</t>
  </si>
  <si>
    <t>2018*</t>
  </si>
  <si>
    <r>
      <rPr>
        <b/>
        <sz val="10"/>
        <color rgb="FF1F487C"/>
        <rFont val="Arial"/>
        <family val="2"/>
      </rPr>
      <t>Fig</t>
    </r>
    <r>
      <rPr>
        <b/>
        <sz val="10"/>
        <color rgb="FF1F487C"/>
        <rFont val="Arial-BoldItalicMT"/>
        <family val="2"/>
      </rPr>
      <t xml:space="preserve">ure 4.4.  OCO Functional/Mission Category                                                                </t>
    </r>
    <r>
      <rPr>
        <b/>
        <i/>
        <sz val="10"/>
        <color rgb="FF1F487C"/>
        <rFont val="Arial-BoldItalicMT"/>
        <family val="2"/>
      </rPr>
      <t>($ in billions)</t>
    </r>
  </si>
  <si>
    <r>
      <rPr>
        <b/>
        <sz val="10"/>
        <color rgb="FFFFFFFF"/>
        <rFont val="Arial"/>
        <family val="2"/>
      </rPr>
      <t>OCO Budget</t>
    </r>
  </si>
  <si>
    <r>
      <rPr>
        <b/>
        <sz val="10"/>
        <color rgb="FFFFFFFF"/>
        <rFont val="Arial"/>
        <family val="2"/>
      </rPr>
      <t xml:space="preserve">FY 2018
</t>
    </r>
    <r>
      <rPr>
        <b/>
        <sz val="10"/>
        <color rgb="FFFFFFFF"/>
        <rFont val="Arial"/>
        <family val="2"/>
      </rPr>
      <t>PB Request</t>
    </r>
  </si>
  <si>
    <r>
      <rPr>
        <b/>
        <sz val="10"/>
        <color rgb="FFFFFFFF"/>
        <rFont val="Arial"/>
        <family val="2"/>
      </rPr>
      <t xml:space="preserve">FY 2019
</t>
    </r>
    <r>
      <rPr>
        <b/>
        <sz val="10"/>
        <color rgb="FFFFFFFF"/>
        <rFont val="Arial"/>
        <family val="2"/>
      </rPr>
      <t>PB Request</t>
    </r>
  </si>
  <si>
    <r>
      <rPr>
        <b/>
        <sz val="10"/>
        <color rgb="FFFFFFFF"/>
        <rFont val="Arial"/>
        <family val="2"/>
      </rPr>
      <t xml:space="preserve">Delta
</t>
    </r>
    <r>
      <rPr>
        <b/>
        <sz val="10"/>
        <color rgb="FFFFFFFF"/>
        <rFont val="Arial"/>
        <family val="2"/>
      </rPr>
      <t>FY 2018-FY 2019</t>
    </r>
  </si>
  <si>
    <r>
      <rPr>
        <sz val="10"/>
        <rFont val="Arial"/>
        <family val="2"/>
      </rPr>
      <t>Operations/Force Protection</t>
    </r>
  </si>
  <si>
    <r>
      <rPr>
        <sz val="10"/>
        <rFont val="Arial"/>
        <family val="2"/>
      </rPr>
      <t>In-Theater Support</t>
    </r>
  </si>
  <si>
    <r>
      <rPr>
        <sz val="10"/>
        <rFont val="Arial"/>
        <family val="2"/>
      </rPr>
      <t>Joint Improvised-Threat Defeat</t>
    </r>
  </si>
  <si>
    <r>
      <rPr>
        <sz val="10"/>
        <rFont val="Arial"/>
        <family val="2"/>
      </rPr>
      <t>Equipment Reset and Readiness</t>
    </r>
  </si>
  <si>
    <r>
      <rPr>
        <sz val="10"/>
        <rFont val="Arial"/>
        <family val="2"/>
      </rPr>
      <t>Classified Programs</t>
    </r>
  </si>
  <si>
    <r>
      <rPr>
        <sz val="10"/>
        <rFont val="Arial"/>
        <family val="2"/>
      </rPr>
      <t>Afghanistan Security Forces Fund (ASFF)</t>
    </r>
  </si>
  <si>
    <r>
      <rPr>
        <sz val="10"/>
        <rFont val="Arial"/>
        <family val="2"/>
      </rPr>
      <t>Support for Coalition Forces</t>
    </r>
  </si>
  <si>
    <r>
      <rPr>
        <sz val="10"/>
        <rFont val="Arial"/>
        <family val="2"/>
      </rPr>
      <t>Counter-ISIS Train and Equip Fund (CTEF)</t>
    </r>
  </si>
  <si>
    <r>
      <rPr>
        <sz val="10"/>
        <rFont val="Arial"/>
        <family val="2"/>
      </rPr>
      <t>Security Cooperation</t>
    </r>
  </si>
  <si>
    <r>
      <rPr>
        <sz val="10"/>
        <rFont val="Arial"/>
        <family val="2"/>
      </rPr>
      <t>-</t>
    </r>
  </si>
  <si>
    <r>
      <rPr>
        <sz val="10"/>
        <rFont val="Arial"/>
        <family val="2"/>
      </rPr>
      <t>European Deterrence Initiative (EDI)</t>
    </r>
  </si>
  <si>
    <r>
      <rPr>
        <sz val="10"/>
        <rFont val="Arial"/>
        <family val="2"/>
      </rPr>
      <t>--</t>
    </r>
  </si>
  <si>
    <r>
      <rPr>
        <b/>
        <sz val="10"/>
        <rFont val="Arial"/>
        <family val="2"/>
      </rPr>
      <t>Total</t>
    </r>
  </si>
  <si>
    <r>
      <rPr>
        <i/>
        <sz val="8"/>
        <rFont val="Arial"/>
        <family val="2"/>
      </rPr>
      <t>Numbers may not add due to rounding</t>
    </r>
  </si>
  <si>
    <t>Source: DoD Comptroller, Budget Request Overview Book for Fiscal Years 2008 to 2019</t>
  </si>
  <si>
    <t>Joint Improvised-Threat Defeat</t>
  </si>
  <si>
    <t>Counter-ISIS Train and Equip Fund (CTEF)</t>
  </si>
  <si>
    <t>European Deterrence Initiative (EDI)</t>
  </si>
  <si>
    <t>2019*</t>
  </si>
  <si>
    <t>OCO for Base Budget</t>
  </si>
  <si>
    <t>[NOMINAL]</t>
  </si>
  <si>
    <t>*Requested Funding based on 2018 and 2019 Budget Requests</t>
  </si>
  <si>
    <t>OCO for Base</t>
  </si>
  <si>
    <t>Other Supplementals</t>
  </si>
  <si>
    <t>Other supplementals</t>
  </si>
  <si>
    <t>Other supplementals (Iron Dome)</t>
  </si>
  <si>
    <t>Other Supplementals (Ebola)</t>
  </si>
  <si>
    <t>FY_MAD_VARS_b180220e</t>
  </si>
  <si>
    <t>pgdp_2019</t>
  </si>
  <si>
    <t>pgdp_D</t>
  </si>
  <si>
    <t>Table X-X</t>
  </si>
  <si>
    <t>BBA 2015 Compliance  [nominal $B]</t>
  </si>
  <si>
    <t>non-base OCO</t>
  </si>
  <si>
    <t>non-base Emergency</t>
  </si>
  <si>
    <t>non-base OCO for base</t>
  </si>
  <si>
    <t>Base Budget</t>
  </si>
  <si>
    <t>Non-Base</t>
  </si>
  <si>
    <t>Total Budget</t>
  </si>
  <si>
    <t>Service</t>
  </si>
  <si>
    <t>Operating Force</t>
  </si>
  <si>
    <t>Training and Recruiting</t>
  </si>
  <si>
    <t>Administration and Servicewide Activities</t>
  </si>
  <si>
    <t>Mobilization</t>
  </si>
  <si>
    <t>USMC</t>
  </si>
  <si>
    <t>Table 6
March 2017</t>
  </si>
  <si>
    <t>Amend OCO</t>
  </si>
  <si>
    <t>Base:  Mar 2016 Request</t>
  </si>
  <si>
    <t>OCO:  Mar 2016 Request</t>
  </si>
  <si>
    <t>Total Base</t>
  </si>
  <si>
    <t>Enacted Base
P.L. 114-223</t>
  </si>
  <si>
    <t>CR Funding
P.L. 114-253</t>
  </si>
  <si>
    <t>Enacted OCO
P.L. 114-254</t>
  </si>
  <si>
    <t>Enacted Base
P.L. 115-31 Div C</t>
  </si>
  <si>
    <t>Enacted OCO
P.L. 115-31 Div C, Title IX</t>
  </si>
  <si>
    <t>Enacted OCO P.L. 115-31 Div C, Title X</t>
  </si>
  <si>
    <t>Est Title X Base Enacted</t>
  </si>
  <si>
    <t>Est Title X OCO Enacted</t>
  </si>
  <si>
    <t>Est Title X OCO Enacted (A)</t>
  </si>
  <si>
    <t>Feb16 Overview Tab A-4</t>
  </si>
  <si>
    <t>Feb16 Overview Tab A-6</t>
  </si>
  <si>
    <t>Nov16 Overview Tab 1</t>
  </si>
  <si>
    <t>Mar16 Overview Tab 1</t>
  </si>
  <si>
    <t>Mar16 Overview Tab 4</t>
  </si>
  <si>
    <t>CRS</t>
  </si>
  <si>
    <t>Operation and Maintenance</t>
  </si>
  <si>
    <t>Family Housing</t>
  </si>
  <si>
    <t>Revolving and Management Funds</t>
  </si>
  <si>
    <t>General Provisions</t>
  </si>
  <si>
    <t>PB19 GB Tab 6-8</t>
  </si>
  <si>
    <t>FY2017</t>
  </si>
  <si>
    <t>Estimate Base to OCO</t>
  </si>
  <si>
    <t>Base to OCO</t>
  </si>
  <si>
    <t>Alt OCO</t>
  </si>
  <si>
    <t>OCO (Mar Request)</t>
  </si>
  <si>
    <t>Alt Base to OCO</t>
  </si>
  <si>
    <t>OCO For Base</t>
  </si>
  <si>
    <t>Org</t>
  </si>
  <si>
    <t>[BA real $B]</t>
  </si>
  <si>
    <t>Non-Base OCO/GWOT</t>
  </si>
  <si>
    <t>Non-Base Other</t>
  </si>
  <si>
    <t>count:</t>
  </si>
  <si>
    <t>subtotal:</t>
  </si>
  <si>
    <t>Budget</t>
  </si>
  <si>
    <t xml:space="preserve">Base  </t>
  </si>
  <si>
    <t xml:space="preserve">Global War on Terror1  </t>
  </si>
  <si>
    <t xml:space="preserve">Other Supplemental2  </t>
  </si>
  <si>
    <t xml:space="preserve">Global War on Terror3  </t>
  </si>
  <si>
    <t xml:space="preserve">Global War on Terror4  </t>
  </si>
  <si>
    <t xml:space="preserve">Global War on Terror5 6  </t>
  </si>
  <si>
    <t xml:space="preserve">Other Supplemental6  </t>
  </si>
  <si>
    <t xml:space="preserve">Global War on Terror7  </t>
  </si>
  <si>
    <t xml:space="preserve">Hurricane &amp; Tsunami Relief8  </t>
  </si>
  <si>
    <t xml:space="preserve">Global War on Terror9  </t>
  </si>
  <si>
    <t xml:space="preserve">Hurricane Relief10  </t>
  </si>
  <si>
    <t xml:space="preserve">Avian Flu Relief11  </t>
  </si>
  <si>
    <t xml:space="preserve">Global War on Terror12  </t>
  </si>
  <si>
    <t xml:space="preserve">Other Supplemental12  </t>
  </si>
  <si>
    <t xml:space="preserve">Global War on Terror13  </t>
  </si>
  <si>
    <t xml:space="preserve">Recovery Act14  </t>
  </si>
  <si>
    <t xml:space="preserve">Global War on Terror15  </t>
  </si>
  <si>
    <t xml:space="preserve">Overseas Contingency Ops16  </t>
  </si>
  <si>
    <t xml:space="preserve">Overseas Contingency Ops17  </t>
  </si>
  <si>
    <t xml:space="preserve">Haiti Earthquake18  </t>
  </si>
  <si>
    <t xml:space="preserve">Overseas Contingency Ops19  </t>
  </si>
  <si>
    <t xml:space="preserve">Overseas Contingency Ops20  </t>
  </si>
  <si>
    <t xml:space="preserve">Overseas Contingency Ops21  </t>
  </si>
  <si>
    <t xml:space="preserve">Hurricane Sandy22  </t>
  </si>
  <si>
    <t xml:space="preserve">Overseas Contingency Ops23  </t>
  </si>
  <si>
    <t xml:space="preserve">Iron Dome24  </t>
  </si>
  <si>
    <t xml:space="preserve">Overseas Contingency Ops25  </t>
  </si>
  <si>
    <t xml:space="preserve">Ebola Relief25  </t>
  </si>
  <si>
    <t xml:space="preserve">Overseas Contingency Ops26  </t>
  </si>
  <si>
    <t xml:space="preserve">Overseas Contingency Ops27  </t>
  </si>
  <si>
    <t xml:space="preserve">Overseas Contingency Ops28  </t>
  </si>
  <si>
    <t xml:space="preserve">Missile Defeat29  </t>
  </si>
  <si>
    <t xml:space="preserve">Overseas Contingency Ops30  </t>
  </si>
  <si>
    <t>1.  Public Law 107-38 (2001 Emergency Supplemental Appropriations Act for Recovery From and Response to Terrorist Attacks on the United States).</t>
  </si>
  <si>
    <t>2.  Public Laws 106-554 (Consolidated Appropriations Act, 2001) and 107-20 (Supplemental Appropriations Act, 2001).</t>
  </si>
  <si>
    <t>3.  Public Laws 107-117 (Dept of Defense and Emergency Supplemental Appropriations for Recovery from and Response to Terrorist Attacks on the United States Act, 2002), 107-206 (2002 Supplemental Appropriations Act for Further Recovery from and Response to Terrorist Attacks on the United States), and 107-38.</t>
  </si>
  <si>
    <t>4.  Public Laws 108-7 (Consolidated Appropriations Resolution, 2003) and 108-11 (Emergency Wartime Supplemental Appropriations Act, 2003).</t>
  </si>
  <si>
    <t>5.  $25B appropriated in FY 2004 (PL 108-287: Title IX Bridge) was for FY 2005 war-related costs.</t>
  </si>
  <si>
    <t>6.  Public Law 108-106 (Emergency Supplemental Appropriations Act for Defense and for the Reconstruction of Iraq and Afghanistan, 2004).</t>
  </si>
  <si>
    <t>7.  Public Law 109-13 (Emergency Supplemental Appropriations Act for Defense, the Global War on Terror, and Tsunami Relief, 2005).</t>
  </si>
  <si>
    <t>8.  Public Laws 109-13, 108-324 (Military Construction Appropriations and Emergency Hurricane Supplemental Appropriations Act, 2005), 109-61 (Emergency Supplemental Appropriations Act to Meet Immediate Needs Arising From the Consequences of Hurricane Katrina, 2005), and 109-62 (Second Emergency Supplemental Appropriations Act to Meet Immediate Needs Arising From the Consequences of Hurricane Katrina, 2005).</t>
  </si>
  <si>
    <t>9.  Public Laws 109-148 (Dept of Defense, Emergency Supplemental Appropriations to Address Hurricanes in the Gulf of Mexico, and Pandemic Influenza Act, 2006) and 109-234 (Emergency Supplemental Appropriations Act for Defense, the Global War on Terror, and Hurricane Recovery, 2006).</t>
  </si>
  <si>
    <t>10.  Public Laws 109-148 and 109-234.</t>
  </si>
  <si>
    <t>11.  Public Law 109-148.</t>
  </si>
  <si>
    <t>12.  Public Laws 109-289 (Dept of Defense Appropriations Act, 2007) and 110-28 (U.S. Troop Readiness, Veterans' Care, Katrina Recovery, and Iraq Accountability Appropriations Act, 2007).</t>
  </si>
  <si>
    <t>13.  Public Laws 110-116 (Dept of Defense Appropriations Act, 2008), 110-161 (Consolidated Appropriations Act, 2008), 110-252 (Supplemental Appropriations Act, 2008), and 110-92 (Joint Resolution).</t>
  </si>
  <si>
    <t>14.  Public Law 111-05 (The American Recovery and Reinvestment Act of 2009).</t>
  </si>
  <si>
    <t>15.  Public Law 110-252 (Supplemental Appropriations Act, 2008).</t>
  </si>
  <si>
    <t>16.  Public Law 111-032 (Supplemental Appropriations Act, 2009).</t>
  </si>
  <si>
    <t>17.  Public Laws 111-117 (Consolidated Appropriations Act, 2010), 111-118 (Dept of Defense Appropriations Act, 2010), and 111-212 (Supplemental Appropriations Act, 2010).</t>
  </si>
  <si>
    <t>18.  Public Law 111-212.</t>
  </si>
  <si>
    <t>19.  Public Law 112–10 (Department of Defense and Full-Year Continuing Appropriations Act, 2011).</t>
  </si>
  <si>
    <t>20.  Public Law 112-74 (Consolidated Appropriations Act, 2012).</t>
  </si>
  <si>
    <t>22.  Public Law 113-2 (Disaster Relief Appropriations).</t>
  </si>
  <si>
    <t>23.  Public Law 113-76 (Consolidated Appropriations Act, 2014).</t>
  </si>
  <si>
    <t>24.  Public Law 113-145 (Emergency Supplemental Appropriations Resolution, 2014).</t>
  </si>
  <si>
    <t>25.  Public Law 113-235 (Consolidated and Further Continuing Appropriations Act, 2015).</t>
  </si>
  <si>
    <t>26.  Public Law 114-113 (Consolidated Appropriations Act, 2016).</t>
  </si>
  <si>
    <t>27.  Public Law 115-31 (Consolidated Appropriations Act, 2017).</t>
  </si>
  <si>
    <t>28.  Public Law 115-96 (Further Additional Continuing Appropriations Act, 2018).</t>
  </si>
  <si>
    <t>29.  Public Law 115-96, Division B (Missile Defeat and Defense Enhancements).</t>
  </si>
  <si>
    <t>30.  Overseas Contingency Operations request proposed as part of the FY 2019 President's Budget submission.  Includes a technical amendment moving $20 billion OCO funding
to base funding.</t>
  </si>
  <si>
    <t>non-war</t>
  </si>
  <si>
    <t>Base for OCO</t>
  </si>
  <si>
    <t>DoD PB19 Fig 4.3 [nominal, $Billion]</t>
  </si>
  <si>
    <t>Trusts, Reciepts, Other</t>
  </si>
  <si>
    <t>PB19 6.8 [nominal BA $billion]</t>
  </si>
  <si>
    <t>PB19 6.1 [nominal TOA $billion]</t>
  </si>
  <si>
    <t>OCO PB19 Fig 1.3  [nominal BA $ billion]</t>
  </si>
  <si>
    <t xml:space="preserve">Base PB19 Fig 1.3  </t>
  </si>
  <si>
    <t>OCO PB19 Fig 4.3  [nominal BA $ billion]</t>
  </si>
  <si>
    <t>Iraq/Syria from</t>
  </si>
  <si>
    <t>Check from PB19 Table 6.1 [nominal TOA $billion]</t>
  </si>
  <si>
    <t xml:space="preserve">Air Force </t>
  </si>
  <si>
    <t>DoD Total</t>
  </si>
  <si>
    <t>Defense Wide</t>
  </si>
  <si>
    <t>Service Totals</t>
  </si>
  <si>
    <t>Totals</t>
  </si>
  <si>
    <t>BBA Compliance PB17 O&amp;M Overview Footnotes</t>
  </si>
  <si>
    <t>remainder (Assumed Procurement)</t>
  </si>
  <si>
    <t>BBA O&amp;M, PB17 O&amp;M Overview</t>
  </si>
  <si>
    <t>Frac non-base in total</t>
  </si>
  <si>
    <t>Frac other in non-base</t>
  </si>
  <si>
    <t>Table 2.1 Reconcile</t>
  </si>
  <si>
    <t>Reconcile to Table 2.1</t>
  </si>
  <si>
    <t>Other Supplementals (Hurricane Tab 2.1)</t>
  </si>
  <si>
    <t>Other Supplementals (Avian Flu Tab 2.1)</t>
  </si>
  <si>
    <t>.
.
.
.
.
.
.
.</t>
  </si>
  <si>
    <t>.
.
.
.
.
.</t>
  </si>
  <si>
    <t>Other Supplementals (Missile Defense)</t>
  </si>
  <si>
    <t>Table 2-1</t>
  </si>
  <si>
    <t>Nonbase Other</t>
  </si>
  <si>
    <t>Nonbase OCO/GWOT</t>
  </si>
  <si>
    <t>Nonbase Total</t>
  </si>
  <si>
    <t>Spending Category</t>
  </si>
  <si>
    <t>Total (does not match Tab 6.1 or 6.8)</t>
  </si>
  <si>
    <t>OCO Funding by Functional Category [real 2019 $B]</t>
  </si>
  <si>
    <t>[real  $B]</t>
  </si>
  <si>
    <t>Other Supplementals (Haiti, Table 2.1)</t>
  </si>
  <si>
    <t>OCO for Base Requirements</t>
  </si>
  <si>
    <t>Billions of 2019 Dollars</t>
  </si>
  <si>
    <t>OCO to Base</t>
  </si>
  <si>
    <t>Enduring OCO</t>
  </si>
  <si>
    <t>Outyears Placeholder</t>
  </si>
  <si>
    <t>PB19 Base Budget</t>
  </si>
  <si>
    <t>pgdp 2018</t>
  </si>
  <si>
    <t>Nominal</t>
  </si>
  <si>
    <t>PB19 Table 6-8:  DEPARTMENT OF DEFENSE BUDGET AUTHORITY BY PUBLIC LAW TITLE</t>
  </si>
  <si>
    <t>(Dollars in Millions)</t>
  </si>
  <si>
    <t>Current Dollars (nomninal)</t>
  </si>
  <si>
    <t>Military Personnel  .............................................................................................</t>
  </si>
  <si>
    <t>Retired Pay, Defense  .............................................................................................</t>
  </si>
  <si>
    <t>Operation and Maintenance  .............................................................................................</t>
  </si>
  <si>
    <t>Procurement  .............................................................................................</t>
  </si>
  <si>
    <t>RDT&amp;E  .....................................................................................................</t>
  </si>
  <si>
    <t>Military Construction  .............................................................................................</t>
  </si>
  <si>
    <t>Family Housing  .............................................................................................</t>
  </si>
  <si>
    <t>Revolving and Management Funds  .............................................................................................</t>
  </si>
  <si>
    <t>Trust, Receipts, and Other  .....................................................................................................</t>
  </si>
  <si>
    <t>OCO to Base  .................................................</t>
  </si>
  <si>
    <t>Outyears Placeholder for OCO  ................................................</t>
  </si>
  <si>
    <t>Total Current Dollars  ...............................................................</t>
  </si>
  <si>
    <t>base budget</t>
  </si>
  <si>
    <t>constant dollars (real)</t>
  </si>
  <si>
    <t>Percent Real Growth (%)</t>
  </si>
  <si>
    <t>NOTE:  All enacted war and supplemental funding is included.</t>
  </si>
  <si>
    <t xml:space="preserve"> -  </t>
  </si>
  <si>
    <t>Temporary Emergency Funding</t>
  </si>
  <si>
    <t>OCO Functional Category</t>
  </si>
  <si>
    <t>CBO PB18 Projection</t>
  </si>
  <si>
    <t>DoD Base Budget</t>
  </si>
  <si>
    <t>DoD Total Budget</t>
  </si>
  <si>
    <t>Adjusted Base Budget</t>
  </si>
  <si>
    <t>pgpp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</si>
</sst>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8" formatCode="&quot;$&quot;#,##0.00_);[Red]\(&quot;$&quot;#,##0.00\)"/>
    <numFmt numFmtId="42" formatCode="_(&quot;$&quot;* #,##0_);_(&quot;$&quot;* \(#,##0\);_(&quot;$&quot;* &quot;-&quot;_);_(@_)"/>
    <numFmt numFmtId="44" formatCode="_(&quot;$&quot;* #,##0.00_);_(&quot;$&quot;* \(#,##0.00\);_(&quot;$&quot;* &quot;-&quot;??_);_(@_)"/>
    <numFmt numFmtId="43" formatCode="_(* #,##0.00_);_(* \(#,##0.00\);_(* &quot;-&quot;??_);_(@_)"/>
    <numFmt numFmtId="164" formatCode="_([$€-2]* #,##0.00_);_([$€-2]* \(#,##0.00\);_([$€-2]* &quot;-&quot;??_)"/>
    <numFmt numFmtId="165" formatCode="_(* #,##0_);_(* \(#,##0\);_(* &quot;-&quot;??_);_(@_)"/>
    <numFmt numFmtId="166" formatCode="#0.0;[Red]\-#0.0;\-"/>
    <numFmt numFmtId="167" formatCode="0.0;[Red]0.0"/>
    <numFmt numFmtId="168" formatCode="0.0"/>
    <numFmt numFmtId="169" formatCode="0.000"/>
    <numFmt numFmtId="170" formatCode="#,##0;[Red]#,##0"/>
    <numFmt numFmtId="171" formatCode="#0;[Red]\-#0;\-"/>
    <numFmt numFmtId="172" formatCode="#,##0.0;[Red]\-#,##0.0;\-"/>
    <numFmt numFmtId="173" formatCode="#,##0.0;\-#,##0.0;\-"/>
    <numFmt numFmtId="174" formatCode="#,##0;\-#,##0;\-"/>
    <numFmt numFmtId="175" formatCode="\+0.0;\-0.0"/>
    <numFmt numFmtId="176" formatCode="0.0000"/>
    <numFmt numFmtId="177" formatCode="#,##0.000"/>
    <numFmt numFmtId="178" formatCode="#,##0.00;[Red]\-#,##0.00;\-"/>
    <numFmt numFmtId="179" formatCode="#,##0.000_);[Red]\(#,##0.000\)"/>
    <numFmt numFmtId="180" formatCode="#,##0\ ;\-#,##0\ ;"/>
    <numFmt numFmtId="181" formatCode="#,##0.0\ ;\-#,##0.0\ ;0.0\ "/>
    <numFmt numFmtId="182" formatCode="#,##0.0\ ;\-#,##0.0\ ;"/>
  </numFmts>
  <fonts count="147">
    <font>
      <sz val="12"/>
      <color theme="1"/>
      <name val="Calibri"/>
      <family val="2"/>
    </font>
    <font>
      <sz val="12"/>
      <color theme="1"/>
      <name val="Calibri"/>
      <family val="2"/>
      <scheme val="minor"/>
    </font>
    <font>
      <sz val="12"/>
      <color theme="1"/>
      <name val="Calibri"/>
      <family val="2"/>
    </font>
    <font>
      <sz val="12"/>
      <color theme="1"/>
      <name val="Calibri"/>
      <family val="2"/>
    </font>
    <font>
      <sz val="12"/>
      <color theme="1"/>
      <name val="Calibri"/>
      <family val="2"/>
    </font>
    <font>
      <sz val="12"/>
      <color theme="1"/>
      <name val="Calibri"/>
      <family val="2"/>
    </font>
    <font>
      <b/>
      <sz val="18"/>
      <color theme="3"/>
      <name val="Calibri Light"/>
      <family val="2"/>
      <scheme val="major"/>
    </font>
    <font>
      <sz val="11"/>
      <color indexed="8"/>
      <name val="Calibri"/>
      <family val="2"/>
    </font>
    <font>
      <sz val="11"/>
      <color theme="1"/>
      <name val="Calibri"/>
      <family val="2"/>
      <scheme val="minor"/>
    </font>
    <font>
      <sz val="11"/>
      <color theme="1"/>
      <name val="Courier New"/>
      <family val="2"/>
    </font>
    <font>
      <sz val="11"/>
      <color indexed="9"/>
      <name val="Calibri"/>
      <family val="2"/>
    </font>
    <font>
      <sz val="11"/>
      <color theme="0"/>
      <name val="Calibri"/>
      <family val="2"/>
      <scheme val="minor"/>
    </font>
    <font>
      <sz val="11"/>
      <color theme="0"/>
      <name val="Courier New"/>
      <family val="2"/>
    </font>
    <font>
      <sz val="11"/>
      <color indexed="20"/>
      <name val="Calibri"/>
      <family val="2"/>
    </font>
    <font>
      <sz val="11"/>
      <color rgb="FF9C0006"/>
      <name val="Calibri"/>
      <family val="2"/>
      <scheme val="minor"/>
    </font>
    <font>
      <sz val="11"/>
      <color rgb="FF9C0006"/>
      <name val="Courier New"/>
      <family val="2"/>
    </font>
    <font>
      <b/>
      <sz val="11"/>
      <color indexed="52"/>
      <name val="Calibri"/>
      <family val="2"/>
    </font>
    <font>
      <b/>
      <sz val="11"/>
      <color rgb="FFFA7D00"/>
      <name val="Calibri"/>
      <family val="2"/>
      <scheme val="minor"/>
    </font>
    <font>
      <b/>
      <sz val="11"/>
      <color rgb="FFFA7D00"/>
      <name val="Courier New"/>
      <family val="2"/>
    </font>
    <font>
      <b/>
      <sz val="11"/>
      <color indexed="9"/>
      <name val="Calibri"/>
      <family val="2"/>
    </font>
    <font>
      <b/>
      <sz val="11"/>
      <color theme="0"/>
      <name val="Calibri"/>
      <family val="2"/>
      <scheme val="minor"/>
    </font>
    <font>
      <b/>
      <sz val="11"/>
      <color theme="0"/>
      <name val="Courier New"/>
      <family val="2"/>
    </font>
    <font>
      <sz val="10"/>
      <name val="Arial"/>
      <family val="2"/>
    </font>
    <font>
      <sz val="12"/>
      <name val="Times New Roman"/>
      <family val="1"/>
    </font>
    <font>
      <i/>
      <sz val="11"/>
      <color indexed="23"/>
      <name val="Calibri"/>
      <family val="2"/>
    </font>
    <font>
      <i/>
      <sz val="11"/>
      <color rgb="FF7F7F7F"/>
      <name val="Calibri"/>
      <family val="2"/>
      <scheme val="minor"/>
    </font>
    <font>
      <i/>
      <sz val="11"/>
      <color rgb="FF7F7F7F"/>
      <name val="Courier New"/>
      <family val="2"/>
    </font>
    <font>
      <sz val="11"/>
      <color rgb="FF006100"/>
      <name val="Calibri"/>
      <family val="2"/>
      <scheme val="minor"/>
    </font>
    <font>
      <sz val="11"/>
      <color indexed="17"/>
      <name val="Calibri"/>
      <family val="2"/>
    </font>
    <font>
      <sz val="11"/>
      <color rgb="FF006100"/>
      <name val="Courier New"/>
      <family val="2"/>
    </font>
    <font>
      <b/>
      <sz val="15"/>
      <color indexed="56"/>
      <name val="Calibri"/>
      <family val="2"/>
    </font>
    <font>
      <b/>
      <sz val="15"/>
      <color theme="3"/>
      <name val="Calibri"/>
      <family val="2"/>
      <scheme val="minor"/>
    </font>
    <font>
      <b/>
      <sz val="15"/>
      <color theme="3"/>
      <name val="Courier New"/>
      <family val="2"/>
    </font>
    <font>
      <b/>
      <sz val="13"/>
      <color indexed="56"/>
      <name val="Calibri"/>
      <family val="2"/>
    </font>
    <font>
      <b/>
      <sz val="13"/>
      <color theme="3"/>
      <name val="Calibri"/>
      <family val="2"/>
      <scheme val="minor"/>
    </font>
    <font>
      <b/>
      <sz val="13"/>
      <color theme="3"/>
      <name val="Courier New"/>
      <family val="2"/>
    </font>
    <font>
      <b/>
      <sz val="11"/>
      <color indexed="56"/>
      <name val="Calibri"/>
      <family val="2"/>
    </font>
    <font>
      <b/>
      <sz val="11"/>
      <color theme="3"/>
      <name val="Calibri"/>
      <family val="2"/>
      <scheme val="minor"/>
    </font>
    <font>
      <b/>
      <sz val="11"/>
      <color theme="3"/>
      <name val="Courier New"/>
      <family val="2"/>
    </font>
    <font>
      <sz val="10"/>
      <color indexed="12"/>
      <name val="MS Sans Serif"/>
      <family val="2"/>
    </font>
    <font>
      <sz val="11"/>
      <color indexed="62"/>
      <name val="Calibri"/>
      <family val="2"/>
    </font>
    <font>
      <sz val="11"/>
      <color rgb="FF3F3F76"/>
      <name val="Calibri"/>
      <family val="2"/>
      <scheme val="minor"/>
    </font>
    <font>
      <sz val="11"/>
      <color rgb="FF3F3F76"/>
      <name val="Courier New"/>
      <family val="2"/>
    </font>
    <font>
      <sz val="11"/>
      <color indexed="52"/>
      <name val="Calibri"/>
      <family val="2"/>
    </font>
    <font>
      <sz val="11"/>
      <color rgb="FFFA7D00"/>
      <name val="Calibri"/>
      <family val="2"/>
      <scheme val="minor"/>
    </font>
    <font>
      <sz val="11"/>
      <color rgb="FFFA7D00"/>
      <name val="Courier New"/>
      <family val="2"/>
    </font>
    <font>
      <sz val="11"/>
      <color indexed="60"/>
      <name val="Calibri"/>
      <family val="2"/>
    </font>
    <font>
      <sz val="11"/>
      <color rgb="FF9C6500"/>
      <name val="Calibri"/>
      <family val="2"/>
      <scheme val="minor"/>
    </font>
    <font>
      <sz val="11"/>
      <color rgb="FF9C6500"/>
      <name val="Courier New"/>
      <family val="2"/>
    </font>
    <font>
      <sz val="10"/>
      <name val="MS Sans Serif"/>
      <family val="2"/>
    </font>
    <font>
      <sz val="10"/>
      <name val="Tahoma"/>
      <family val="2"/>
    </font>
    <font>
      <b/>
      <sz val="11"/>
      <color indexed="63"/>
      <name val="Calibri"/>
      <family val="2"/>
    </font>
    <font>
      <b/>
      <sz val="11"/>
      <color rgb="FF3F3F3F"/>
      <name val="Calibri"/>
      <family val="2"/>
      <scheme val="minor"/>
    </font>
    <font>
      <b/>
      <sz val="11"/>
      <color rgb="FF3F3F3F"/>
      <name val="Courier New"/>
      <family val="2"/>
    </font>
    <font>
      <b/>
      <sz val="18"/>
      <color indexed="56"/>
      <name val="Cambria"/>
      <family val="2"/>
    </font>
    <font>
      <b/>
      <sz val="11"/>
      <color indexed="8"/>
      <name val="Calibri"/>
      <family val="2"/>
    </font>
    <font>
      <b/>
      <sz val="11"/>
      <color theme="1"/>
      <name val="Calibri"/>
      <family val="2"/>
      <scheme val="minor"/>
    </font>
    <font>
      <b/>
      <sz val="11"/>
      <color theme="1"/>
      <name val="Courier New"/>
      <family val="2"/>
    </font>
    <font>
      <sz val="11"/>
      <color indexed="10"/>
      <name val="Calibri"/>
      <family val="2"/>
    </font>
    <font>
      <sz val="11"/>
      <color rgb="FFFF0000"/>
      <name val="Calibri"/>
      <family val="2"/>
      <scheme val="minor"/>
    </font>
    <font>
      <sz val="11"/>
      <color rgb="FFFF0000"/>
      <name val="Courier New"/>
      <family val="2"/>
    </font>
    <font>
      <sz val="9"/>
      <color theme="1"/>
      <name val="Helvetica"/>
      <family val="2"/>
    </font>
    <font>
      <sz val="9"/>
      <color rgb="FFFFFFFF"/>
      <name val="Helvetica"/>
      <family val="2"/>
    </font>
    <font>
      <sz val="10"/>
      <color rgb="FFFFFFFF"/>
      <name val="Helvetica"/>
      <family val="2"/>
    </font>
    <font>
      <sz val="10"/>
      <color theme="1"/>
      <name val="Arial"/>
      <family val="2"/>
    </font>
    <font>
      <b/>
      <i/>
      <sz val="7"/>
      <color theme="1"/>
      <name val="Arial"/>
      <family val="2"/>
    </font>
    <font>
      <sz val="9"/>
      <color theme="1"/>
      <name val="Arial"/>
      <family val="2"/>
    </font>
    <font>
      <b/>
      <sz val="9"/>
      <color theme="1"/>
      <name val="Arial"/>
      <family val="2"/>
    </font>
    <font>
      <b/>
      <i/>
      <sz val="6"/>
      <color theme="1"/>
      <name val="Arial"/>
      <family val="2"/>
    </font>
    <font>
      <sz val="12"/>
      <color theme="1"/>
      <name val="Calibri"/>
      <family val="2"/>
      <scheme val="minor"/>
    </font>
    <font>
      <sz val="6"/>
      <color theme="1"/>
      <name val="Calibri"/>
      <family val="2"/>
      <scheme val="minor"/>
    </font>
    <font>
      <b/>
      <sz val="14"/>
      <color theme="1"/>
      <name val="Calibri"/>
      <family val="2"/>
    </font>
    <font>
      <b/>
      <sz val="14"/>
      <color theme="1"/>
      <name val="Calibri"/>
      <family val="2"/>
      <scheme val="minor"/>
    </font>
    <font>
      <u/>
      <sz val="12"/>
      <color theme="10"/>
      <name val="Calibri"/>
      <family val="2"/>
    </font>
    <font>
      <u/>
      <sz val="12"/>
      <color theme="11"/>
      <name val="Calibri"/>
      <family val="2"/>
    </font>
    <font>
      <sz val="10"/>
      <color theme="1"/>
      <name val="Calibri"/>
      <family val="2"/>
      <scheme val="minor"/>
    </font>
    <font>
      <sz val="10"/>
      <color theme="1"/>
      <name val="Calibri"/>
      <family val="2"/>
    </font>
    <font>
      <sz val="6"/>
      <color theme="1"/>
      <name val="Calibri"/>
      <family val="2"/>
    </font>
    <font>
      <i/>
      <sz val="10"/>
      <color theme="1"/>
      <name val="Calibri"/>
      <family val="2"/>
      <scheme val="minor"/>
    </font>
    <font>
      <i/>
      <sz val="10"/>
      <color theme="1"/>
      <name val="Calibri"/>
      <family val="2"/>
    </font>
    <font>
      <b/>
      <sz val="12"/>
      <color theme="1"/>
      <name val="Calibri"/>
      <family val="2"/>
    </font>
    <font>
      <b/>
      <sz val="12"/>
      <color theme="1"/>
      <name val="Calibri"/>
      <family val="2"/>
      <scheme val="minor"/>
    </font>
    <font>
      <sz val="12"/>
      <color rgb="FF000000"/>
      <name val="Calibri"/>
      <family val="2"/>
    </font>
    <font>
      <vertAlign val="superscript"/>
      <sz val="12"/>
      <color theme="1"/>
      <name val="Calibri"/>
      <family val="2"/>
      <scheme val="minor"/>
    </font>
    <font>
      <sz val="14"/>
      <color theme="1"/>
      <name val="Calibri"/>
      <family val="2"/>
    </font>
    <font>
      <sz val="8"/>
      <color theme="1"/>
      <name val="Helvetica"/>
      <family val="2"/>
    </font>
    <font>
      <sz val="5"/>
      <color theme="1"/>
      <name val="Helvetica"/>
      <family val="2"/>
    </font>
    <font>
      <sz val="14"/>
      <color theme="1"/>
      <name val="Calibri"/>
      <family val="2"/>
      <scheme val="minor"/>
    </font>
    <font>
      <sz val="10"/>
      <color theme="1"/>
      <name val="Helvetica"/>
      <family val="2"/>
    </font>
    <font>
      <b/>
      <sz val="9"/>
      <name val="Arial"/>
      <family val="2"/>
    </font>
    <font>
      <b/>
      <sz val="9"/>
      <color rgb="FFFFFFFF"/>
      <name val="Arial"/>
      <family val="2"/>
    </font>
    <font>
      <sz val="9"/>
      <name val="Arial"/>
      <family val="2"/>
    </font>
    <font>
      <i/>
      <sz val="9"/>
      <color theme="1"/>
      <name val="Arial"/>
      <family val="2"/>
    </font>
    <font>
      <sz val="16"/>
      <color theme="1"/>
      <name val="Calibri"/>
      <family val="2"/>
    </font>
    <font>
      <u/>
      <sz val="12"/>
      <color theme="10"/>
      <name val="Arial"/>
      <family val="2"/>
    </font>
    <font>
      <u/>
      <sz val="10"/>
      <color indexed="12"/>
      <name val="Arial"/>
      <family val="2"/>
    </font>
    <font>
      <u/>
      <sz val="10"/>
      <color theme="10"/>
      <name val="Arial"/>
      <family val="2"/>
    </font>
    <font>
      <sz val="12"/>
      <name val="Arial"/>
      <family val="2"/>
    </font>
    <font>
      <i/>
      <sz val="8"/>
      <color theme="1"/>
      <name val="Calibri"/>
      <family val="2"/>
      <scheme val="minor"/>
    </font>
    <font>
      <i/>
      <sz val="8"/>
      <color theme="1"/>
      <name val="Calibri"/>
      <family val="2"/>
    </font>
    <font>
      <b/>
      <sz val="8"/>
      <color theme="1"/>
      <name val="Calibri"/>
      <family val="2"/>
    </font>
    <font>
      <sz val="8"/>
      <color theme="1"/>
      <name val="Calibri"/>
      <family val="2"/>
    </font>
    <font>
      <b/>
      <sz val="8"/>
      <color theme="1"/>
      <name val="Calibri"/>
      <family val="2"/>
      <scheme val="minor"/>
    </font>
    <font>
      <sz val="9"/>
      <color rgb="FF000000"/>
      <name val="Arial"/>
      <family val="2"/>
    </font>
    <font>
      <vertAlign val="superscript"/>
      <sz val="6"/>
      <name val="Arial"/>
      <family val="2"/>
    </font>
    <font>
      <b/>
      <sz val="9"/>
      <color rgb="FF000000"/>
      <name val="Arial"/>
      <family val="2"/>
    </font>
    <font>
      <b/>
      <sz val="12"/>
      <name val="Calibri"/>
      <family val="2"/>
      <scheme val="minor"/>
    </font>
    <font>
      <b/>
      <sz val="12"/>
      <color rgb="FFFFFFFF"/>
      <name val="Calibri"/>
      <family val="2"/>
      <scheme val="minor"/>
    </font>
    <font>
      <sz val="12"/>
      <name val="Calibri"/>
      <family val="2"/>
      <scheme val="minor"/>
    </font>
    <font>
      <sz val="12"/>
      <color rgb="FF000000"/>
      <name val="Calibri"/>
      <family val="2"/>
      <scheme val="minor"/>
    </font>
    <font>
      <vertAlign val="superscript"/>
      <sz val="12"/>
      <name val="Calibri"/>
      <family val="2"/>
      <scheme val="minor"/>
    </font>
    <font>
      <b/>
      <sz val="12"/>
      <color rgb="FF000000"/>
      <name val="Calibri"/>
      <family val="2"/>
      <scheme val="minor"/>
    </font>
    <font>
      <i/>
      <sz val="12"/>
      <name val="Calibri"/>
      <family val="2"/>
      <scheme val="minor"/>
    </font>
    <font>
      <b/>
      <i/>
      <vertAlign val="superscript"/>
      <sz val="5"/>
      <name val="Arial-BoldItalicMT"/>
      <family val="2"/>
    </font>
    <font>
      <b/>
      <i/>
      <vertAlign val="superscript"/>
      <sz val="5"/>
      <name val="Arial"/>
      <family val="2"/>
    </font>
    <font>
      <i/>
      <sz val="8"/>
      <name val="Arial"/>
      <family val="2"/>
    </font>
    <font>
      <sz val="8.5"/>
      <name val="Calibri"/>
      <family val="2"/>
      <scheme val="minor"/>
    </font>
    <font>
      <sz val="9"/>
      <name val="Calibri"/>
      <family val="2"/>
      <scheme val="minor"/>
    </font>
    <font>
      <b/>
      <sz val="8.5"/>
      <name val="Arial"/>
      <family val="2"/>
    </font>
    <font>
      <sz val="8.5"/>
      <name val="Arial"/>
      <family val="2"/>
    </font>
    <font>
      <b/>
      <sz val="8.5"/>
      <name val="Calibri"/>
      <family val="2"/>
      <scheme val="minor"/>
    </font>
    <font>
      <b/>
      <sz val="18"/>
      <color theme="1"/>
      <name val="Calibri"/>
      <family val="2"/>
      <scheme val="minor"/>
    </font>
    <font>
      <sz val="8"/>
      <color theme="1"/>
      <name val="Calibri (Body)_x0000_"/>
    </font>
    <font>
      <b/>
      <sz val="14"/>
      <color theme="1"/>
      <name val="Calibri (Body)_x0000_"/>
    </font>
    <font>
      <b/>
      <sz val="10"/>
      <color rgb="FF1F487C"/>
      <name val="Arial"/>
      <family val="2"/>
    </font>
    <font>
      <b/>
      <sz val="10"/>
      <color rgb="FF1F487C"/>
      <name val="Arial-BoldItalicMT"/>
      <family val="2"/>
    </font>
    <font>
      <b/>
      <i/>
      <sz val="10"/>
      <color rgb="FF1F487C"/>
      <name val="Arial-BoldItalicMT"/>
      <family val="2"/>
    </font>
    <font>
      <b/>
      <sz val="10"/>
      <name val="Arial"/>
      <family val="2"/>
    </font>
    <font>
      <b/>
      <sz val="10"/>
      <color rgb="FFFFFFFF"/>
      <name val="Arial"/>
      <family val="2"/>
    </font>
    <font>
      <sz val="10"/>
      <color rgb="FF000000"/>
      <name val="Arial"/>
      <family val="2"/>
    </font>
    <font>
      <b/>
      <sz val="10"/>
      <color rgb="FF000000"/>
      <name val="Arial"/>
      <family val="2"/>
    </font>
    <font>
      <b/>
      <sz val="10"/>
      <name val="Arial"/>
      <family val="2"/>
    </font>
    <font>
      <sz val="10"/>
      <name val="Arial"/>
      <family val="2"/>
    </font>
    <font>
      <sz val="10"/>
      <color rgb="FF000000"/>
      <name val="Calibri"/>
      <family val="2"/>
    </font>
    <font>
      <b/>
      <sz val="10"/>
      <color rgb="FF000000"/>
      <name val="Calibri"/>
      <family val="2"/>
    </font>
    <font>
      <sz val="10"/>
      <color rgb="FF000000"/>
      <name val="Tahoma"/>
      <family val="2"/>
    </font>
    <font>
      <b/>
      <sz val="10"/>
      <color rgb="FF000000"/>
      <name val="Tahoma"/>
      <family val="2"/>
    </font>
    <font>
      <b/>
      <sz val="11"/>
      <color theme="1"/>
      <name val="Calibri"/>
      <family val="2"/>
    </font>
    <font>
      <b/>
      <sz val="9"/>
      <color theme="1"/>
      <name val="Calibri"/>
      <family val="2"/>
    </font>
    <font>
      <sz val="8"/>
      <name val="Arial"/>
      <family val="2"/>
    </font>
    <font>
      <sz val="10"/>
      <color rgb="FF000000"/>
      <name val="Arial Unicode MS"/>
      <family val="2"/>
    </font>
    <font>
      <sz val="11"/>
      <color theme="1"/>
      <name val="Calibri"/>
      <family val="2"/>
    </font>
    <font>
      <i/>
      <sz val="11"/>
      <color theme="1"/>
      <name val="Calibri"/>
      <family val="2"/>
    </font>
    <font>
      <sz val="11"/>
      <color theme="1"/>
      <name val="Arial"/>
      <family val="2"/>
    </font>
    <font>
      <b/>
      <sz val="10"/>
      <name val="Calibri"/>
      <family val="2"/>
      <scheme val="minor"/>
    </font>
    <font>
      <sz val="10"/>
      <name val="Calibri"/>
      <family val="2"/>
      <scheme val="minor"/>
    </font>
    <font>
      <i/>
      <sz val="10"/>
      <name val="Calibri"/>
      <family val="2"/>
      <scheme val="minor"/>
    </font>
  </fonts>
  <fills count="6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9"/>
        <bgColor indexed="9"/>
      </patternFill>
    </fill>
    <fill>
      <patternFill patternType="solid">
        <fgColor indexed="43"/>
      </patternFill>
    </fill>
    <fill>
      <patternFill patternType="solid">
        <fgColor indexed="26"/>
      </patternFill>
    </fill>
    <fill>
      <patternFill patternType="solid">
        <fgColor theme="9" tint="0.79998168889431442"/>
        <bgColor indexed="64"/>
      </patternFill>
    </fill>
    <fill>
      <patternFill patternType="solid">
        <fgColor theme="0"/>
        <bgColor indexed="64"/>
      </patternFill>
    </fill>
    <fill>
      <patternFill patternType="solid">
        <fgColor rgb="FF1F487C"/>
      </patternFill>
    </fill>
    <fill>
      <patternFill patternType="solid">
        <fgColor rgb="FFBEBEBE"/>
      </patternFill>
    </fill>
    <fill>
      <patternFill patternType="solid">
        <fgColor theme="7" tint="0.79998168889431442"/>
        <bgColor indexed="64"/>
      </patternFill>
    </fill>
    <fill>
      <patternFill patternType="solid">
        <fgColor theme="3" tint="0.79998168889431442"/>
        <bgColor indexed="64"/>
      </patternFill>
    </fill>
    <fill>
      <patternFill patternType="solid">
        <fgColor theme="4" tint="0.79998168889431442"/>
        <bgColor indexed="64"/>
      </patternFill>
    </fill>
  </fills>
  <borders count="5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rgb="FF808080"/>
      </left>
      <right style="thin">
        <color rgb="FF808080"/>
      </right>
      <top/>
      <bottom style="thin">
        <color rgb="FF808080"/>
      </bottom>
      <diagonal/>
    </border>
    <border>
      <left style="thin">
        <color rgb="FF808080"/>
      </left>
      <right style="thin">
        <color rgb="FF808080"/>
      </right>
      <top style="thin">
        <color rgb="FF808080"/>
      </top>
      <bottom style="thin">
        <color rgb="FF808080"/>
      </bottom>
      <diagonal/>
    </border>
    <border>
      <left/>
      <right/>
      <top style="thin">
        <color rgb="FF808080"/>
      </top>
      <bottom/>
      <diagonal/>
    </border>
    <border>
      <left style="thin">
        <color rgb="FF808080"/>
      </left>
      <right/>
      <top style="thin">
        <color rgb="FF808080"/>
      </top>
      <bottom style="thin">
        <color rgb="FF808080"/>
      </bottom>
      <diagonal/>
    </border>
    <border>
      <left/>
      <right/>
      <top style="thin">
        <color rgb="FF808080"/>
      </top>
      <bottom style="thin">
        <color rgb="FF808080"/>
      </bottom>
      <diagonal/>
    </border>
    <border>
      <left/>
      <right/>
      <top/>
      <bottom style="thin">
        <color auto="1"/>
      </bottom>
      <diagonal/>
    </border>
    <border>
      <left/>
      <right style="thin">
        <color rgb="FF808080"/>
      </right>
      <top/>
      <bottom style="thin">
        <color rgb="FF808080"/>
      </bottom>
      <diagonal/>
    </border>
    <border>
      <left/>
      <right style="thin">
        <color rgb="FF808080"/>
      </right>
      <top style="thin">
        <color rgb="FF808080"/>
      </top>
      <bottom style="thin">
        <color rgb="FF808080"/>
      </bottom>
      <diagonal/>
    </border>
    <border>
      <left/>
      <right/>
      <top style="thin">
        <color indexed="64"/>
      </top>
      <bottom/>
      <diagonal/>
    </border>
    <border>
      <left/>
      <right/>
      <top style="hair">
        <color theme="1"/>
      </top>
      <bottom/>
      <diagonal/>
    </border>
    <border>
      <left style="hair">
        <color rgb="FF000000"/>
      </left>
      <right style="hair">
        <color rgb="FF000000"/>
      </right>
      <top style="hair">
        <color theme="1"/>
      </top>
      <bottom/>
      <diagonal/>
    </border>
    <border>
      <left style="hair">
        <color theme="1" tint="0.34998626667073579"/>
      </left>
      <right/>
      <top style="hair">
        <color theme="1"/>
      </top>
      <bottom/>
      <diagonal/>
    </border>
    <border>
      <left/>
      <right/>
      <top style="hair">
        <color theme="1"/>
      </top>
      <bottom style="hair">
        <color theme="1"/>
      </bottom>
      <diagonal/>
    </border>
    <border>
      <left style="hair">
        <color theme="1"/>
      </left>
      <right style="hair">
        <color theme="1"/>
      </right>
      <top style="hair">
        <color theme="1"/>
      </top>
      <bottom/>
      <diagonal/>
    </border>
    <border>
      <left style="hair">
        <color theme="1"/>
      </left>
      <right/>
      <top style="hair">
        <color theme="1"/>
      </top>
      <bottom/>
      <diagonal/>
    </border>
    <border>
      <left style="hair">
        <color theme="1"/>
      </left>
      <right style="hair">
        <color theme="1"/>
      </right>
      <top/>
      <bottom/>
      <diagonal/>
    </border>
    <border>
      <left style="hair">
        <color theme="1"/>
      </left>
      <right/>
      <top/>
      <bottom/>
      <diagonal/>
    </border>
    <border>
      <left style="hair">
        <color theme="1"/>
      </left>
      <right style="hair">
        <color theme="1"/>
      </right>
      <top/>
      <bottom style="hair">
        <color theme="1"/>
      </bottom>
      <diagonal/>
    </border>
    <border>
      <left style="hair">
        <color theme="1"/>
      </left>
      <right/>
      <top/>
      <bottom style="hair">
        <color theme="1"/>
      </bottom>
      <diagonal/>
    </border>
    <border>
      <left/>
      <right/>
      <top/>
      <bottom style="hair">
        <color rgb="FF000000"/>
      </bottom>
      <diagonal/>
    </border>
    <border>
      <left/>
      <right/>
      <top style="hair">
        <color rgb="FF000000"/>
      </top>
      <bottom style="hair">
        <color theme="1"/>
      </bottom>
      <diagonal/>
    </border>
    <border>
      <left/>
      <right/>
      <top/>
      <bottom style="hair">
        <color theme="1"/>
      </bottom>
      <diagonal/>
    </border>
    <border>
      <left style="hair">
        <color theme="1" tint="0.34998626667073579"/>
      </left>
      <right/>
      <top/>
      <bottom/>
      <diagonal/>
    </border>
    <border>
      <left style="medium">
        <color indexed="64"/>
      </left>
      <right/>
      <top style="medium">
        <color indexed="64"/>
      </top>
      <bottom style="medium">
        <color indexed="64"/>
      </bottom>
      <diagonal/>
    </border>
    <border>
      <left style="hair">
        <color theme="1" tint="0.34998626667073579"/>
      </left>
      <right style="medium">
        <color indexed="64"/>
      </right>
      <top style="medium">
        <color indexed="64"/>
      </top>
      <bottom style="medium">
        <color indexed="64"/>
      </bottom>
      <diagonal/>
    </border>
    <border>
      <left style="hair">
        <color rgb="FF000000"/>
      </left>
      <right/>
      <top/>
      <bottom/>
      <diagonal/>
    </border>
    <border>
      <left style="hair">
        <color rgb="FF000000"/>
      </left>
      <right style="hair">
        <color rgb="FF000000"/>
      </right>
      <top/>
      <bottom/>
      <diagonal/>
    </border>
    <border>
      <left/>
      <right style="hair">
        <color rgb="FF000000"/>
      </right>
      <top/>
      <bottom/>
      <diagonal/>
    </border>
    <border>
      <left style="hair">
        <color theme="1" tint="0.34998626667073579"/>
      </left>
      <right style="hair">
        <color theme="1" tint="0.34998626667073579"/>
      </right>
      <top/>
      <bottom/>
      <diagonal/>
    </border>
    <border>
      <left style="hair">
        <color theme="1" tint="0.34998626667073579"/>
      </left>
      <right/>
      <top style="hair">
        <color rgb="FF000000"/>
      </top>
      <bottom style="hair">
        <color rgb="FF000000"/>
      </bottom>
      <diagonal/>
    </border>
    <border>
      <left style="hair">
        <color rgb="FF000000"/>
      </left>
      <right style="hair">
        <color theme="1" tint="0.34998626667073579"/>
      </right>
      <top style="hair">
        <color rgb="FF000000"/>
      </top>
      <bottom style="hair">
        <color rgb="FF000000"/>
      </bottom>
      <diagonal/>
    </border>
    <border>
      <left/>
      <right/>
      <top style="hair">
        <color rgb="FF000000"/>
      </top>
      <bottom style="hair">
        <color rgb="FF000000"/>
      </bottom>
      <diagonal/>
    </border>
    <border>
      <left style="hair">
        <color theme="1" tint="0.34998626667073579"/>
      </left>
      <right style="hair">
        <color theme="1" tint="0.34998626667073579"/>
      </right>
      <top style="hair">
        <color rgb="FF000000"/>
      </top>
      <bottom style="hair">
        <color rgb="FF000000"/>
      </bottom>
      <diagonal/>
    </border>
    <border>
      <left style="hair">
        <color theme="1"/>
      </left>
      <right style="hair">
        <color theme="1"/>
      </right>
      <top style="hair">
        <color rgb="FF000000"/>
      </top>
      <bottom style="hair">
        <color rgb="FF000000"/>
      </bottom>
      <diagonal/>
    </border>
    <border>
      <left style="hair">
        <color theme="1"/>
      </left>
      <right/>
      <top style="hair">
        <color rgb="FF000000"/>
      </top>
      <bottom style="hair">
        <color rgb="FF000000"/>
      </bottom>
      <diagonal/>
    </border>
    <border>
      <left/>
      <right/>
      <top style="thin">
        <color indexed="64"/>
      </top>
      <bottom style="thin">
        <color indexed="64"/>
      </bottom>
      <diagonal/>
    </border>
  </borders>
  <cellStyleXfs count="571">
    <xf numFmtId="0" fontId="0" fillId="0" borderId="0"/>
    <xf numFmtId="0" fontId="7" fillId="33" borderId="0" applyNumberFormat="0" applyBorder="0" applyAlignment="0" applyProtection="0"/>
    <xf numFmtId="0" fontId="7" fillId="33" borderId="0" applyNumberFormat="0" applyBorder="0" applyAlignment="0" applyProtection="0"/>
    <xf numFmtId="0" fontId="8" fillId="10" borderId="0" applyNumberFormat="0" applyBorder="0" applyAlignment="0" applyProtection="0"/>
    <xf numFmtId="0" fontId="9" fillId="10"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8" fillId="14" borderId="0" applyNumberFormat="0" applyBorder="0" applyAlignment="0" applyProtection="0"/>
    <xf numFmtId="0" fontId="9" fillId="14"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8" fillId="18" borderId="0" applyNumberFormat="0" applyBorder="0" applyAlignment="0" applyProtection="0"/>
    <xf numFmtId="0" fontId="9" fillId="18"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8" fillId="22" borderId="0" applyNumberFormat="0" applyBorder="0" applyAlignment="0" applyProtection="0"/>
    <xf numFmtId="0" fontId="9" fillId="22" borderId="0" applyNumberFormat="0" applyBorder="0" applyAlignment="0" applyProtection="0"/>
    <xf numFmtId="0" fontId="7" fillId="37" borderId="0" applyNumberFormat="0" applyBorder="0" applyAlignment="0" applyProtection="0"/>
    <xf numFmtId="0" fontId="7" fillId="37" borderId="0" applyNumberFormat="0" applyBorder="0" applyAlignment="0" applyProtection="0"/>
    <xf numFmtId="0" fontId="8" fillId="26" borderId="0" applyNumberFormat="0" applyBorder="0" applyAlignment="0" applyProtection="0"/>
    <xf numFmtId="0" fontId="9" fillId="26"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8" fillId="30" borderId="0" applyNumberFormat="0" applyBorder="0" applyAlignment="0" applyProtection="0"/>
    <xf numFmtId="0" fontId="9" fillId="30"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8" fillId="11" borderId="0" applyNumberFormat="0" applyBorder="0" applyAlignment="0" applyProtection="0"/>
    <xf numFmtId="0" fontId="9" fillId="11" borderId="0" applyNumberFormat="0" applyBorder="0" applyAlignment="0" applyProtection="0"/>
    <xf numFmtId="0" fontId="7" fillId="40" borderId="0" applyNumberFormat="0" applyBorder="0" applyAlignment="0" applyProtection="0"/>
    <xf numFmtId="0" fontId="7" fillId="40" borderId="0" applyNumberFormat="0" applyBorder="0" applyAlignment="0" applyProtection="0"/>
    <xf numFmtId="0" fontId="8" fillId="15" borderId="0" applyNumberFormat="0" applyBorder="0" applyAlignment="0" applyProtection="0"/>
    <xf numFmtId="0" fontId="9" fillId="15"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8" fillId="19" borderId="0" applyNumberFormat="0" applyBorder="0" applyAlignment="0" applyProtection="0"/>
    <xf numFmtId="0" fontId="9" fillId="19"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8" fillId="23" borderId="0" applyNumberFormat="0" applyBorder="0" applyAlignment="0" applyProtection="0"/>
    <xf numFmtId="0" fontId="9" fillId="23"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8" fillId="27" borderId="0" applyNumberFormat="0" applyBorder="0" applyAlignment="0" applyProtection="0"/>
    <xf numFmtId="0" fontId="9" fillId="27"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8" fillId="31" borderId="0" applyNumberFormat="0" applyBorder="0" applyAlignment="0" applyProtection="0"/>
    <xf numFmtId="0" fontId="9" fillId="31"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1" fillId="12" borderId="0" applyNumberFormat="0" applyBorder="0" applyAlignment="0" applyProtection="0"/>
    <xf numFmtId="0" fontId="12" fillId="12" borderId="0" applyNumberFormat="0" applyBorder="0" applyAlignment="0" applyProtection="0"/>
    <xf numFmtId="0" fontId="10" fillId="40" borderId="0" applyNumberFormat="0" applyBorder="0" applyAlignment="0" applyProtection="0"/>
    <xf numFmtId="0" fontId="10" fillId="40" borderId="0" applyNumberFormat="0" applyBorder="0" applyAlignment="0" applyProtection="0"/>
    <xf numFmtId="0" fontId="11" fillId="16" borderId="0" applyNumberFormat="0" applyBorder="0" applyAlignment="0" applyProtection="0"/>
    <xf numFmtId="0" fontId="12" fillId="16" borderId="0" applyNumberFormat="0" applyBorder="0" applyAlignment="0" applyProtection="0"/>
    <xf numFmtId="0" fontId="10" fillId="41" borderId="0" applyNumberFormat="0" applyBorder="0" applyAlignment="0" applyProtection="0"/>
    <xf numFmtId="0" fontId="10" fillId="41" borderId="0" applyNumberFormat="0" applyBorder="0" applyAlignment="0" applyProtection="0"/>
    <xf numFmtId="0" fontId="11" fillId="20" borderId="0" applyNumberFormat="0" applyBorder="0" applyAlignment="0" applyProtection="0"/>
    <xf numFmtId="0" fontId="12" fillId="20"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1" fillId="24" borderId="0" applyNumberFormat="0" applyBorder="0" applyAlignment="0" applyProtection="0"/>
    <xf numFmtId="0" fontId="12" fillId="24"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1" fillId="28" borderId="0" applyNumberFormat="0" applyBorder="0" applyAlignment="0" applyProtection="0"/>
    <xf numFmtId="0" fontId="12" fillId="28" borderId="0" applyNumberFormat="0" applyBorder="0" applyAlignment="0" applyProtection="0"/>
    <xf numFmtId="0" fontId="10" fillId="46" borderId="0" applyNumberFormat="0" applyBorder="0" applyAlignment="0" applyProtection="0"/>
    <xf numFmtId="0" fontId="10" fillId="46" borderId="0" applyNumberFormat="0" applyBorder="0" applyAlignment="0" applyProtection="0"/>
    <xf numFmtId="0" fontId="11" fillId="32" borderId="0" applyNumberFormat="0" applyBorder="0" applyAlignment="0" applyProtection="0"/>
    <xf numFmtId="0" fontId="12" fillId="32"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1" fillId="9" borderId="0" applyNumberFormat="0" applyBorder="0" applyAlignment="0" applyProtection="0"/>
    <xf numFmtId="0" fontId="12" fillId="9" borderId="0" applyNumberFormat="0" applyBorder="0" applyAlignment="0" applyProtection="0"/>
    <xf numFmtId="0" fontId="10" fillId="48" borderId="0" applyNumberFormat="0" applyBorder="0" applyAlignment="0" applyProtection="0"/>
    <xf numFmtId="0" fontId="10" fillId="48" borderId="0" applyNumberFormat="0" applyBorder="0" applyAlignment="0" applyProtection="0"/>
    <xf numFmtId="0" fontId="11" fillId="13" borderId="0" applyNumberFormat="0" applyBorder="0" applyAlignment="0" applyProtection="0"/>
    <xf numFmtId="0" fontId="12" fillId="13"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1" fillId="17" borderId="0" applyNumberFormat="0" applyBorder="0" applyAlignment="0" applyProtection="0"/>
    <xf numFmtId="0" fontId="12" fillId="17"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1" fillId="21" borderId="0" applyNumberFormat="0" applyBorder="0" applyAlignment="0" applyProtection="0"/>
    <xf numFmtId="0" fontId="12" fillId="21" borderId="0" applyNumberFormat="0" applyBorder="0" applyAlignment="0" applyProtection="0"/>
    <xf numFmtId="0" fontId="10" fillId="45" borderId="0" applyNumberFormat="0" applyBorder="0" applyAlignment="0" applyProtection="0"/>
    <xf numFmtId="0" fontId="10" fillId="45" borderId="0" applyNumberFormat="0" applyBorder="0" applyAlignment="0" applyProtection="0"/>
    <xf numFmtId="0" fontId="11" fillId="25" borderId="0" applyNumberFormat="0" applyBorder="0" applyAlignment="0" applyProtection="0"/>
    <xf numFmtId="0" fontId="12" fillId="25" borderId="0" applyNumberFormat="0" applyBorder="0" applyAlignment="0" applyProtection="0"/>
    <xf numFmtId="0" fontId="10" fillId="50" borderId="0" applyNumberFormat="0" applyBorder="0" applyAlignment="0" applyProtection="0"/>
    <xf numFmtId="0" fontId="10" fillId="50" borderId="0" applyNumberFormat="0" applyBorder="0" applyAlignment="0" applyProtection="0"/>
    <xf numFmtId="0" fontId="11" fillId="29" borderId="0" applyNumberFormat="0" applyBorder="0" applyAlignment="0" applyProtection="0"/>
    <xf numFmtId="0" fontId="12" fillId="29"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4" fillId="3" borderId="0" applyNumberFormat="0" applyBorder="0" applyAlignment="0" applyProtection="0"/>
    <xf numFmtId="0" fontId="15" fillId="3" borderId="0" applyNumberFormat="0" applyBorder="0" applyAlignment="0" applyProtection="0"/>
    <xf numFmtId="0" fontId="16" fillId="51" borderId="10" applyNumberFormat="0" applyAlignment="0" applyProtection="0"/>
    <xf numFmtId="0" fontId="16" fillId="51" borderId="10" applyNumberFormat="0" applyAlignment="0" applyProtection="0"/>
    <xf numFmtId="0" fontId="17" fillId="6" borderId="4" applyNumberFormat="0" applyAlignment="0" applyProtection="0"/>
    <xf numFmtId="0" fontId="18" fillId="6" borderId="4" applyNumberFormat="0" applyAlignment="0" applyProtection="0"/>
    <xf numFmtId="0" fontId="19" fillId="52" borderId="11" applyNumberFormat="0" applyAlignment="0" applyProtection="0"/>
    <xf numFmtId="0" fontId="19" fillId="52" borderId="11" applyNumberFormat="0" applyAlignment="0" applyProtection="0"/>
    <xf numFmtId="0" fontId="20" fillId="7" borderId="7" applyNumberFormat="0" applyAlignment="0" applyProtection="0"/>
    <xf numFmtId="0" fontId="21" fillId="7" borderId="7" applyNumberFormat="0" applyAlignment="0" applyProtection="0"/>
    <xf numFmtId="43" fontId="22" fillId="0" borderId="0" applyFont="0" applyFill="0" applyBorder="0" applyAlignment="0" applyProtection="0"/>
    <xf numFmtId="43" fontId="22" fillId="0" borderId="0" applyFont="0" applyFill="0" applyBorder="0" applyAlignment="0" applyProtection="0"/>
    <xf numFmtId="43" fontId="8" fillId="0" borderId="0" applyFont="0" applyFill="0" applyBorder="0" applyAlignment="0" applyProtection="0"/>
    <xf numFmtId="43" fontId="23" fillId="0" borderId="0" applyFont="0" applyFill="0" applyBorder="0" applyAlignment="0" applyProtection="0"/>
    <xf numFmtId="43" fontId="22" fillId="0" borderId="0" applyFont="0" applyFill="0" applyBorder="0" applyAlignment="0" applyProtection="0"/>
    <xf numFmtId="43" fontId="5"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8" fillId="0" borderId="0" applyFont="0" applyFill="0" applyBorder="0" applyAlignment="0" applyProtection="0"/>
    <xf numFmtId="3" fontId="22" fillId="0" borderId="0"/>
    <xf numFmtId="3" fontId="22" fillId="0" borderId="0"/>
    <xf numFmtId="0" fontId="22" fillId="53" borderId="0"/>
    <xf numFmtId="0" fontId="22" fillId="53" borderId="0"/>
    <xf numFmtId="42" fontId="22" fillId="0" borderId="0"/>
    <xf numFmtId="42" fontId="22" fillId="0" borderId="0"/>
    <xf numFmtId="0" fontId="22" fillId="53" borderId="0"/>
    <xf numFmtId="0" fontId="22" fillId="53" borderId="0"/>
    <xf numFmtId="164" fontId="22" fillId="0" borderId="0" applyFon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2" fontId="22" fillId="53" borderId="0"/>
    <xf numFmtId="2" fontId="22" fillId="53" borderId="0"/>
    <xf numFmtId="0" fontId="27" fillId="2" borderId="0" applyNumberFormat="0" applyBorder="0" applyAlignment="0" applyProtection="0"/>
    <xf numFmtId="0" fontId="28" fillId="35" borderId="0" applyNumberFormat="0" applyBorder="0" applyAlignment="0" applyProtection="0"/>
    <xf numFmtId="0" fontId="27" fillId="2" borderId="0" applyNumberFormat="0" applyBorder="0" applyAlignment="0" applyProtection="0"/>
    <xf numFmtId="0" fontId="29" fillId="2" borderId="0" applyNumberFormat="0" applyBorder="0" applyAlignment="0" applyProtection="0"/>
    <xf numFmtId="0" fontId="30" fillId="0" borderId="12" applyNumberFormat="0" applyFill="0" applyAlignment="0" applyProtection="0"/>
    <xf numFmtId="0" fontId="30" fillId="0" borderId="12" applyNumberFormat="0" applyFill="0" applyAlignment="0" applyProtection="0"/>
    <xf numFmtId="0" fontId="31" fillId="0" borderId="1" applyNumberFormat="0" applyFill="0" applyAlignment="0" applyProtection="0"/>
    <xf numFmtId="0" fontId="32" fillId="0" borderId="1" applyNumberFormat="0" applyFill="0" applyAlignment="0" applyProtection="0"/>
    <xf numFmtId="0" fontId="33" fillId="0" borderId="13" applyNumberFormat="0" applyFill="0" applyAlignment="0" applyProtection="0"/>
    <xf numFmtId="0" fontId="33" fillId="0" borderId="13" applyNumberFormat="0" applyFill="0" applyAlignment="0" applyProtection="0"/>
    <xf numFmtId="0" fontId="34" fillId="0" borderId="2" applyNumberFormat="0" applyFill="0" applyAlignment="0" applyProtection="0"/>
    <xf numFmtId="0" fontId="35" fillId="0" borderId="2"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7" fillId="0" borderId="3" applyNumberFormat="0" applyFill="0" applyAlignment="0" applyProtection="0"/>
    <xf numFmtId="0" fontId="38" fillId="0" borderId="3" applyNumberFormat="0" applyFill="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9" fillId="0" borderId="0" applyNumberFormat="0" applyFill="0" applyBorder="0" applyAlignment="0" applyProtection="0"/>
    <xf numFmtId="0" fontId="40" fillId="38" borderId="10" applyNumberFormat="0" applyAlignment="0" applyProtection="0"/>
    <xf numFmtId="0" fontId="40" fillId="38" borderId="10" applyNumberFormat="0" applyAlignment="0" applyProtection="0"/>
    <xf numFmtId="0" fontId="41" fillId="5" borderId="4" applyNumberFormat="0" applyAlignment="0" applyProtection="0"/>
    <xf numFmtId="0" fontId="42" fillId="5" borderId="4" applyNumberFormat="0" applyAlignment="0" applyProtection="0"/>
    <xf numFmtId="0" fontId="43" fillId="0" borderId="15" applyNumberFormat="0" applyFill="0" applyAlignment="0" applyProtection="0"/>
    <xf numFmtId="0" fontId="43" fillId="0" borderId="15" applyNumberFormat="0" applyFill="0" applyAlignment="0" applyProtection="0"/>
    <xf numFmtId="0" fontId="44" fillId="0" borderId="6" applyNumberFormat="0" applyFill="0" applyAlignment="0" applyProtection="0"/>
    <xf numFmtId="0" fontId="45" fillId="0" borderId="6" applyNumberFormat="0" applyFill="0" applyAlignment="0" applyProtection="0"/>
    <xf numFmtId="0" fontId="46" fillId="54" borderId="0" applyNumberFormat="0" applyBorder="0" applyAlignment="0" applyProtection="0"/>
    <xf numFmtId="0" fontId="46" fillId="54" borderId="0" applyNumberFormat="0" applyBorder="0" applyAlignment="0" applyProtection="0"/>
    <xf numFmtId="0" fontId="47" fillId="4" borderId="0" applyNumberFormat="0" applyBorder="0" applyAlignment="0" applyProtection="0"/>
    <xf numFmtId="0" fontId="48" fillId="4" borderId="0" applyNumberFormat="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8" fillId="0" borderId="0"/>
    <xf numFmtId="0" fontId="8" fillId="0" borderId="0"/>
    <xf numFmtId="0" fontId="9" fillId="0" borderId="0"/>
    <xf numFmtId="0" fontId="22"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22" fillId="0" borderId="0"/>
    <xf numFmtId="0" fontId="22" fillId="0" borderId="0"/>
    <xf numFmtId="0" fontId="22" fillId="0" borderId="0"/>
    <xf numFmtId="0" fontId="22" fillId="0" borderId="0"/>
    <xf numFmtId="0" fontId="22" fillId="0" borderId="0"/>
    <xf numFmtId="0" fontId="49" fillId="0" borderId="0"/>
    <xf numFmtId="0" fontId="8" fillId="0" borderId="0"/>
    <xf numFmtId="0" fontId="8" fillId="0" borderId="0"/>
    <xf numFmtId="0" fontId="8" fillId="0" borderId="0"/>
    <xf numFmtId="0" fontId="8" fillId="0" borderId="0"/>
    <xf numFmtId="0" fontId="5" fillId="0" borderId="0"/>
    <xf numFmtId="0" fontId="23" fillId="0" borderId="0"/>
    <xf numFmtId="0" fontId="8" fillId="0" borderId="0"/>
    <xf numFmtId="0" fontId="23" fillId="0" borderId="0"/>
    <xf numFmtId="0" fontId="8" fillId="0" borderId="0"/>
    <xf numFmtId="0" fontId="22" fillId="0" borderId="0"/>
    <xf numFmtId="0" fontId="22" fillId="0" borderId="0"/>
    <xf numFmtId="0" fontId="22" fillId="0" borderId="0"/>
    <xf numFmtId="0" fontId="50" fillId="0" borderId="0"/>
    <xf numFmtId="0" fontId="22" fillId="0" borderId="0"/>
    <xf numFmtId="0" fontId="8" fillId="0" borderId="0"/>
    <xf numFmtId="0" fontId="22" fillId="0" borderId="0"/>
    <xf numFmtId="0" fontId="8" fillId="0" borderId="0"/>
    <xf numFmtId="0" fontId="22" fillId="0" borderId="0"/>
    <xf numFmtId="0" fontId="22" fillId="0" borderId="0"/>
    <xf numFmtId="0" fontId="22" fillId="0" borderId="0"/>
    <xf numFmtId="0" fontId="49" fillId="55" borderId="16" applyNumberFormat="0" applyFont="0" applyAlignment="0" applyProtection="0"/>
    <xf numFmtId="0" fontId="49" fillId="55" borderId="16" applyNumberFormat="0" applyFont="0" applyAlignment="0" applyProtection="0"/>
    <xf numFmtId="0" fontId="8" fillId="8" borderId="8" applyNumberFormat="0" applyFont="0" applyAlignment="0" applyProtection="0"/>
    <xf numFmtId="0" fontId="9" fillId="8" borderId="8" applyNumberFormat="0" applyFont="0" applyAlignment="0" applyProtection="0"/>
    <xf numFmtId="0" fontId="51" fillId="51" borderId="17" applyNumberFormat="0" applyAlignment="0" applyProtection="0"/>
    <xf numFmtId="0" fontId="51" fillId="51" borderId="17" applyNumberFormat="0" applyAlignment="0" applyProtection="0"/>
    <xf numFmtId="0" fontId="52" fillId="6" borderId="5" applyNumberFormat="0" applyAlignment="0" applyProtection="0"/>
    <xf numFmtId="0" fontId="53" fillId="6" borderId="5" applyNumberFormat="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8" fillId="0" borderId="0" applyFont="0" applyFill="0" applyBorder="0" applyAlignment="0" applyProtection="0"/>
    <xf numFmtId="0" fontId="22" fillId="53" borderId="0"/>
    <xf numFmtId="0" fontId="22" fillId="53" borderId="0"/>
    <xf numFmtId="0" fontId="22" fillId="53" borderId="0"/>
    <xf numFmtId="0" fontId="22" fillId="53" borderId="0"/>
    <xf numFmtId="0" fontId="22" fillId="53" borderId="0"/>
    <xf numFmtId="0" fontId="22" fillId="53" borderId="0"/>
    <xf numFmtId="0" fontId="22" fillId="53" borderId="0"/>
    <xf numFmtId="0" fontId="22" fillId="53" borderId="0"/>
    <xf numFmtId="0" fontId="54" fillId="0" borderId="0" applyNumberFormat="0" applyFill="0" applyBorder="0" applyAlignment="0" applyProtection="0"/>
    <xf numFmtId="0" fontId="54" fillId="0" borderId="0" applyNumberFormat="0" applyFill="0" applyBorder="0" applyAlignment="0" applyProtection="0"/>
    <xf numFmtId="0" fontId="6" fillId="0" borderId="0" applyNumberFormat="0" applyFill="0" applyBorder="0" applyAlignment="0" applyProtection="0"/>
    <xf numFmtId="0" fontId="55" fillId="0" borderId="18" applyNumberFormat="0" applyFill="0" applyAlignment="0" applyProtection="0"/>
    <xf numFmtId="0" fontId="55" fillId="0" borderId="18" applyNumberFormat="0" applyFill="0" applyAlignment="0" applyProtection="0"/>
    <xf numFmtId="0" fontId="56" fillId="0" borderId="9" applyNumberFormat="0" applyFill="0" applyAlignment="0" applyProtection="0"/>
    <xf numFmtId="0" fontId="57" fillId="0" borderId="9"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9" fillId="0" borderId="0" applyNumberFormat="0" applyFill="0" applyBorder="0" applyAlignment="0" applyProtection="0"/>
    <xf numFmtId="0" fontId="60" fillId="0" borderId="0" applyNumberFormat="0" applyFill="0" applyBorder="0" applyAlignment="0" applyProtection="0"/>
    <xf numFmtId="43" fontId="4" fillId="0" borderId="0" applyFon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2"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0" fontId="94" fillId="0" borderId="0" applyNumberFormat="0" applyFill="0" applyBorder="0" applyAlignment="0" applyProtection="0"/>
    <xf numFmtId="0" fontId="95" fillId="0" borderId="0" applyNumberFormat="0" applyFill="0" applyBorder="0" applyAlignment="0" applyProtection="0">
      <alignment vertical="top"/>
      <protection locked="0"/>
    </xf>
    <xf numFmtId="0" fontId="9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2" fillId="0" borderId="0"/>
    <xf numFmtId="0" fontId="8" fillId="0" borderId="0"/>
    <xf numFmtId="0" fontId="8"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3" fillId="0" borderId="0"/>
    <xf numFmtId="0" fontId="23" fillId="0" borderId="0"/>
    <xf numFmtId="0" fontId="23" fillId="0" borderId="0"/>
    <xf numFmtId="0" fontId="22" fillId="0" borderId="0"/>
    <xf numFmtId="0" fontId="22" fillId="0" borderId="0"/>
    <xf numFmtId="0" fontId="8" fillId="0" borderId="0"/>
    <xf numFmtId="0" fontId="8" fillId="0" borderId="0"/>
    <xf numFmtId="0" fontId="2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9" fillId="0" borderId="0"/>
    <xf numFmtId="0" fontId="49" fillId="0" borderId="0"/>
    <xf numFmtId="0" fontId="49" fillId="0" borderId="0"/>
    <xf numFmtId="0" fontId="49" fillId="0" borderId="0"/>
    <xf numFmtId="0" fontId="97" fillId="0" borderId="0"/>
    <xf numFmtId="0" fontId="22" fillId="0" borderId="0"/>
    <xf numFmtId="0" fontId="22" fillId="0" borderId="0"/>
    <xf numFmtId="0" fontId="2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7" fillId="0" borderId="0"/>
    <xf numFmtId="0" fontId="97" fillId="0" borderId="0"/>
    <xf numFmtId="0" fontId="9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2" fillId="0" borderId="0"/>
    <xf numFmtId="0" fontId="22" fillId="0" borderId="0"/>
    <xf numFmtId="0" fontId="2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43" fontId="3" fillId="0" borderId="0" applyFon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43" fontId="2" fillId="0" borderId="0" applyFon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cellStyleXfs>
  <cellXfs count="390">
    <xf numFmtId="0" fontId="0" fillId="0" borderId="0" xfId="0"/>
    <xf numFmtId="0" fontId="61" fillId="0" borderId="0" xfId="0" applyFont="1"/>
    <xf numFmtId="0" fontId="62" fillId="0" borderId="0" xfId="0" applyFont="1"/>
    <xf numFmtId="0" fontId="63" fillId="0" borderId="0" xfId="0" applyFont="1"/>
    <xf numFmtId="3" fontId="0" fillId="0" borderId="0" xfId="0" applyNumberFormat="1"/>
    <xf numFmtId="0" fontId="64" fillId="0" borderId="0" xfId="0" applyFont="1"/>
    <xf numFmtId="0" fontId="67" fillId="0" borderId="0" xfId="0" applyFont="1"/>
    <xf numFmtId="0" fontId="66" fillId="0" borderId="0" xfId="0" applyFont="1"/>
    <xf numFmtId="0" fontId="68" fillId="0" borderId="0" xfId="0" applyFont="1"/>
    <xf numFmtId="0" fontId="69" fillId="0" borderId="0" xfId="0" applyFont="1"/>
    <xf numFmtId="0" fontId="71" fillId="0" borderId="0" xfId="0" applyFont="1" applyAlignment="1">
      <alignment horizontal="center" vertical="center"/>
    </xf>
    <xf numFmtId="0" fontId="0" fillId="0" borderId="0" xfId="0" applyAlignment="1">
      <alignment horizontal="right"/>
    </xf>
    <xf numFmtId="0" fontId="69" fillId="56" borderId="0" xfId="0" applyFont="1" applyFill="1"/>
    <xf numFmtId="166" fontId="0" fillId="56" borderId="0" xfId="0" applyNumberFormat="1" applyFill="1"/>
    <xf numFmtId="0" fontId="72" fillId="57" borderId="0" xfId="0" applyFont="1" applyFill="1" applyAlignment="1">
      <alignment horizontal="center" vertical="center"/>
    </xf>
    <xf numFmtId="0" fontId="71" fillId="57" borderId="0" xfId="0" applyFont="1" applyFill="1" applyAlignment="1">
      <alignment horizontal="center" vertical="center"/>
    </xf>
    <xf numFmtId="0" fontId="69" fillId="57" borderId="0" xfId="0" applyFont="1" applyFill="1"/>
    <xf numFmtId="166" fontId="0" fillId="57" borderId="0" xfId="0" applyNumberFormat="1" applyFill="1"/>
    <xf numFmtId="0" fontId="0" fillId="57" borderId="0" xfId="0" applyFill="1"/>
    <xf numFmtId="3" fontId="0" fillId="57" borderId="0" xfId="0" applyNumberFormat="1" applyFill="1"/>
    <xf numFmtId="165" fontId="0" fillId="57" borderId="0" xfId="242" applyNumberFormat="1" applyFont="1" applyFill="1"/>
    <xf numFmtId="0" fontId="72" fillId="57" borderId="0" xfId="0" applyFont="1" applyFill="1" applyAlignment="1">
      <alignment horizontal="left" vertical="center"/>
    </xf>
    <xf numFmtId="0" fontId="72" fillId="56" borderId="0" xfId="0" applyFont="1" applyFill="1" applyAlignment="1">
      <alignment horizontal="left" vertical="center"/>
    </xf>
    <xf numFmtId="167" fontId="71" fillId="56" borderId="0" xfId="0" applyNumberFormat="1" applyFont="1" applyFill="1" applyAlignment="1">
      <alignment horizontal="center" vertical="center"/>
    </xf>
    <xf numFmtId="0" fontId="76" fillId="0" borderId="0" xfId="0" applyFont="1"/>
    <xf numFmtId="0" fontId="70" fillId="57" borderId="0" xfId="0" applyFont="1" applyFill="1"/>
    <xf numFmtId="0" fontId="77" fillId="57" borderId="0" xfId="0" applyFont="1" applyFill="1"/>
    <xf numFmtId="165" fontId="71" fillId="57" borderId="0" xfId="0" applyNumberFormat="1" applyFont="1" applyFill="1" applyAlignment="1">
      <alignment horizontal="center" vertical="center"/>
    </xf>
    <xf numFmtId="0" fontId="75" fillId="0" borderId="0" xfId="0" applyFont="1"/>
    <xf numFmtId="0" fontId="78" fillId="57" borderId="0" xfId="0" applyFont="1" applyFill="1"/>
    <xf numFmtId="0" fontId="79" fillId="57" borderId="0" xfId="0" applyFont="1" applyFill="1"/>
    <xf numFmtId="43" fontId="79" fillId="57" borderId="0" xfId="0" applyNumberFormat="1" applyFont="1" applyFill="1"/>
    <xf numFmtId="168" fontId="0" fillId="0" borderId="0" xfId="0" applyNumberFormat="1"/>
    <xf numFmtId="167" fontId="71" fillId="57" borderId="0" xfId="0" applyNumberFormat="1" applyFont="1" applyFill="1" applyAlignment="1">
      <alignment horizontal="center" vertical="center"/>
    </xf>
    <xf numFmtId="0" fontId="76" fillId="57" borderId="0" xfId="0" applyFont="1" applyFill="1"/>
    <xf numFmtId="0" fontId="69" fillId="0" borderId="0" xfId="0" applyFont="1" applyFill="1"/>
    <xf numFmtId="0" fontId="0" fillId="0" borderId="0" xfId="0" applyFont="1" applyFill="1"/>
    <xf numFmtId="0" fontId="69" fillId="0" borderId="0" xfId="0" applyFont="1" applyFill="1" applyBorder="1" applyAlignment="1">
      <alignment horizontal="left" vertical="top" wrapText="1"/>
    </xf>
    <xf numFmtId="0" fontId="81" fillId="0" borderId="0" xfId="0" applyFont="1" applyFill="1" applyBorder="1" applyAlignment="1">
      <alignment horizontal="left" vertical="top" wrapText="1"/>
    </xf>
    <xf numFmtId="0" fontId="81" fillId="0" borderId="0" xfId="0" applyFont="1" applyFill="1" applyBorder="1" applyAlignment="1">
      <alignment horizontal="left" vertical="center" wrapText="1"/>
    </xf>
    <xf numFmtId="0" fontId="72" fillId="0" borderId="0" xfId="0" applyFont="1" applyFill="1"/>
    <xf numFmtId="169" fontId="69" fillId="0" borderId="0" xfId="0" applyNumberFormat="1" applyFont="1" applyFill="1"/>
    <xf numFmtId="0" fontId="80" fillId="0" borderId="0" xfId="0" applyFont="1"/>
    <xf numFmtId="168" fontId="80" fillId="0" borderId="0" xfId="0" applyNumberFormat="1" applyFont="1"/>
    <xf numFmtId="0" fontId="75" fillId="0" borderId="0" xfId="0" applyFont="1" applyFill="1"/>
    <xf numFmtId="0" fontId="84" fillId="0" borderId="0" xfId="0" applyFont="1" applyAlignment="1">
      <alignment horizontal="center" vertical="center"/>
    </xf>
    <xf numFmtId="0" fontId="85" fillId="0" borderId="0" xfId="0" applyFont="1"/>
    <xf numFmtId="0" fontId="72" fillId="0" borderId="0" xfId="0" applyFont="1" applyFill="1" applyAlignment="1">
      <alignment horizontal="center" wrapText="1"/>
    </xf>
    <xf numFmtId="0" fontId="69" fillId="0" borderId="0" xfId="0" applyFont="1" applyFill="1" applyAlignment="1">
      <alignment horizontal="center" wrapText="1"/>
    </xf>
    <xf numFmtId="0" fontId="0" fillId="0" borderId="0" xfId="0" applyFont="1" applyFill="1" applyAlignment="1">
      <alignment horizontal="center" wrapText="1"/>
    </xf>
    <xf numFmtId="0" fontId="87" fillId="0" borderId="0" xfId="0" applyFont="1" applyFill="1" applyAlignment="1">
      <alignment horizontal="left" wrapText="1"/>
    </xf>
    <xf numFmtId="166" fontId="69" fillId="0" borderId="0" xfId="0" applyNumberFormat="1" applyFont="1" applyFill="1"/>
    <xf numFmtId="166" fontId="81" fillId="0" borderId="0" xfId="0" applyNumberFormat="1" applyFont="1" applyFill="1"/>
    <xf numFmtId="169" fontId="81" fillId="0" borderId="0" xfId="0" applyNumberFormat="1" applyFont="1" applyFill="1"/>
    <xf numFmtId="0" fontId="80" fillId="0" borderId="0" xfId="0" applyFont="1" applyFill="1"/>
    <xf numFmtId="0" fontId="81" fillId="0" borderId="0" xfId="0" applyFont="1" applyFill="1"/>
    <xf numFmtId="0" fontId="0" fillId="0" borderId="0" xfId="0" applyFill="1"/>
    <xf numFmtId="0" fontId="63" fillId="0" borderId="0" xfId="0" applyFont="1" applyFill="1"/>
    <xf numFmtId="0" fontId="88" fillId="0" borderId="0" xfId="0" applyFont="1"/>
    <xf numFmtId="166" fontId="0" fillId="0" borderId="0" xfId="0" applyNumberFormat="1"/>
    <xf numFmtId="170" fontId="0" fillId="0" borderId="0" xfId="0" applyNumberFormat="1"/>
    <xf numFmtId="0" fontId="69" fillId="0" borderId="0" xfId="0" applyFont="1" applyFill="1" applyAlignment="1">
      <alignment horizontal="center"/>
    </xf>
    <xf numFmtId="0" fontId="0" fillId="0" borderId="0" xfId="0" applyAlignment="1">
      <alignment wrapText="1"/>
    </xf>
    <xf numFmtId="0" fontId="82" fillId="0" borderId="0" xfId="0" applyFont="1" applyFill="1"/>
    <xf numFmtId="0" fontId="92" fillId="0" borderId="0" xfId="0" applyFont="1"/>
    <xf numFmtId="0" fontId="65" fillId="0" borderId="0" xfId="0" applyFont="1"/>
    <xf numFmtId="171" fontId="0" fillId="0" borderId="0" xfId="0" applyNumberFormat="1"/>
    <xf numFmtId="1" fontId="0" fillId="0" borderId="0" xfId="0" applyNumberFormat="1"/>
    <xf numFmtId="0" fontId="93" fillId="0" borderId="0" xfId="0" applyFont="1" applyAlignment="1">
      <alignment horizontal="center" vertical="center"/>
    </xf>
    <xf numFmtId="2" fontId="0" fillId="0" borderId="0" xfId="0" applyNumberFormat="1"/>
    <xf numFmtId="0" fontId="84" fillId="0" borderId="0" xfId="0" applyFont="1" applyFill="1" applyAlignment="1">
      <alignment horizontal="center" vertical="center"/>
    </xf>
    <xf numFmtId="169" fontId="0" fillId="0" borderId="0" xfId="0" applyNumberFormat="1" applyFill="1"/>
    <xf numFmtId="0" fontId="82" fillId="0" borderId="0" xfId="0" applyFont="1"/>
    <xf numFmtId="0" fontId="75" fillId="57" borderId="0" xfId="0" applyFont="1" applyFill="1"/>
    <xf numFmtId="168" fontId="71" fillId="0" borderId="0" xfId="0" applyNumberFormat="1" applyFont="1" applyAlignment="1">
      <alignment horizontal="center" vertical="center"/>
    </xf>
    <xf numFmtId="168" fontId="99" fillId="57" borderId="0" xfId="0" applyNumberFormat="1" applyFont="1" applyFill="1" applyAlignment="1">
      <alignment horizontal="right" vertical="center"/>
    </xf>
    <xf numFmtId="0" fontId="102" fillId="57" borderId="0" xfId="0" applyFont="1" applyFill="1" applyAlignment="1">
      <alignment horizontal="left" vertical="center"/>
    </xf>
    <xf numFmtId="0" fontId="98" fillId="57" borderId="0" xfId="0" applyFont="1" applyFill="1" applyAlignment="1">
      <alignment horizontal="right" vertical="center"/>
    </xf>
    <xf numFmtId="168" fontId="99" fillId="0" borderId="0" xfId="0" applyNumberFormat="1" applyFont="1" applyAlignment="1">
      <alignment horizontal="center" vertical="center"/>
    </xf>
    <xf numFmtId="0" fontId="99" fillId="0" borderId="0" xfId="0" applyFont="1"/>
    <xf numFmtId="0" fontId="98" fillId="56" borderId="0" xfId="0" applyFont="1" applyFill="1" applyAlignment="1">
      <alignment horizontal="right" vertical="center"/>
    </xf>
    <xf numFmtId="0" fontId="89" fillId="59" borderId="21" xfId="0" applyFont="1" applyFill="1" applyBorder="1" applyAlignment="1">
      <alignment horizontal="left" vertical="top" wrapText="1" indent="2"/>
    </xf>
    <xf numFmtId="0" fontId="69" fillId="0" borderId="21" xfId="0" applyFont="1" applyFill="1" applyBorder="1" applyAlignment="1">
      <alignment horizontal="left" vertical="top" wrapText="1" indent="2"/>
    </xf>
    <xf numFmtId="0" fontId="69" fillId="0" borderId="21" xfId="0" applyFont="1" applyFill="1" applyBorder="1" applyAlignment="1">
      <alignment horizontal="right" vertical="top" wrapText="1"/>
    </xf>
    <xf numFmtId="0" fontId="106" fillId="58" borderId="20" xfId="0" applyFont="1" applyFill="1" applyBorder="1" applyAlignment="1">
      <alignment horizontal="left" vertical="top" wrapText="1" indent="2"/>
    </xf>
    <xf numFmtId="0" fontId="106" fillId="58" borderId="20" xfId="0" applyFont="1" applyFill="1" applyBorder="1" applyAlignment="1">
      <alignment horizontal="right" vertical="top" wrapText="1"/>
    </xf>
    <xf numFmtId="0" fontId="106" fillId="58" borderId="20" xfId="0" applyFont="1" applyFill="1" applyBorder="1" applyAlignment="1">
      <alignment horizontal="left" vertical="top" wrapText="1" indent="1"/>
    </xf>
    <xf numFmtId="0" fontId="108" fillId="0" borderId="21" xfId="0" applyFont="1" applyFill="1" applyBorder="1" applyAlignment="1">
      <alignment horizontal="left" vertical="top" wrapText="1" indent="2"/>
    </xf>
    <xf numFmtId="168" fontId="109" fillId="0" borderId="21" xfId="0" applyNumberFormat="1" applyFont="1" applyFill="1" applyBorder="1" applyAlignment="1">
      <alignment horizontal="right" vertical="top" wrapText="1"/>
    </xf>
    <xf numFmtId="0" fontId="106" fillId="59" borderId="21" xfId="0" applyFont="1" applyFill="1" applyBorder="1" applyAlignment="1">
      <alignment horizontal="left" vertical="top" wrapText="1" indent="2"/>
    </xf>
    <xf numFmtId="168" fontId="111" fillId="59" borderId="21" xfId="0" applyNumberFormat="1" applyFont="1" applyFill="1" applyBorder="1" applyAlignment="1">
      <alignment horizontal="right" vertical="top" wrapText="1"/>
    </xf>
    <xf numFmtId="1" fontId="109" fillId="0" borderId="21" xfId="0" applyNumberFormat="1" applyFont="1" applyFill="1" applyBorder="1" applyAlignment="1">
      <alignment horizontal="right" vertical="top" wrapText="1"/>
    </xf>
    <xf numFmtId="0" fontId="89" fillId="58" borderId="23" xfId="0" applyFont="1" applyFill="1" applyBorder="1" applyAlignment="1">
      <alignment horizontal="center" vertical="top" wrapText="1"/>
    </xf>
    <xf numFmtId="0" fontId="0" fillId="58" borderId="24" xfId="0" applyFill="1" applyBorder="1" applyAlignment="1">
      <alignment horizontal="left" vertical="top" wrapText="1" indent="4"/>
    </xf>
    <xf numFmtId="0" fontId="0" fillId="58" borderId="24" xfId="0" applyFill="1" applyBorder="1" applyAlignment="1">
      <alignment horizontal="left" vertical="top" wrapText="1" indent="5"/>
    </xf>
    <xf numFmtId="0" fontId="0" fillId="0" borderId="21" xfId="0" applyFill="1" applyBorder="1" applyAlignment="1">
      <alignment horizontal="left" vertical="top" wrapText="1" indent="1"/>
    </xf>
    <xf numFmtId="3" fontId="103" fillId="0" borderId="21" xfId="0" applyNumberFormat="1" applyFont="1" applyFill="1" applyBorder="1" applyAlignment="1">
      <alignment horizontal="right" vertical="top" wrapText="1" indent="4"/>
    </xf>
    <xf numFmtId="3" fontId="103" fillId="0" borderId="23" xfId="0" applyNumberFormat="1" applyFont="1" applyFill="1" applyBorder="1" applyAlignment="1">
      <alignment horizontal="right" vertical="top" wrapText="1" indent="2"/>
    </xf>
    <xf numFmtId="0" fontId="91" fillId="0" borderId="21" xfId="0" applyFont="1" applyFill="1" applyBorder="1" applyAlignment="1">
      <alignment horizontal="left" vertical="top" wrapText="1" indent="1"/>
    </xf>
    <xf numFmtId="3" fontId="105" fillId="59" borderId="21" xfId="0" applyNumberFormat="1" applyFont="1" applyFill="1" applyBorder="1" applyAlignment="1">
      <alignment horizontal="right" vertical="top" wrapText="1" indent="4"/>
    </xf>
    <xf numFmtId="3" fontId="105" fillId="59" borderId="23" xfId="0" applyNumberFormat="1" applyFont="1" applyFill="1" applyBorder="1" applyAlignment="1">
      <alignment horizontal="right" vertical="top" wrapText="1" indent="2"/>
    </xf>
    <xf numFmtId="0" fontId="0" fillId="0" borderId="0" xfId="0" applyFill="1" applyBorder="1" applyAlignment="1">
      <alignment horizontal="left" vertical="top" wrapText="1"/>
    </xf>
    <xf numFmtId="3" fontId="0" fillId="57" borderId="0" xfId="242" applyNumberFormat="1" applyFont="1" applyFill="1"/>
    <xf numFmtId="165" fontId="75" fillId="57" borderId="0" xfId="0" applyNumberFormat="1" applyFont="1" applyFill="1"/>
    <xf numFmtId="172" fontId="0" fillId="0" borderId="0" xfId="0" applyNumberFormat="1"/>
    <xf numFmtId="172" fontId="80" fillId="0" borderId="0" xfId="0" applyNumberFormat="1" applyFont="1"/>
    <xf numFmtId="0" fontId="0" fillId="56" borderId="0" xfId="0" applyFill="1"/>
    <xf numFmtId="0" fontId="0" fillId="60" borderId="0" xfId="0" applyFill="1"/>
    <xf numFmtId="0" fontId="56" fillId="0" borderId="0" xfId="197" applyFont="1" applyBorder="1" applyAlignment="1">
      <alignment horizontal="center" vertical="top"/>
    </xf>
    <xf numFmtId="1" fontId="116" fillId="0" borderId="0" xfId="294" applyNumberFormat="1" applyFont="1" applyAlignment="1" applyProtection="1">
      <alignment horizontal="center" vertical="center"/>
    </xf>
    <xf numFmtId="0" fontId="117" fillId="0" borderId="0" xfId="294" applyFont="1" applyAlignment="1">
      <alignment vertical="center"/>
    </xf>
    <xf numFmtId="0" fontId="8" fillId="0" borderId="0" xfId="197" applyFont="1"/>
    <xf numFmtId="0" fontId="108" fillId="0" borderId="0" xfId="294" applyFont="1" applyAlignment="1">
      <alignment vertical="center"/>
    </xf>
    <xf numFmtId="1" fontId="108" fillId="0" borderId="0" xfId="294" applyNumberFormat="1" applyFont="1" applyAlignment="1">
      <alignment horizontal="center" vertical="center"/>
    </xf>
    <xf numFmtId="0" fontId="106" fillId="0" borderId="0" xfId="294" applyFont="1" applyBorder="1" applyAlignment="1" applyProtection="1">
      <alignment horizontal="center" vertical="center"/>
    </xf>
    <xf numFmtId="0" fontId="106" fillId="0" borderId="0" xfId="294" applyFont="1" applyBorder="1" applyAlignment="1">
      <alignment vertical="center" wrapText="1"/>
    </xf>
    <xf numFmtId="0" fontId="56" fillId="0" borderId="0" xfId="197" applyFont="1" applyFill="1" applyBorder="1" applyAlignment="1">
      <alignment horizontal="center" vertical="top"/>
    </xf>
    <xf numFmtId="1" fontId="56" fillId="0" borderId="0" xfId="197" applyNumberFormat="1" applyFont="1" applyFill="1" applyBorder="1" applyAlignment="1">
      <alignment horizontal="center" vertical="top"/>
    </xf>
    <xf numFmtId="1" fontId="106" fillId="0" borderId="0" xfId="294" applyNumberFormat="1" applyFont="1" applyBorder="1" applyAlignment="1" applyProtection="1">
      <alignment horizontal="center" vertical="center"/>
    </xf>
    <xf numFmtId="0" fontId="118" fillId="0" borderId="0" xfId="294" applyFont="1" applyAlignment="1" applyProtection="1">
      <alignment horizontal="left" vertical="center"/>
    </xf>
    <xf numFmtId="1" fontId="119" fillId="0" borderId="0" xfId="294" applyNumberFormat="1" applyFont="1" applyAlignment="1" applyProtection="1">
      <alignment horizontal="center" vertical="center"/>
    </xf>
    <xf numFmtId="0" fontId="117" fillId="0" borderId="0" xfId="294" applyFont="1" applyFill="1" applyAlignment="1">
      <alignment vertical="center"/>
    </xf>
    <xf numFmtId="0" fontId="120" fillId="0" borderId="0" xfId="294" applyFont="1" applyAlignment="1" applyProtection="1">
      <alignment horizontal="left" vertical="center"/>
    </xf>
    <xf numFmtId="0" fontId="118" fillId="0" borderId="0" xfId="0" applyFont="1" applyAlignment="1" applyProtection="1">
      <alignment horizontal="left"/>
    </xf>
    <xf numFmtId="0" fontId="119" fillId="0" borderId="0" xfId="0" applyFont="1" applyAlignment="1" applyProtection="1">
      <alignment horizontal="left"/>
    </xf>
    <xf numFmtId="0" fontId="121" fillId="0" borderId="0" xfId="197" applyFont="1" applyFill="1"/>
    <xf numFmtId="0" fontId="87" fillId="0" borderId="0" xfId="0" applyFont="1" applyFill="1" applyAlignment="1">
      <alignment horizontal="center" vertical="center"/>
    </xf>
    <xf numFmtId="0" fontId="23" fillId="0" borderId="0" xfId="294" applyAlignment="1">
      <alignment vertical="center"/>
    </xf>
    <xf numFmtId="0" fontId="71" fillId="57" borderId="0" xfId="0" applyFont="1" applyFill="1" applyAlignment="1">
      <alignment horizontal="center" vertical="center" wrapText="1"/>
    </xf>
    <xf numFmtId="0" fontId="101" fillId="0" borderId="0" xfId="0" applyFont="1" applyFill="1"/>
    <xf numFmtId="168" fontId="100" fillId="0" borderId="0" xfId="0" applyNumberFormat="1" applyFont="1" applyFill="1" applyAlignment="1">
      <alignment horizontal="center" vertical="center"/>
    </xf>
    <xf numFmtId="168" fontId="71" fillId="57" borderId="0" xfId="0" applyNumberFormat="1" applyFont="1" applyFill="1" applyAlignment="1">
      <alignment horizontal="center" vertical="center"/>
    </xf>
    <xf numFmtId="168" fontId="100" fillId="57" borderId="0" xfId="0" applyNumberFormat="1" applyFont="1" applyFill="1" applyAlignment="1">
      <alignment horizontal="center" vertical="center"/>
    </xf>
    <xf numFmtId="168" fontId="99" fillId="57" borderId="0" xfId="0" applyNumberFormat="1" applyFont="1" applyFill="1" applyAlignment="1">
      <alignment horizontal="center" vertical="center"/>
    </xf>
    <xf numFmtId="0" fontId="101" fillId="57" borderId="0" xfId="0" applyFont="1" applyFill="1"/>
    <xf numFmtId="0" fontId="99" fillId="57" borderId="0" xfId="0" applyFont="1" applyFill="1"/>
    <xf numFmtId="0" fontId="72" fillId="60" borderId="0" xfId="0" applyFont="1" applyFill="1" applyAlignment="1">
      <alignment horizontal="left" vertical="center"/>
    </xf>
    <xf numFmtId="0" fontId="98" fillId="60" borderId="0" xfId="0" applyFont="1" applyFill="1" applyAlignment="1">
      <alignment horizontal="right" vertical="center"/>
    </xf>
    <xf numFmtId="0" fontId="0" fillId="61" borderId="0" xfId="0" applyFill="1"/>
    <xf numFmtId="0" fontId="72" fillId="61" borderId="0" xfId="0" applyFont="1" applyFill="1" applyAlignment="1">
      <alignment horizontal="left" vertical="center"/>
    </xf>
    <xf numFmtId="0" fontId="98" fillId="61" borderId="0" xfId="0" applyFont="1" applyFill="1" applyAlignment="1">
      <alignment horizontal="right" vertical="center"/>
    </xf>
    <xf numFmtId="0" fontId="69" fillId="60" borderId="0" xfId="0" applyFont="1" applyFill="1"/>
    <xf numFmtId="0" fontId="69" fillId="61" borderId="0" xfId="0" applyFont="1" applyFill="1"/>
    <xf numFmtId="0" fontId="84" fillId="0" borderId="0" xfId="0" applyFont="1"/>
    <xf numFmtId="0" fontId="101" fillId="0" borderId="0" xfId="0" applyFont="1"/>
    <xf numFmtId="0" fontId="122" fillId="0" borderId="0" xfId="0" applyFont="1"/>
    <xf numFmtId="174" fontId="71" fillId="57" borderId="0" xfId="0" applyNumberFormat="1" applyFont="1" applyFill="1" applyAlignment="1">
      <alignment horizontal="right"/>
    </xf>
    <xf numFmtId="0" fontId="71" fillId="0" borderId="0" xfId="0" applyFont="1"/>
    <xf numFmtId="0" fontId="0" fillId="57" borderId="0" xfId="0" applyFont="1" applyFill="1"/>
    <xf numFmtId="174" fontId="0" fillId="57" borderId="0" xfId="0" applyNumberFormat="1" applyFont="1" applyFill="1"/>
    <xf numFmtId="0" fontId="84" fillId="57" borderId="0" xfId="0" applyFont="1" applyFill="1" applyAlignment="1">
      <alignment horizontal="left"/>
    </xf>
    <xf numFmtId="174" fontId="0" fillId="57" borderId="0" xfId="0" applyNumberFormat="1" applyFont="1" applyFill="1" applyAlignment="1">
      <alignment horizontal="right"/>
    </xf>
    <xf numFmtId="173" fontId="0" fillId="57" borderId="0" xfId="0" applyNumberFormat="1" applyFont="1" applyFill="1" applyAlignment="1">
      <alignment horizontal="right"/>
    </xf>
    <xf numFmtId="174" fontId="0" fillId="57" borderId="25" xfId="0" applyNumberFormat="1" applyFont="1" applyFill="1" applyBorder="1"/>
    <xf numFmtId="0" fontId="87" fillId="0" borderId="0" xfId="0" applyFont="1" applyAlignment="1">
      <alignment horizontal="left"/>
    </xf>
    <xf numFmtId="0" fontId="0" fillId="0" borderId="0" xfId="0" applyFont="1"/>
    <xf numFmtId="0" fontId="122" fillId="57" borderId="0" xfId="0" applyFont="1" applyFill="1" applyBorder="1" applyAlignment="1">
      <alignment horizontal="center" vertical="center" wrapText="1"/>
    </xf>
    <xf numFmtId="0" fontId="122" fillId="57" borderId="0" xfId="0" applyFont="1" applyFill="1" applyBorder="1" applyAlignment="1">
      <alignment horizontal="center" vertical="center"/>
    </xf>
    <xf numFmtId="0" fontId="87" fillId="57" borderId="0" xfId="0" applyFont="1" applyFill="1" applyBorder="1" applyAlignment="1">
      <alignment horizontal="left" vertical="center" wrapText="1"/>
    </xf>
    <xf numFmtId="0" fontId="87" fillId="57" borderId="0" xfId="0" applyFont="1" applyFill="1" applyBorder="1" applyAlignment="1">
      <alignment horizontal="left" vertical="center"/>
    </xf>
    <xf numFmtId="0" fontId="71" fillId="57" borderId="0" xfId="0" applyFont="1" applyFill="1" applyAlignment="1">
      <alignment horizontal="left" indent="6"/>
    </xf>
    <xf numFmtId="0" fontId="123" fillId="0" borderId="0" xfId="0" applyFont="1"/>
    <xf numFmtId="0" fontId="0" fillId="57" borderId="0" xfId="0" applyFont="1" applyFill="1" applyAlignment="1">
      <alignment horizontal="left" indent="2"/>
    </xf>
    <xf numFmtId="0" fontId="0" fillId="57" borderId="0" xfId="0" applyFont="1" applyFill="1" applyAlignment="1">
      <alignment horizontal="left" indent="4"/>
    </xf>
    <xf numFmtId="0" fontId="123" fillId="57" borderId="0" xfId="0" applyFont="1" applyFill="1"/>
    <xf numFmtId="0" fontId="122" fillId="57" borderId="0" xfId="0" applyFont="1" applyFill="1"/>
    <xf numFmtId="0" fontId="87" fillId="57" borderId="0" xfId="0" applyFont="1" applyFill="1" applyAlignment="1">
      <alignment horizontal="left"/>
    </xf>
    <xf numFmtId="0" fontId="84" fillId="57" borderId="0" xfId="0" applyFont="1" applyFill="1"/>
    <xf numFmtId="168" fontId="84" fillId="57" borderId="0" xfId="0" applyNumberFormat="1" applyFont="1" applyFill="1"/>
    <xf numFmtId="168" fontId="101" fillId="57" borderId="0" xfId="0" applyNumberFormat="1" applyFont="1" applyFill="1"/>
    <xf numFmtId="0" fontId="71" fillId="57" borderId="0" xfId="0" applyFont="1" applyFill="1"/>
    <xf numFmtId="168" fontId="71" fillId="57" borderId="0" xfId="0" applyNumberFormat="1" applyFont="1" applyFill="1"/>
    <xf numFmtId="0" fontId="0" fillId="0" borderId="0" xfId="0" applyFill="1" applyBorder="1" applyAlignment="1">
      <alignment horizontal="left" vertical="top"/>
    </xf>
    <xf numFmtId="0" fontId="22" fillId="0" borderId="21" xfId="0" applyFont="1" applyFill="1" applyBorder="1" applyAlignment="1">
      <alignment horizontal="left" vertical="top" wrapText="1" indent="2"/>
    </xf>
    <xf numFmtId="168" fontId="129" fillId="0" borderId="21" xfId="0" applyNumberFormat="1" applyFont="1" applyFill="1" applyBorder="1" applyAlignment="1">
      <alignment horizontal="right" vertical="top" wrapText="1" indent="3"/>
    </xf>
    <xf numFmtId="175" fontId="129" fillId="0" borderId="21" xfId="0" applyNumberFormat="1" applyFont="1" applyFill="1" applyBorder="1" applyAlignment="1">
      <alignment horizontal="right" vertical="top" wrapText="1" indent="5"/>
    </xf>
    <xf numFmtId="168" fontId="129" fillId="0" borderId="21" xfId="0" applyNumberFormat="1" applyFont="1" applyFill="1" applyBorder="1" applyAlignment="1">
      <alignment horizontal="right" vertical="top" wrapText="1" indent="5"/>
    </xf>
    <xf numFmtId="0" fontId="127" fillId="59" borderId="21" xfId="0" applyFont="1" applyFill="1" applyBorder="1" applyAlignment="1">
      <alignment horizontal="left" vertical="top" wrapText="1" indent="2"/>
    </xf>
    <xf numFmtId="168" fontId="130" fillId="59" borderId="21" xfId="0" applyNumberFormat="1" applyFont="1" applyFill="1" applyBorder="1" applyAlignment="1">
      <alignment horizontal="right" vertical="top" wrapText="1" indent="3"/>
    </xf>
    <xf numFmtId="175" fontId="130" fillId="59" borderId="21" xfId="0" applyNumberFormat="1" applyFont="1" applyFill="1" applyBorder="1" applyAlignment="1">
      <alignment horizontal="right" vertical="top" wrapText="1" indent="5"/>
    </xf>
    <xf numFmtId="0" fontId="22" fillId="0" borderId="21" xfId="0" applyFont="1" applyFill="1" applyBorder="1" applyAlignment="1">
      <alignment horizontal="right" vertical="top" wrapText="1" indent="3"/>
    </xf>
    <xf numFmtId="0" fontId="115" fillId="0" borderId="0" xfId="0" applyFont="1" applyFill="1" applyBorder="1" applyAlignment="1">
      <alignment horizontal="left" vertical="top"/>
    </xf>
    <xf numFmtId="0" fontId="131" fillId="58" borderId="26" xfId="0" applyFont="1" applyFill="1" applyBorder="1" applyAlignment="1">
      <alignment horizontal="left" vertical="top" wrapText="1" indent="1"/>
    </xf>
    <xf numFmtId="0" fontId="0" fillId="58" borderId="20" xfId="0" applyFill="1" applyBorder="1" applyAlignment="1">
      <alignment horizontal="center" vertical="top" wrapText="1"/>
    </xf>
    <xf numFmtId="0" fontId="132" fillId="0" borderId="27" xfId="0" applyFont="1" applyFill="1" applyBorder="1" applyAlignment="1">
      <alignment horizontal="left" vertical="top" wrapText="1" indent="1"/>
    </xf>
    <xf numFmtId="0" fontId="132" fillId="0" borderId="21" xfId="0" applyFont="1" applyFill="1" applyBorder="1" applyAlignment="1">
      <alignment horizontal="right" vertical="top" wrapText="1" indent="5"/>
    </xf>
    <xf numFmtId="0" fontId="131" fillId="59" borderId="27" xfId="0" applyFont="1" applyFill="1" applyBorder="1" applyAlignment="1">
      <alignment horizontal="left" vertical="top" wrapText="1" indent="1"/>
    </xf>
    <xf numFmtId="0" fontId="1" fillId="0" borderId="0" xfId="0" applyFont="1" applyFill="1"/>
    <xf numFmtId="0" fontId="0" fillId="0" borderId="0" xfId="0" applyBorder="1"/>
    <xf numFmtId="0" fontId="56" fillId="0" borderId="0" xfId="0" applyFont="1" applyBorder="1" applyAlignment="1">
      <alignment horizontal="center" vertical="top"/>
    </xf>
    <xf numFmtId="0" fontId="56" fillId="56" borderId="0" xfId="0" applyFont="1" applyFill="1" applyBorder="1" applyAlignment="1">
      <alignment horizontal="center" vertical="top"/>
    </xf>
    <xf numFmtId="0" fontId="56" fillId="62" borderId="0" xfId="0" applyFont="1" applyFill="1" applyBorder="1" applyAlignment="1">
      <alignment horizontal="center" vertical="top"/>
    </xf>
    <xf numFmtId="0" fontId="0" fillId="0" borderId="0" xfId="0" applyFill="1" applyBorder="1"/>
    <xf numFmtId="169" fontId="0" fillId="0" borderId="0" xfId="0" applyNumberFormat="1" applyBorder="1"/>
    <xf numFmtId="0" fontId="56" fillId="0" borderId="19" xfId="0" applyFont="1" applyBorder="1" applyAlignment="1">
      <alignment horizontal="center" vertical="top"/>
    </xf>
    <xf numFmtId="169" fontId="0" fillId="0" borderId="0" xfId="0" applyNumberFormat="1"/>
    <xf numFmtId="169" fontId="0" fillId="0" borderId="0" xfId="0" applyNumberFormat="1" applyFont="1"/>
    <xf numFmtId="0" fontId="0" fillId="0" borderId="0" xfId="0" applyFont="1" applyAlignment="1">
      <alignment horizontal="right"/>
    </xf>
    <xf numFmtId="0" fontId="0" fillId="0" borderId="0" xfId="0" applyAlignment="1">
      <alignment horizontal="left" vertical="center"/>
    </xf>
    <xf numFmtId="0" fontId="0" fillId="0" borderId="0" xfId="0" applyAlignment="1">
      <alignment horizontal="center" vertical="center"/>
    </xf>
    <xf numFmtId="169" fontId="0" fillId="0" borderId="0" xfId="0" applyNumberFormat="1" applyAlignment="1">
      <alignment horizontal="center" vertical="center"/>
    </xf>
    <xf numFmtId="0" fontId="137" fillId="0" borderId="0" xfId="0" applyFont="1" applyAlignment="1">
      <alignment horizontal="center" vertical="center"/>
    </xf>
    <xf numFmtId="0" fontId="93" fillId="56" borderId="0" xfId="0" applyFont="1" applyFill="1" applyAlignment="1">
      <alignment horizontal="center"/>
    </xf>
    <xf numFmtId="0" fontId="138" fillId="0" borderId="0" xfId="0" applyFont="1" applyAlignment="1">
      <alignment horizontal="center" vertical="center"/>
    </xf>
    <xf numFmtId="0" fontId="80" fillId="0" borderId="0" xfId="0" applyFont="1" applyAlignment="1">
      <alignment horizontal="center" vertical="center"/>
    </xf>
    <xf numFmtId="6" fontId="0" fillId="0" borderId="0" xfId="0" applyNumberFormat="1"/>
    <xf numFmtId="0" fontId="8" fillId="0" borderId="0" xfId="197" applyFont="1" applyBorder="1"/>
    <xf numFmtId="1" fontId="8" fillId="0" borderId="0" xfId="197" applyNumberFormat="1" applyFont="1" applyBorder="1"/>
    <xf numFmtId="0" fontId="56" fillId="56" borderId="0" xfId="197" applyFont="1" applyFill="1" applyBorder="1" applyAlignment="1">
      <alignment horizontal="center" vertical="top"/>
    </xf>
    <xf numFmtId="0" fontId="8" fillId="56" borderId="0" xfId="197" applyFont="1" applyFill="1" applyBorder="1"/>
    <xf numFmtId="1" fontId="8" fillId="56" borderId="0" xfId="197" applyNumberFormat="1" applyFont="1" applyFill="1" applyBorder="1"/>
    <xf numFmtId="0" fontId="121" fillId="0" borderId="0" xfId="197" applyFont="1" applyFill="1" applyBorder="1"/>
    <xf numFmtId="0" fontId="117" fillId="0" borderId="0" xfId="294" applyFont="1" applyBorder="1" applyAlignment="1">
      <alignment vertical="center"/>
    </xf>
    <xf numFmtId="0" fontId="8" fillId="0" borderId="0" xfId="197" applyFont="1" applyFill="1" applyBorder="1"/>
    <xf numFmtId="0" fontId="23" fillId="0" borderId="0" xfId="294" applyBorder="1" applyAlignment="1">
      <alignment vertical="center"/>
    </xf>
    <xf numFmtId="0" fontId="8" fillId="0" borderId="0" xfId="197" applyFont="1" applyFill="1" applyBorder="1" applyAlignment="1">
      <alignment horizontal="left" vertical="center"/>
    </xf>
    <xf numFmtId="3" fontId="8" fillId="0" borderId="0" xfId="197" applyNumberFormat="1" applyFont="1" applyFill="1" applyBorder="1" applyAlignment="1">
      <alignment horizontal="center" vertical="center"/>
    </xf>
    <xf numFmtId="0" fontId="108" fillId="0" borderId="0" xfId="294" applyFont="1" applyBorder="1" applyAlignment="1">
      <alignment vertical="center"/>
    </xf>
    <xf numFmtId="0" fontId="56" fillId="0" borderId="0" xfId="197" applyFont="1" applyFill="1" applyBorder="1" applyAlignment="1">
      <alignment horizontal="right" vertical="center"/>
    </xf>
    <xf numFmtId="1" fontId="8" fillId="0" borderId="0" xfId="197" applyNumberFormat="1" applyFont="1" applyFill="1" applyBorder="1" applyAlignment="1">
      <alignment horizontal="left" vertical="center"/>
    </xf>
    <xf numFmtId="1" fontId="8" fillId="0" borderId="0" xfId="197" applyNumberFormat="1" applyFont="1" applyFill="1" applyBorder="1"/>
    <xf numFmtId="176" fontId="91" fillId="0" borderId="0" xfId="294" applyNumberFormat="1" applyFont="1" applyBorder="1" applyAlignment="1">
      <alignment vertical="center"/>
    </xf>
    <xf numFmtId="1" fontId="0" fillId="0" borderId="0" xfId="0" applyNumberFormat="1" applyBorder="1"/>
    <xf numFmtId="176" fontId="117" fillId="0" borderId="0" xfId="294" applyNumberFormat="1" applyFont="1" applyBorder="1" applyAlignment="1">
      <alignment vertical="center"/>
    </xf>
    <xf numFmtId="0" fontId="139" fillId="0" borderId="0" xfId="0" applyFont="1" applyBorder="1" applyAlignment="1" applyProtection="1">
      <alignment horizontal="left" vertical="center"/>
    </xf>
    <xf numFmtId="0" fontId="139" fillId="0" borderId="0" xfId="0" applyFont="1" applyBorder="1" applyAlignment="1" applyProtection="1">
      <alignment horizontal="left" vertical="center" wrapText="1"/>
    </xf>
    <xf numFmtId="0" fontId="139" fillId="0" borderId="0" xfId="0" applyFont="1" applyAlignment="1" applyProtection="1">
      <alignment horizontal="left" vertical="center"/>
    </xf>
    <xf numFmtId="0" fontId="139" fillId="0" borderId="0" xfId="0" applyFont="1" applyAlignment="1" applyProtection="1">
      <alignment horizontal="left" vertical="center" wrapText="1"/>
    </xf>
    <xf numFmtId="0" fontId="139" fillId="0" borderId="0" xfId="0" applyFont="1" applyFill="1" applyBorder="1" applyAlignment="1" applyProtection="1">
      <alignment horizontal="left" vertical="center"/>
    </xf>
    <xf numFmtId="0" fontId="139" fillId="0" borderId="0" xfId="0" applyFont="1" applyFill="1" applyBorder="1" applyAlignment="1" applyProtection="1">
      <alignment horizontal="left" vertical="center" wrapText="1"/>
    </xf>
    <xf numFmtId="0" fontId="137" fillId="0" borderId="0" xfId="0" applyFont="1" applyAlignment="1">
      <alignment horizontal="center" vertical="center" wrapText="1"/>
    </xf>
    <xf numFmtId="6" fontId="140" fillId="0" borderId="0" xfId="0" applyNumberFormat="1" applyFont="1"/>
    <xf numFmtId="8" fontId="0" fillId="0" borderId="0" xfId="0" applyNumberFormat="1"/>
    <xf numFmtId="0" fontId="56" fillId="0" borderId="0" xfId="197" applyFont="1" applyBorder="1" applyAlignment="1">
      <alignment horizontal="center" vertical="top"/>
    </xf>
    <xf numFmtId="0" fontId="137" fillId="0" borderId="0" xfId="0" applyFont="1" applyFill="1" applyAlignment="1">
      <alignment horizontal="center" vertical="center"/>
    </xf>
    <xf numFmtId="169" fontId="0" fillId="0" borderId="0" xfId="0" applyNumberFormat="1" applyFont="1" applyFill="1"/>
    <xf numFmtId="0" fontId="79" fillId="0" borderId="0" xfId="0" applyFont="1"/>
    <xf numFmtId="0" fontId="0" fillId="0" borderId="0" xfId="0" applyAlignment="1">
      <alignment horizontal="center"/>
    </xf>
    <xf numFmtId="0" fontId="141" fillId="0" borderId="28" xfId="0" applyFont="1" applyBorder="1" applyAlignment="1">
      <alignment horizontal="right"/>
    </xf>
    <xf numFmtId="0" fontId="141" fillId="0" borderId="28" xfId="0" applyFont="1" applyBorder="1"/>
    <xf numFmtId="0" fontId="141" fillId="0" borderId="0" xfId="0" applyFont="1" applyBorder="1" applyAlignment="1">
      <alignment horizontal="right"/>
    </xf>
    <xf numFmtId="0" fontId="141" fillId="0" borderId="0" xfId="0" applyFont="1" applyBorder="1"/>
    <xf numFmtId="0" fontId="141" fillId="0" borderId="25" xfId="0" applyFont="1" applyBorder="1" applyAlignment="1">
      <alignment horizontal="right"/>
    </xf>
    <xf numFmtId="0" fontId="141" fillId="0" borderId="25" xfId="0" applyFont="1" applyBorder="1"/>
    <xf numFmtId="0" fontId="0" fillId="0" borderId="0" xfId="0" applyFont="1" applyAlignment="1">
      <alignment horizontal="center" vertical="center"/>
    </xf>
    <xf numFmtId="0" fontId="0" fillId="0" borderId="0" xfId="0" applyFont="1" applyAlignment="1">
      <alignment horizontal="left" vertical="center"/>
    </xf>
    <xf numFmtId="0" fontId="142" fillId="0" borderId="0" xfId="0" applyFont="1" applyAlignment="1">
      <alignment horizontal="center"/>
    </xf>
    <xf numFmtId="177" fontId="8" fillId="0" borderId="0" xfId="197" applyNumberFormat="1" applyFont="1" applyFill="1" applyBorder="1" applyAlignment="1">
      <alignment horizontal="center" vertical="center"/>
    </xf>
    <xf numFmtId="0" fontId="8" fillId="60" borderId="0" xfId="197" applyFont="1" applyFill="1" applyBorder="1"/>
    <xf numFmtId="169" fontId="8" fillId="60" borderId="0" xfId="197" applyNumberFormat="1" applyFont="1" applyFill="1" applyBorder="1"/>
    <xf numFmtId="178" fontId="80" fillId="0" borderId="0" xfId="0" applyNumberFormat="1" applyFont="1"/>
    <xf numFmtId="179" fontId="0" fillId="0" borderId="0" xfId="0" applyNumberFormat="1"/>
    <xf numFmtId="2" fontId="71" fillId="0" borderId="0" xfId="0" applyNumberFormat="1" applyFont="1"/>
    <xf numFmtId="171" fontId="0" fillId="57" borderId="0" xfId="0" applyNumberFormat="1" applyFill="1"/>
    <xf numFmtId="171" fontId="0" fillId="57" borderId="0" xfId="0" applyNumberFormat="1" applyFill="1" applyAlignment="1">
      <alignment horizontal="right"/>
    </xf>
    <xf numFmtId="171" fontId="71" fillId="57" borderId="0" xfId="0" applyNumberFormat="1" applyFont="1" applyFill="1" applyAlignment="1">
      <alignment horizontal="right" vertical="center"/>
    </xf>
    <xf numFmtId="171" fontId="99" fillId="57" borderId="0" xfId="0" applyNumberFormat="1" applyFont="1" applyFill="1" applyAlignment="1">
      <alignment horizontal="right" vertical="center"/>
    </xf>
    <xf numFmtId="171" fontId="99" fillId="57" borderId="0" xfId="0" applyNumberFormat="1" applyFont="1" applyFill="1"/>
    <xf numFmtId="171" fontId="71" fillId="56" borderId="0" xfId="0" applyNumberFormat="1" applyFont="1" applyFill="1" applyAlignment="1">
      <alignment horizontal="right" vertical="center"/>
    </xf>
    <xf numFmtId="171" fontId="99" fillId="56" borderId="0" xfId="0" applyNumberFormat="1" applyFont="1" applyFill="1" applyAlignment="1">
      <alignment horizontal="right" vertical="center"/>
    </xf>
    <xf numFmtId="171" fontId="71" fillId="60" borderId="0" xfId="0" applyNumberFormat="1" applyFont="1" applyFill="1" applyAlignment="1">
      <alignment horizontal="right" vertical="center"/>
    </xf>
    <xf numFmtId="171" fontId="99" fillId="60" borderId="0" xfId="0" applyNumberFormat="1" applyFont="1" applyFill="1" applyAlignment="1">
      <alignment horizontal="right" vertical="center"/>
    </xf>
    <xf numFmtId="171" fontId="71" fillId="61" borderId="0" xfId="0" applyNumberFormat="1" applyFont="1" applyFill="1" applyAlignment="1">
      <alignment horizontal="right" vertical="center"/>
    </xf>
    <xf numFmtId="171" fontId="99" fillId="61" borderId="0" xfId="0" applyNumberFormat="1" applyFont="1" applyFill="1" applyAlignment="1">
      <alignment horizontal="right" vertical="center"/>
    </xf>
    <xf numFmtId="171" fontId="69" fillId="57" borderId="0" xfId="0" applyNumberFormat="1" applyFont="1" applyFill="1"/>
    <xf numFmtId="171" fontId="71" fillId="57" borderId="0" xfId="0" applyNumberFormat="1" applyFont="1" applyFill="1" applyAlignment="1">
      <alignment horizontal="center" vertical="center"/>
    </xf>
    <xf numFmtId="171" fontId="69" fillId="56" borderId="0" xfId="0" applyNumberFormat="1" applyFont="1" applyFill="1"/>
    <xf numFmtId="171" fontId="69" fillId="0" borderId="0" xfId="0" applyNumberFormat="1" applyFont="1"/>
    <xf numFmtId="171" fontId="69" fillId="60" borderId="0" xfId="0" applyNumberFormat="1" applyFont="1" applyFill="1"/>
    <xf numFmtId="171" fontId="69" fillId="61" borderId="0" xfId="0" applyNumberFormat="1" applyFont="1" applyFill="1"/>
    <xf numFmtId="177" fontId="117" fillId="0" borderId="0" xfId="294" applyNumberFormat="1" applyFont="1" applyFill="1" applyAlignment="1">
      <alignment vertical="center"/>
    </xf>
    <xf numFmtId="0" fontId="0" fillId="57" borderId="0" xfId="0" applyFill="1" applyAlignment="1">
      <alignment horizontal="center" vertical="center"/>
    </xf>
    <xf numFmtId="0" fontId="69" fillId="57" borderId="0" xfId="0" applyFont="1" applyFill="1" applyAlignment="1">
      <alignment horizontal="center" vertical="center"/>
    </xf>
    <xf numFmtId="2" fontId="93" fillId="0" borderId="0" xfId="0" applyNumberFormat="1" applyFont="1" applyAlignment="1">
      <alignment horizontal="center" vertical="center"/>
    </xf>
    <xf numFmtId="0" fontId="143" fillId="0" borderId="0" xfId="282" applyFont="1" applyAlignment="1">
      <alignment horizontal="center" wrapText="1"/>
    </xf>
    <xf numFmtId="0" fontId="8" fillId="0" borderId="0" xfId="282"/>
    <xf numFmtId="0" fontId="143" fillId="0" borderId="25" xfId="282" applyFont="1" applyBorder="1" applyAlignment="1">
      <alignment horizontal="left"/>
    </xf>
    <xf numFmtId="0" fontId="143" fillId="0" borderId="25" xfId="282" applyFont="1" applyBorder="1" applyAlignment="1">
      <alignment horizontal="center" wrapText="1"/>
    </xf>
    <xf numFmtId="0" fontId="143" fillId="0" borderId="0" xfId="282" applyFont="1" applyAlignment="1">
      <alignment horizontal="left"/>
    </xf>
    <xf numFmtId="169" fontId="143" fillId="0" borderId="0" xfId="282" applyNumberFormat="1" applyFont="1" applyAlignment="1">
      <alignment horizontal="center" wrapText="1"/>
    </xf>
    <xf numFmtId="0" fontId="143" fillId="0" borderId="25" xfId="282" applyFont="1" applyBorder="1" applyAlignment="1">
      <alignment horizontal="left" wrapText="1"/>
    </xf>
    <xf numFmtId="1" fontId="143" fillId="0" borderId="0" xfId="282" applyNumberFormat="1" applyFont="1" applyAlignment="1">
      <alignment horizontal="center" wrapText="1"/>
    </xf>
    <xf numFmtId="0" fontId="143" fillId="0" borderId="0" xfId="282" applyFont="1" applyBorder="1" applyAlignment="1">
      <alignment horizontal="left"/>
    </xf>
    <xf numFmtId="0" fontId="143" fillId="0" borderId="0" xfId="282" applyFont="1" applyBorder="1" applyAlignment="1">
      <alignment horizontal="center" wrapText="1"/>
    </xf>
    <xf numFmtId="1" fontId="143" fillId="0" borderId="0" xfId="0" applyNumberFormat="1" applyFont="1" applyAlignment="1">
      <alignment horizontal="center" wrapText="1"/>
    </xf>
    <xf numFmtId="1" fontId="143" fillId="0" borderId="0" xfId="0" applyNumberFormat="1" applyFont="1" applyBorder="1" applyAlignment="1">
      <alignment horizontal="center" wrapText="1"/>
    </xf>
    <xf numFmtId="169" fontId="143" fillId="0" borderId="0" xfId="282" applyNumberFormat="1" applyFont="1" applyBorder="1" applyAlignment="1">
      <alignment horizontal="center" vertical="center"/>
    </xf>
    <xf numFmtId="0" fontId="144" fillId="0" borderId="0" xfId="294" applyFont="1" applyAlignment="1" applyProtection="1"/>
    <xf numFmtId="0" fontId="145" fillId="0" borderId="0" xfId="294" applyFont="1"/>
    <xf numFmtId="0" fontId="145" fillId="0" borderId="0" xfId="294" applyFont="1" applyBorder="1" applyAlignment="1" applyProtection="1"/>
    <xf numFmtId="0" fontId="146" fillId="0" borderId="0" xfId="198" applyFont="1" applyBorder="1" applyAlignment="1" applyProtection="1">
      <alignment horizontal="right"/>
    </xf>
    <xf numFmtId="169" fontId="145" fillId="0" borderId="0" xfId="198" applyNumberFormat="1" applyFont="1" applyBorder="1" applyAlignment="1" applyProtection="1"/>
    <xf numFmtId="169" fontId="145" fillId="56" borderId="0" xfId="198" applyNumberFormat="1" applyFont="1" applyFill="1" applyBorder="1" applyAlignment="1" applyProtection="1"/>
    <xf numFmtId="169" fontId="145" fillId="0" borderId="0" xfId="198" applyNumberFormat="1" applyFont="1" applyFill="1" applyBorder="1" applyAlignment="1" applyProtection="1"/>
    <xf numFmtId="0" fontId="145" fillId="0" borderId="0" xfId="198" applyFont="1" applyBorder="1"/>
    <xf numFmtId="0" fontId="144" fillId="0" borderId="29" xfId="329" applyFont="1" applyBorder="1" applyAlignment="1" applyProtection="1">
      <alignment vertical="center"/>
    </xf>
    <xf numFmtId="0" fontId="144" fillId="0" borderId="30" xfId="329" applyFont="1" applyBorder="1" applyAlignment="1" applyProtection="1">
      <alignment horizontal="center" vertical="center"/>
    </xf>
    <xf numFmtId="0" fontId="144" fillId="0" borderId="31" xfId="329" applyFont="1" applyBorder="1" applyAlignment="1" applyProtection="1">
      <alignment horizontal="center" vertical="center"/>
    </xf>
    <xf numFmtId="0" fontId="144" fillId="56" borderId="30" xfId="329" applyFont="1" applyFill="1" applyBorder="1" applyAlignment="1" applyProtection="1">
      <alignment horizontal="center" vertical="center"/>
    </xf>
    <xf numFmtId="0" fontId="144" fillId="56" borderId="31" xfId="329" applyFont="1" applyFill="1" applyBorder="1" applyAlignment="1" applyProtection="1">
      <alignment horizontal="center" vertical="center"/>
    </xf>
    <xf numFmtId="0" fontId="144" fillId="0" borderId="0" xfId="329" applyFont="1" applyFill="1" applyBorder="1" applyAlignment="1" applyProtection="1">
      <alignment horizontal="center" vertical="center"/>
    </xf>
    <xf numFmtId="0" fontId="144" fillId="62" borderId="29" xfId="329" applyFont="1" applyFill="1" applyBorder="1" applyAlignment="1" applyProtection="1">
      <alignment horizontal="center" vertical="center"/>
    </xf>
    <xf numFmtId="0" fontId="144" fillId="0" borderId="0" xfId="329" applyFont="1"/>
    <xf numFmtId="0" fontId="144" fillId="0" borderId="32" xfId="294" applyFont="1" applyFill="1" applyBorder="1" applyAlignment="1" applyProtection="1"/>
    <xf numFmtId="0" fontId="144" fillId="0" borderId="32" xfId="198" applyFont="1" applyFill="1" applyBorder="1" applyAlignment="1" applyProtection="1"/>
    <xf numFmtId="0" fontId="145" fillId="0" borderId="0" xfId="294" applyFont="1" applyFill="1"/>
    <xf numFmtId="0" fontId="145" fillId="0" borderId="0" xfId="0" applyFont="1" applyAlignment="1" applyProtection="1">
      <alignment horizontal="left"/>
    </xf>
    <xf numFmtId="180" fontId="145" fillId="0" borderId="33" xfId="0" applyNumberFormat="1" applyFont="1" applyBorder="1" applyAlignment="1" applyProtection="1">
      <alignment horizontal="right"/>
    </xf>
    <xf numFmtId="180" fontId="145" fillId="0" borderId="34" xfId="0" applyNumberFormat="1" applyFont="1" applyBorder="1" applyAlignment="1" applyProtection="1">
      <alignment horizontal="right"/>
    </xf>
    <xf numFmtId="180" fontId="145" fillId="0" borderId="0" xfId="0" applyNumberFormat="1" applyFont="1" applyAlignment="1"/>
    <xf numFmtId="0" fontId="145" fillId="0" borderId="0" xfId="0" applyFont="1" applyAlignment="1"/>
    <xf numFmtId="180" fontId="145" fillId="0" borderId="35" xfId="0" applyNumberFormat="1" applyFont="1" applyBorder="1" applyAlignment="1" applyProtection="1">
      <alignment horizontal="right"/>
    </xf>
    <xf numFmtId="180" fontId="145" fillId="0" borderId="36" xfId="0" applyNumberFormat="1" applyFont="1" applyBorder="1" applyAlignment="1" applyProtection="1">
      <alignment horizontal="right"/>
    </xf>
    <xf numFmtId="180" fontId="144" fillId="0" borderId="0" xfId="0" applyNumberFormat="1" applyFont="1" applyAlignment="1"/>
    <xf numFmtId="0" fontId="144" fillId="0" borderId="0" xfId="0" applyFont="1" applyAlignment="1"/>
    <xf numFmtId="180" fontId="145" fillId="0" borderId="37" xfId="0" applyNumberFormat="1" applyFont="1" applyBorder="1" applyAlignment="1" applyProtection="1">
      <alignment horizontal="right"/>
    </xf>
    <xf numFmtId="180" fontId="145" fillId="0" borderId="38" xfId="0" applyNumberFormat="1" applyFont="1" applyBorder="1" applyAlignment="1" applyProtection="1">
      <alignment horizontal="right"/>
    </xf>
    <xf numFmtId="0" fontId="144" fillId="0" borderId="39" xfId="0" applyFont="1" applyBorder="1" applyAlignment="1"/>
    <xf numFmtId="180" fontId="144" fillId="0" borderId="33" xfId="0" applyNumberFormat="1" applyFont="1" applyBorder="1" applyAlignment="1" applyProtection="1">
      <alignment horizontal="right"/>
    </xf>
    <xf numFmtId="180" fontId="144" fillId="0" borderId="34" xfId="0" applyNumberFormat="1" applyFont="1" applyBorder="1" applyAlignment="1" applyProtection="1">
      <alignment horizontal="right"/>
    </xf>
    <xf numFmtId="0" fontId="144" fillId="0" borderId="0" xfId="0" applyFont="1" applyBorder="1" applyAlignment="1"/>
    <xf numFmtId="0" fontId="144" fillId="0" borderId="40" xfId="198" applyFont="1" applyFill="1" applyBorder="1" applyAlignment="1" applyProtection="1"/>
    <xf numFmtId="0" fontId="144" fillId="0" borderId="40" xfId="292" applyFont="1" applyFill="1" applyBorder="1" applyAlignment="1" applyProtection="1"/>
    <xf numFmtId="0" fontId="144" fillId="0" borderId="41" xfId="294" applyFont="1" applyFill="1" applyBorder="1" applyAlignment="1" applyProtection="1"/>
    <xf numFmtId="0" fontId="144" fillId="0" borderId="41" xfId="294" applyFont="1" applyFill="1" applyBorder="1" applyAlignment="1" applyProtection="1">
      <alignment horizontal="center"/>
    </xf>
    <xf numFmtId="180" fontId="145" fillId="0" borderId="0" xfId="294" applyNumberFormat="1" applyFont="1" applyFill="1"/>
    <xf numFmtId="0" fontId="145" fillId="0" borderId="0" xfId="294" applyFont="1" applyFill="1" applyAlignment="1" applyProtection="1">
      <alignment horizontal="left"/>
    </xf>
    <xf numFmtId="180" fontId="145" fillId="0" borderId="42" xfId="198" applyNumberFormat="1" applyFont="1" applyFill="1" applyBorder="1" applyAlignment="1" applyProtection="1">
      <alignment horizontal="right"/>
    </xf>
    <xf numFmtId="0" fontId="145" fillId="0" borderId="0" xfId="294" applyFont="1" applyFill="1" applyAlignment="1"/>
    <xf numFmtId="0" fontId="144" fillId="0" borderId="0" xfId="294" applyFont="1" applyFill="1" applyAlignment="1"/>
    <xf numFmtId="180" fontId="144" fillId="0" borderId="42" xfId="198" applyNumberFormat="1" applyFont="1" applyFill="1" applyBorder="1" applyAlignment="1" applyProtection="1">
      <alignment horizontal="right"/>
    </xf>
    <xf numFmtId="180" fontId="144" fillId="60" borderId="42" xfId="198" applyNumberFormat="1" applyFont="1" applyFill="1" applyBorder="1" applyAlignment="1" applyProtection="1">
      <alignment horizontal="right"/>
    </xf>
    <xf numFmtId="0" fontId="145" fillId="0" borderId="0" xfId="0" applyFont="1" applyBorder="1" applyAlignment="1"/>
    <xf numFmtId="180" fontId="145" fillId="0" borderId="0" xfId="198" applyNumberFormat="1" applyFont="1" applyFill="1" applyBorder="1" applyAlignment="1" applyProtection="1">
      <alignment horizontal="right"/>
    </xf>
    <xf numFmtId="180" fontId="145" fillId="60" borderId="43" xfId="198" applyNumberFormat="1" applyFont="1" applyFill="1" applyBorder="1" applyAlignment="1" applyProtection="1">
      <alignment horizontal="right"/>
    </xf>
    <xf numFmtId="180" fontId="145" fillId="60" borderId="44" xfId="198" applyNumberFormat="1" applyFont="1" applyFill="1" applyBorder="1" applyAlignment="1" applyProtection="1">
      <alignment horizontal="right"/>
    </xf>
    <xf numFmtId="181" fontId="145" fillId="0" borderId="42" xfId="198" applyNumberFormat="1" applyFont="1" applyFill="1" applyBorder="1" applyAlignment="1" applyProtection="1">
      <alignment horizontal="right"/>
    </xf>
    <xf numFmtId="181" fontId="145" fillId="0" borderId="45" xfId="198" applyNumberFormat="1" applyFont="1" applyFill="1" applyBorder="1" applyAlignment="1" applyProtection="1">
      <alignment horizontal="right"/>
    </xf>
    <xf numFmtId="181" fontId="145" fillId="0" borderId="46" xfId="198" applyNumberFormat="1" applyFont="1" applyFill="1" applyBorder="1" applyAlignment="1" applyProtection="1">
      <alignment horizontal="right"/>
    </xf>
    <xf numFmtId="181" fontId="145" fillId="0" borderId="47" xfId="198" applyNumberFormat="1" applyFont="1" applyFill="1" applyBorder="1" applyAlignment="1" applyProtection="1">
      <alignment horizontal="right"/>
    </xf>
    <xf numFmtId="181" fontId="145" fillId="0" borderId="0" xfId="198" applyNumberFormat="1" applyFont="1" applyFill="1" applyBorder="1" applyAlignment="1" applyProtection="1">
      <alignment horizontal="right"/>
    </xf>
    <xf numFmtId="181" fontId="145" fillId="0" borderId="48" xfId="198" applyNumberFormat="1" applyFont="1" applyFill="1" applyBorder="1" applyAlignment="1" applyProtection="1">
      <alignment horizontal="right"/>
    </xf>
    <xf numFmtId="181" fontId="145" fillId="0" borderId="33" xfId="292" applyNumberFormat="1" applyFont="1" applyFill="1" applyBorder="1" applyAlignment="1" applyProtection="1">
      <alignment horizontal="right"/>
    </xf>
    <xf numFmtId="181" fontId="145" fillId="0" borderId="34" xfId="292" applyNumberFormat="1" applyFont="1" applyFill="1" applyBorder="1" applyAlignment="1" applyProtection="1">
      <alignment horizontal="right"/>
    </xf>
    <xf numFmtId="182" fontId="145" fillId="0" borderId="0" xfId="294" applyNumberFormat="1" applyFont="1" applyFill="1" applyBorder="1" applyAlignment="1" applyProtection="1">
      <alignment horizontal="right"/>
    </xf>
    <xf numFmtId="182" fontId="145" fillId="0" borderId="48" xfId="294" applyNumberFormat="1" applyFont="1" applyFill="1" applyBorder="1" applyAlignment="1" applyProtection="1">
      <alignment horizontal="right"/>
    </xf>
    <xf numFmtId="182" fontId="145" fillId="0" borderId="42" xfId="294" applyNumberFormat="1" applyFont="1" applyFill="1" applyBorder="1" applyAlignment="1" applyProtection="1">
      <alignment horizontal="right"/>
    </xf>
    <xf numFmtId="181" fontId="145" fillId="0" borderId="45" xfId="294" applyNumberFormat="1" applyFont="1" applyFill="1" applyBorder="1" applyAlignment="1" applyProtection="1">
      <alignment horizontal="right"/>
    </xf>
    <xf numFmtId="181" fontId="145" fillId="0" borderId="46" xfId="294" applyNumberFormat="1" applyFont="1" applyFill="1" applyBorder="1" applyAlignment="1" applyProtection="1">
      <alignment horizontal="right"/>
    </xf>
    <xf numFmtId="181" fontId="145" fillId="0" borderId="47" xfId="294" applyNumberFormat="1" applyFont="1" applyFill="1" applyBorder="1" applyAlignment="1" applyProtection="1">
      <alignment horizontal="right"/>
    </xf>
    <xf numFmtId="181" fontId="145" fillId="0" borderId="0" xfId="294" applyNumberFormat="1" applyFont="1" applyFill="1" applyBorder="1" applyAlignment="1" applyProtection="1">
      <alignment horizontal="right"/>
    </xf>
    <xf numFmtId="181" fontId="145" fillId="0" borderId="48" xfId="294" applyNumberFormat="1" applyFont="1" applyFill="1" applyBorder="1" applyAlignment="1" applyProtection="1">
      <alignment horizontal="right"/>
    </xf>
    <xf numFmtId="181" fontId="145" fillId="0" borderId="42" xfId="294" applyNumberFormat="1" applyFont="1" applyFill="1" applyBorder="1" applyAlignment="1" applyProtection="1">
      <alignment horizontal="right"/>
    </xf>
    <xf numFmtId="181" fontId="145" fillId="0" borderId="35" xfId="292" applyNumberFormat="1" applyFont="1" applyFill="1" applyBorder="1" applyAlignment="1" applyProtection="1">
      <alignment horizontal="right"/>
    </xf>
    <xf numFmtId="181" fontId="145" fillId="0" borderId="36" xfId="292" applyNumberFormat="1" applyFont="1" applyFill="1" applyBorder="1" applyAlignment="1" applyProtection="1">
      <alignment horizontal="right"/>
    </xf>
    <xf numFmtId="181" fontId="145" fillId="0" borderId="45" xfId="294" applyNumberFormat="1" applyFont="1" applyFill="1" applyBorder="1" applyAlignment="1" applyProtection="1"/>
    <xf numFmtId="181" fontId="145" fillId="0" borderId="46" xfId="294" applyNumberFormat="1" applyFont="1" applyFill="1" applyBorder="1" applyAlignment="1" applyProtection="1"/>
    <xf numFmtId="181" fontId="145" fillId="0" borderId="47" xfId="294" applyNumberFormat="1" applyFont="1" applyFill="1" applyBorder="1" applyAlignment="1" applyProtection="1"/>
    <xf numFmtId="181" fontId="145" fillId="0" borderId="0" xfId="294" applyNumberFormat="1" applyFont="1" applyFill="1" applyBorder="1" applyAlignment="1" applyProtection="1"/>
    <xf numFmtId="181" fontId="145" fillId="0" borderId="48" xfId="294" applyNumberFormat="1" applyFont="1" applyFill="1" applyBorder="1" applyAlignment="1" applyProtection="1"/>
    <xf numFmtId="181" fontId="145" fillId="0" borderId="42" xfId="294" applyNumberFormat="1" applyFont="1" applyFill="1" applyBorder="1" applyAlignment="1" applyProtection="1"/>
    <xf numFmtId="0" fontId="145" fillId="0" borderId="39" xfId="294" applyFont="1" applyFill="1" applyBorder="1" applyAlignment="1"/>
    <xf numFmtId="181" fontId="145" fillId="0" borderId="49" xfId="198" applyNumberFormat="1" applyFont="1" applyFill="1" applyBorder="1" applyAlignment="1" applyProtection="1">
      <alignment horizontal="right"/>
    </xf>
    <xf numFmtId="181" fontId="145" fillId="0" borderId="50" xfId="198" applyNumberFormat="1" applyFont="1" applyFill="1" applyBorder="1" applyAlignment="1" applyProtection="1">
      <alignment horizontal="right"/>
    </xf>
    <xf numFmtId="181" fontId="145" fillId="0" borderId="51" xfId="198" applyNumberFormat="1" applyFont="1" applyFill="1" applyBorder="1" applyAlignment="1" applyProtection="1">
      <alignment horizontal="right"/>
    </xf>
    <xf numFmtId="181" fontId="145" fillId="0" borderId="52" xfId="198" applyNumberFormat="1" applyFont="1" applyFill="1" applyBorder="1" applyAlignment="1" applyProtection="1">
      <alignment horizontal="right"/>
    </xf>
    <xf numFmtId="181" fontId="145" fillId="0" borderId="53" xfId="292" applyNumberFormat="1" applyFont="1" applyFill="1" applyBorder="1" applyAlignment="1" applyProtection="1">
      <alignment horizontal="right"/>
    </xf>
    <xf numFmtId="181" fontId="145" fillId="0" borderId="54" xfId="292" applyNumberFormat="1" applyFont="1" applyFill="1" applyBorder="1" applyAlignment="1" applyProtection="1">
      <alignment horizontal="right"/>
    </xf>
    <xf numFmtId="182" fontId="145" fillId="0" borderId="51" xfId="294" applyNumberFormat="1" applyFont="1" applyFill="1" applyBorder="1" applyAlignment="1" applyProtection="1">
      <alignment horizontal="right"/>
    </xf>
    <xf numFmtId="182" fontId="145" fillId="0" borderId="52" xfId="294" applyNumberFormat="1" applyFont="1" applyFill="1" applyBorder="1" applyAlignment="1" applyProtection="1">
      <alignment horizontal="right"/>
    </xf>
    <xf numFmtId="182" fontId="145" fillId="0" borderId="49" xfId="294" applyNumberFormat="1" applyFont="1" applyFill="1" applyBorder="1" applyAlignment="1" applyProtection="1">
      <alignment horizontal="right"/>
    </xf>
    <xf numFmtId="181" fontId="145" fillId="0" borderId="50" xfId="294" applyNumberFormat="1" applyFont="1" applyFill="1" applyBorder="1" applyAlignment="1" applyProtection="1">
      <alignment horizontal="right"/>
    </xf>
    <xf numFmtId="181" fontId="145" fillId="0" borderId="51" xfId="294" applyNumberFormat="1" applyFont="1" applyFill="1" applyBorder="1" applyAlignment="1" applyProtection="1">
      <alignment horizontal="right"/>
    </xf>
    <xf numFmtId="181" fontId="145" fillId="0" borderId="52" xfId="294" applyNumberFormat="1" applyFont="1" applyFill="1" applyBorder="1" applyAlignment="1" applyProtection="1">
      <alignment horizontal="right"/>
    </xf>
    <xf numFmtId="181" fontId="145" fillId="0" borderId="49" xfId="294" applyNumberFormat="1" applyFont="1" applyFill="1" applyBorder="1" applyAlignment="1" applyProtection="1">
      <alignment horizontal="right"/>
    </xf>
    <xf numFmtId="0" fontId="145" fillId="0" borderId="0" xfId="294" applyFont="1" applyBorder="1" applyAlignment="1" applyProtection="1">
      <alignment horizontal="left" vertical="center"/>
    </xf>
    <xf numFmtId="0" fontId="0" fillId="57" borderId="0" xfId="0" applyFont="1" applyFill="1" applyAlignment="1">
      <alignment wrapText="1"/>
    </xf>
    <xf numFmtId="0" fontId="0" fillId="57" borderId="0" xfId="0" applyFont="1" applyFill="1" applyAlignment="1"/>
    <xf numFmtId="0" fontId="123" fillId="57" borderId="55" xfId="0" applyFont="1" applyFill="1" applyBorder="1" applyAlignment="1">
      <alignment horizontal="center" vertical="center" wrapText="1"/>
    </xf>
    <xf numFmtId="0" fontId="123" fillId="57" borderId="55" xfId="0" applyFont="1" applyFill="1" applyBorder="1" applyAlignment="1">
      <alignment vertical="center"/>
    </xf>
    <xf numFmtId="0" fontId="123" fillId="57" borderId="55" xfId="0" applyFont="1" applyFill="1" applyBorder="1" applyAlignment="1">
      <alignment horizontal="center" vertical="center"/>
    </xf>
    <xf numFmtId="0" fontId="56" fillId="0" borderId="0" xfId="197" applyFont="1" applyBorder="1" applyAlignment="1">
      <alignment horizontal="center" vertical="top"/>
    </xf>
    <xf numFmtId="0" fontId="112" fillId="0" borderId="22" xfId="0" applyFont="1" applyFill="1" applyBorder="1" applyAlignment="1">
      <alignment horizontal="left" vertical="top" wrapText="1"/>
    </xf>
    <xf numFmtId="0" fontId="69" fillId="0" borderId="0" xfId="0" applyFont="1" applyFill="1" applyBorder="1" applyAlignment="1">
      <alignment horizontal="left" vertical="top" wrapText="1"/>
    </xf>
    <xf numFmtId="0" fontId="112" fillId="0" borderId="0" xfId="0" applyFont="1" applyFill="1" applyBorder="1" applyAlignment="1">
      <alignment horizontal="left" vertical="top" wrapText="1"/>
    </xf>
    <xf numFmtId="0" fontId="0" fillId="0" borderId="22" xfId="0" applyFill="1" applyBorder="1" applyAlignment="1">
      <alignment horizontal="left" vertical="top" wrapText="1"/>
    </xf>
    <xf numFmtId="0" fontId="93" fillId="62" borderId="0" xfId="0" applyFont="1" applyFill="1" applyAlignment="1">
      <alignment horizontal="center"/>
    </xf>
    <xf numFmtId="0" fontId="93" fillId="56" borderId="0" xfId="0" applyFont="1" applyFill="1" applyAlignment="1">
      <alignment horizontal="center"/>
    </xf>
    <xf numFmtId="0" fontId="93" fillId="61" borderId="0" xfId="0" applyFont="1" applyFill="1" applyAlignment="1">
      <alignment horizontal="center"/>
    </xf>
    <xf numFmtId="169" fontId="8" fillId="0" borderId="0" xfId="282" applyNumberFormat="1"/>
  </cellXfs>
  <cellStyles count="571">
    <cellStyle name="20% - Accent1 2" xfId="1" xr:uid="{00000000-0005-0000-0000-000000000000}"/>
    <cellStyle name="20% - Accent1 3" xfId="2" xr:uid="{00000000-0005-0000-0000-000001000000}"/>
    <cellStyle name="20% - Accent1 4" xfId="3" xr:uid="{00000000-0005-0000-0000-000002000000}"/>
    <cellStyle name="20% - Accent1 5" xfId="4" xr:uid="{00000000-0005-0000-0000-000003000000}"/>
    <cellStyle name="20% - Accent2 2" xfId="5" xr:uid="{00000000-0005-0000-0000-000004000000}"/>
    <cellStyle name="20% - Accent2 3" xfId="6" xr:uid="{00000000-0005-0000-0000-000005000000}"/>
    <cellStyle name="20% - Accent2 4" xfId="7" xr:uid="{00000000-0005-0000-0000-000006000000}"/>
    <cellStyle name="20% - Accent2 5" xfId="8" xr:uid="{00000000-0005-0000-0000-000007000000}"/>
    <cellStyle name="20% - Accent3 2" xfId="9" xr:uid="{00000000-0005-0000-0000-000008000000}"/>
    <cellStyle name="20% - Accent3 3" xfId="10" xr:uid="{00000000-0005-0000-0000-000009000000}"/>
    <cellStyle name="20% - Accent3 4" xfId="11" xr:uid="{00000000-0005-0000-0000-00000A000000}"/>
    <cellStyle name="20% - Accent3 5" xfId="12" xr:uid="{00000000-0005-0000-0000-00000B000000}"/>
    <cellStyle name="20% - Accent4 2" xfId="13" xr:uid="{00000000-0005-0000-0000-00000C000000}"/>
    <cellStyle name="20% - Accent4 3" xfId="14" xr:uid="{00000000-0005-0000-0000-00000D000000}"/>
    <cellStyle name="20% - Accent4 4" xfId="15" xr:uid="{00000000-0005-0000-0000-00000E000000}"/>
    <cellStyle name="20% - Accent4 5" xfId="16" xr:uid="{00000000-0005-0000-0000-00000F000000}"/>
    <cellStyle name="20% - Accent5 2" xfId="17" xr:uid="{00000000-0005-0000-0000-000010000000}"/>
    <cellStyle name="20% - Accent5 3" xfId="18" xr:uid="{00000000-0005-0000-0000-000011000000}"/>
    <cellStyle name="20% - Accent5 4" xfId="19" xr:uid="{00000000-0005-0000-0000-000012000000}"/>
    <cellStyle name="20% - Accent5 5" xfId="20" xr:uid="{00000000-0005-0000-0000-000013000000}"/>
    <cellStyle name="20% - Accent6 2" xfId="21" xr:uid="{00000000-0005-0000-0000-000014000000}"/>
    <cellStyle name="20% - Accent6 3" xfId="22" xr:uid="{00000000-0005-0000-0000-000015000000}"/>
    <cellStyle name="20% - Accent6 4" xfId="23" xr:uid="{00000000-0005-0000-0000-000016000000}"/>
    <cellStyle name="20% - Accent6 5" xfId="24" xr:uid="{00000000-0005-0000-0000-000017000000}"/>
    <cellStyle name="40% - Accent1 2" xfId="25" xr:uid="{00000000-0005-0000-0000-000018000000}"/>
    <cellStyle name="40% - Accent1 3" xfId="26" xr:uid="{00000000-0005-0000-0000-000019000000}"/>
    <cellStyle name="40% - Accent1 4" xfId="27" xr:uid="{00000000-0005-0000-0000-00001A000000}"/>
    <cellStyle name="40% - Accent1 5" xfId="28" xr:uid="{00000000-0005-0000-0000-00001B000000}"/>
    <cellStyle name="40% - Accent2 2" xfId="29" xr:uid="{00000000-0005-0000-0000-00001C000000}"/>
    <cellStyle name="40% - Accent2 3" xfId="30" xr:uid="{00000000-0005-0000-0000-00001D000000}"/>
    <cellStyle name="40% - Accent2 4" xfId="31" xr:uid="{00000000-0005-0000-0000-00001E000000}"/>
    <cellStyle name="40% - Accent2 5" xfId="32" xr:uid="{00000000-0005-0000-0000-00001F000000}"/>
    <cellStyle name="40% - Accent3 2" xfId="33" xr:uid="{00000000-0005-0000-0000-000020000000}"/>
    <cellStyle name="40% - Accent3 3" xfId="34" xr:uid="{00000000-0005-0000-0000-000021000000}"/>
    <cellStyle name="40% - Accent3 4" xfId="35" xr:uid="{00000000-0005-0000-0000-000022000000}"/>
    <cellStyle name="40% - Accent3 5" xfId="36" xr:uid="{00000000-0005-0000-0000-000023000000}"/>
    <cellStyle name="40% - Accent4 2" xfId="37" xr:uid="{00000000-0005-0000-0000-000024000000}"/>
    <cellStyle name="40% - Accent4 3" xfId="38" xr:uid="{00000000-0005-0000-0000-000025000000}"/>
    <cellStyle name="40% - Accent4 4" xfId="39" xr:uid="{00000000-0005-0000-0000-000026000000}"/>
    <cellStyle name="40% - Accent4 5" xfId="40" xr:uid="{00000000-0005-0000-0000-000027000000}"/>
    <cellStyle name="40% - Accent5 2" xfId="41" xr:uid="{00000000-0005-0000-0000-000028000000}"/>
    <cellStyle name="40% - Accent5 3" xfId="42" xr:uid="{00000000-0005-0000-0000-000029000000}"/>
    <cellStyle name="40% - Accent5 4" xfId="43" xr:uid="{00000000-0005-0000-0000-00002A000000}"/>
    <cellStyle name="40% - Accent5 5" xfId="44" xr:uid="{00000000-0005-0000-0000-00002B000000}"/>
    <cellStyle name="40% - Accent6 2" xfId="45" xr:uid="{00000000-0005-0000-0000-00002C000000}"/>
    <cellStyle name="40% - Accent6 3" xfId="46" xr:uid="{00000000-0005-0000-0000-00002D000000}"/>
    <cellStyle name="40% - Accent6 4" xfId="47" xr:uid="{00000000-0005-0000-0000-00002E000000}"/>
    <cellStyle name="40% - Accent6 5" xfId="48" xr:uid="{00000000-0005-0000-0000-00002F000000}"/>
    <cellStyle name="60% - Accent1 2" xfId="49" xr:uid="{00000000-0005-0000-0000-000030000000}"/>
    <cellStyle name="60% - Accent1 3" xfId="50" xr:uid="{00000000-0005-0000-0000-000031000000}"/>
    <cellStyle name="60% - Accent1 4" xfId="51" xr:uid="{00000000-0005-0000-0000-000032000000}"/>
    <cellStyle name="60% - Accent1 5" xfId="52" xr:uid="{00000000-0005-0000-0000-000033000000}"/>
    <cellStyle name="60% - Accent2 2" xfId="53" xr:uid="{00000000-0005-0000-0000-000034000000}"/>
    <cellStyle name="60% - Accent2 3" xfId="54" xr:uid="{00000000-0005-0000-0000-000035000000}"/>
    <cellStyle name="60% - Accent2 4" xfId="55" xr:uid="{00000000-0005-0000-0000-000036000000}"/>
    <cellStyle name="60% - Accent2 5" xfId="56" xr:uid="{00000000-0005-0000-0000-000037000000}"/>
    <cellStyle name="60% - Accent3 2" xfId="57" xr:uid="{00000000-0005-0000-0000-000038000000}"/>
    <cellStyle name="60% - Accent3 3" xfId="58" xr:uid="{00000000-0005-0000-0000-000039000000}"/>
    <cellStyle name="60% - Accent3 4" xfId="59" xr:uid="{00000000-0005-0000-0000-00003A000000}"/>
    <cellStyle name="60% - Accent3 5" xfId="60" xr:uid="{00000000-0005-0000-0000-00003B000000}"/>
    <cellStyle name="60% - Accent4 2" xfId="61" xr:uid="{00000000-0005-0000-0000-00003C000000}"/>
    <cellStyle name="60% - Accent4 3" xfId="62" xr:uid="{00000000-0005-0000-0000-00003D000000}"/>
    <cellStyle name="60% - Accent4 4" xfId="63" xr:uid="{00000000-0005-0000-0000-00003E000000}"/>
    <cellStyle name="60% - Accent4 5" xfId="64" xr:uid="{00000000-0005-0000-0000-00003F000000}"/>
    <cellStyle name="60% - Accent5 2" xfId="65" xr:uid="{00000000-0005-0000-0000-000040000000}"/>
    <cellStyle name="60% - Accent5 3" xfId="66" xr:uid="{00000000-0005-0000-0000-000041000000}"/>
    <cellStyle name="60% - Accent5 4" xfId="67" xr:uid="{00000000-0005-0000-0000-000042000000}"/>
    <cellStyle name="60% - Accent5 5" xfId="68" xr:uid="{00000000-0005-0000-0000-000043000000}"/>
    <cellStyle name="60% - Accent6 2" xfId="69" xr:uid="{00000000-0005-0000-0000-000044000000}"/>
    <cellStyle name="60% - Accent6 3" xfId="70" xr:uid="{00000000-0005-0000-0000-000045000000}"/>
    <cellStyle name="60% - Accent6 4" xfId="71" xr:uid="{00000000-0005-0000-0000-000046000000}"/>
    <cellStyle name="60% - Accent6 5" xfId="72" xr:uid="{00000000-0005-0000-0000-000047000000}"/>
    <cellStyle name="Accent1 2" xfId="73" xr:uid="{00000000-0005-0000-0000-000048000000}"/>
    <cellStyle name="Accent1 3" xfId="74" xr:uid="{00000000-0005-0000-0000-000049000000}"/>
    <cellStyle name="Accent1 4" xfId="75" xr:uid="{00000000-0005-0000-0000-00004A000000}"/>
    <cellStyle name="Accent1 5" xfId="76" xr:uid="{00000000-0005-0000-0000-00004B000000}"/>
    <cellStyle name="Accent2 2" xfId="77" xr:uid="{00000000-0005-0000-0000-00004C000000}"/>
    <cellStyle name="Accent2 3" xfId="78" xr:uid="{00000000-0005-0000-0000-00004D000000}"/>
    <cellStyle name="Accent2 4" xfId="79" xr:uid="{00000000-0005-0000-0000-00004E000000}"/>
    <cellStyle name="Accent2 5" xfId="80" xr:uid="{00000000-0005-0000-0000-00004F000000}"/>
    <cellStyle name="Accent3 2" xfId="81" xr:uid="{00000000-0005-0000-0000-000050000000}"/>
    <cellStyle name="Accent3 3" xfId="82" xr:uid="{00000000-0005-0000-0000-000051000000}"/>
    <cellStyle name="Accent3 4" xfId="83" xr:uid="{00000000-0005-0000-0000-000052000000}"/>
    <cellStyle name="Accent3 5" xfId="84" xr:uid="{00000000-0005-0000-0000-000053000000}"/>
    <cellStyle name="Accent4 2" xfId="85" xr:uid="{00000000-0005-0000-0000-000054000000}"/>
    <cellStyle name="Accent4 3" xfId="86" xr:uid="{00000000-0005-0000-0000-000055000000}"/>
    <cellStyle name="Accent4 4" xfId="87" xr:uid="{00000000-0005-0000-0000-000056000000}"/>
    <cellStyle name="Accent4 5" xfId="88" xr:uid="{00000000-0005-0000-0000-000057000000}"/>
    <cellStyle name="Accent5 2" xfId="89" xr:uid="{00000000-0005-0000-0000-000058000000}"/>
    <cellStyle name="Accent5 3" xfId="90" xr:uid="{00000000-0005-0000-0000-000059000000}"/>
    <cellStyle name="Accent5 4" xfId="91" xr:uid="{00000000-0005-0000-0000-00005A000000}"/>
    <cellStyle name="Accent5 5" xfId="92" xr:uid="{00000000-0005-0000-0000-00005B000000}"/>
    <cellStyle name="Accent6 2" xfId="93" xr:uid="{00000000-0005-0000-0000-00005C000000}"/>
    <cellStyle name="Accent6 3" xfId="94" xr:uid="{00000000-0005-0000-0000-00005D000000}"/>
    <cellStyle name="Accent6 4" xfId="95" xr:uid="{00000000-0005-0000-0000-00005E000000}"/>
    <cellStyle name="Accent6 5" xfId="96" xr:uid="{00000000-0005-0000-0000-00005F000000}"/>
    <cellStyle name="Bad 2" xfId="97" xr:uid="{00000000-0005-0000-0000-000060000000}"/>
    <cellStyle name="Bad 3" xfId="98" xr:uid="{00000000-0005-0000-0000-000061000000}"/>
    <cellStyle name="Bad 4" xfId="99" xr:uid="{00000000-0005-0000-0000-000062000000}"/>
    <cellStyle name="Bad 5" xfId="100" xr:uid="{00000000-0005-0000-0000-000063000000}"/>
    <cellStyle name="Calculation 2" xfId="101" xr:uid="{00000000-0005-0000-0000-000064000000}"/>
    <cellStyle name="Calculation 3" xfId="102" xr:uid="{00000000-0005-0000-0000-000065000000}"/>
    <cellStyle name="Calculation 4" xfId="103" xr:uid="{00000000-0005-0000-0000-000066000000}"/>
    <cellStyle name="Calculation 5" xfId="104" xr:uid="{00000000-0005-0000-0000-000067000000}"/>
    <cellStyle name="Check Cell 2" xfId="105" xr:uid="{00000000-0005-0000-0000-000068000000}"/>
    <cellStyle name="Check Cell 3" xfId="106" xr:uid="{00000000-0005-0000-0000-000069000000}"/>
    <cellStyle name="Check Cell 4" xfId="107" xr:uid="{00000000-0005-0000-0000-00006A000000}"/>
    <cellStyle name="Check Cell 5" xfId="108" xr:uid="{00000000-0005-0000-0000-00006B000000}"/>
    <cellStyle name="Comma" xfId="242" builtinId="3"/>
    <cellStyle name="Comma 10" xfId="550" xr:uid="{00000000-0005-0000-0000-00006D000000}"/>
    <cellStyle name="Comma 2" xfId="109" xr:uid="{00000000-0005-0000-0000-00006E000000}"/>
    <cellStyle name="Comma 2 2" xfId="110" xr:uid="{00000000-0005-0000-0000-00006F000000}"/>
    <cellStyle name="Comma 2 3" xfId="111" xr:uid="{00000000-0005-0000-0000-000070000000}"/>
    <cellStyle name="Comma 2 4" xfId="273" xr:uid="{00000000-0005-0000-0000-000071000000}"/>
    <cellStyle name="Comma 2 5" xfId="274" xr:uid="{00000000-0005-0000-0000-000072000000}"/>
    <cellStyle name="Comma 2 6" xfId="275" xr:uid="{00000000-0005-0000-0000-000073000000}"/>
    <cellStyle name="Comma 3" xfId="112" xr:uid="{00000000-0005-0000-0000-000074000000}"/>
    <cellStyle name="Comma 3 2" xfId="113" xr:uid="{00000000-0005-0000-0000-000075000000}"/>
    <cellStyle name="Comma 4" xfId="114" xr:uid="{00000000-0005-0000-0000-000076000000}"/>
    <cellStyle name="Comma 5" xfId="115" xr:uid="{00000000-0005-0000-0000-000077000000}"/>
    <cellStyle name="Comma 6" xfId="116" xr:uid="{00000000-0005-0000-0000-000078000000}"/>
    <cellStyle name="Comma 7" xfId="117" xr:uid="{00000000-0005-0000-0000-000079000000}"/>
    <cellStyle name="Comma 8" xfId="517" xr:uid="{00000000-0005-0000-0000-00007A000000}"/>
    <cellStyle name="Comma 9" xfId="276" xr:uid="{00000000-0005-0000-0000-00007B000000}"/>
    <cellStyle name="Comma0" xfId="118" xr:uid="{00000000-0005-0000-0000-00007C000000}"/>
    <cellStyle name="Comma0 2" xfId="119" xr:uid="{00000000-0005-0000-0000-00007D000000}"/>
    <cellStyle name="Comma1" xfId="120" xr:uid="{00000000-0005-0000-0000-00007E000000}"/>
    <cellStyle name="Comma1 2" xfId="121" xr:uid="{00000000-0005-0000-0000-00007F000000}"/>
    <cellStyle name="Currency 2" xfId="277" xr:uid="{00000000-0005-0000-0000-000080000000}"/>
    <cellStyle name="Currency 3" xfId="278" xr:uid="{00000000-0005-0000-0000-000081000000}"/>
    <cellStyle name="Currency0" xfId="122" xr:uid="{00000000-0005-0000-0000-000082000000}"/>
    <cellStyle name="Currency0 2" xfId="123" xr:uid="{00000000-0005-0000-0000-000083000000}"/>
    <cellStyle name="Date" xfId="124" xr:uid="{00000000-0005-0000-0000-000084000000}"/>
    <cellStyle name="Date 2" xfId="125" xr:uid="{00000000-0005-0000-0000-000085000000}"/>
    <cellStyle name="Euro" xfId="126" xr:uid="{00000000-0005-0000-0000-000086000000}"/>
    <cellStyle name="Explanatory Text 2" xfId="127" xr:uid="{00000000-0005-0000-0000-000087000000}"/>
    <cellStyle name="Explanatory Text 3" xfId="128" xr:uid="{00000000-0005-0000-0000-000088000000}"/>
    <cellStyle name="Explanatory Text 4" xfId="129" xr:uid="{00000000-0005-0000-0000-000089000000}"/>
    <cellStyle name="Explanatory Text 5" xfId="130" xr:uid="{00000000-0005-0000-0000-00008A000000}"/>
    <cellStyle name="Fixed" xfId="131" xr:uid="{00000000-0005-0000-0000-00008B000000}"/>
    <cellStyle name="Fixed 2" xfId="132" xr:uid="{00000000-0005-0000-0000-00008C000000}"/>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Good 2" xfId="133" xr:uid="{00000000-0005-0000-0000-0000C1000000}"/>
    <cellStyle name="Good 3" xfId="134" xr:uid="{00000000-0005-0000-0000-0000C2000000}"/>
    <cellStyle name="Good 4" xfId="135" xr:uid="{00000000-0005-0000-0000-0000C3000000}"/>
    <cellStyle name="Good 5" xfId="136" xr:uid="{00000000-0005-0000-0000-0000C4000000}"/>
    <cellStyle name="Heading 1 2" xfId="137" xr:uid="{00000000-0005-0000-0000-0000C5000000}"/>
    <cellStyle name="Heading 1 3" xfId="138" xr:uid="{00000000-0005-0000-0000-0000C6000000}"/>
    <cellStyle name="Heading 1 4" xfId="139" xr:uid="{00000000-0005-0000-0000-0000C7000000}"/>
    <cellStyle name="Heading 1 5" xfId="140" xr:uid="{00000000-0005-0000-0000-0000C8000000}"/>
    <cellStyle name="Heading 2 2" xfId="141" xr:uid="{00000000-0005-0000-0000-0000C9000000}"/>
    <cellStyle name="Heading 2 3" xfId="142" xr:uid="{00000000-0005-0000-0000-0000CA000000}"/>
    <cellStyle name="Heading 2 4" xfId="143" xr:uid="{00000000-0005-0000-0000-0000CB000000}"/>
    <cellStyle name="Heading 2 5" xfId="144" xr:uid="{00000000-0005-0000-0000-0000CC000000}"/>
    <cellStyle name="Heading 3 2" xfId="145" xr:uid="{00000000-0005-0000-0000-0000CD000000}"/>
    <cellStyle name="Heading 3 3" xfId="146" xr:uid="{00000000-0005-0000-0000-0000CE000000}"/>
    <cellStyle name="Heading 3 4" xfId="147" xr:uid="{00000000-0005-0000-0000-0000CF000000}"/>
    <cellStyle name="Heading 3 5" xfId="148" xr:uid="{00000000-0005-0000-0000-0000D0000000}"/>
    <cellStyle name="Heading 4 2" xfId="149" xr:uid="{00000000-0005-0000-0000-0000D1000000}"/>
    <cellStyle name="Heading 4 3" xfId="150" xr:uid="{00000000-0005-0000-0000-0000D2000000}"/>
    <cellStyle name="Heading 4 4" xfId="151" xr:uid="{00000000-0005-0000-0000-0000D3000000}"/>
    <cellStyle name="Heading 4 5" xfId="152" xr:uid="{00000000-0005-0000-0000-0000D4000000}"/>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2" xfId="153" xr:uid="{00000000-0005-0000-0000-000009010000}"/>
    <cellStyle name="Hyperlink 3" xfId="279" xr:uid="{00000000-0005-0000-0000-00000A010000}"/>
    <cellStyle name="Hyperlink 4" xfId="280" xr:uid="{00000000-0005-0000-0000-00000B010000}"/>
    <cellStyle name="Hyperlink 5" xfId="281" xr:uid="{00000000-0005-0000-0000-00000C010000}"/>
    <cellStyle name="Input 2" xfId="154" xr:uid="{00000000-0005-0000-0000-00000D010000}"/>
    <cellStyle name="Input 3" xfId="155" xr:uid="{00000000-0005-0000-0000-00000E010000}"/>
    <cellStyle name="Input 4" xfId="156" xr:uid="{00000000-0005-0000-0000-00000F010000}"/>
    <cellStyle name="Input 5" xfId="157" xr:uid="{00000000-0005-0000-0000-000010010000}"/>
    <cellStyle name="Linked Cell 2" xfId="158" xr:uid="{00000000-0005-0000-0000-000011010000}"/>
    <cellStyle name="Linked Cell 3" xfId="159" xr:uid="{00000000-0005-0000-0000-000012010000}"/>
    <cellStyle name="Linked Cell 4" xfId="160" xr:uid="{00000000-0005-0000-0000-000013010000}"/>
    <cellStyle name="Linked Cell 5" xfId="161" xr:uid="{00000000-0005-0000-0000-000014010000}"/>
    <cellStyle name="Neutral 2" xfId="162" xr:uid="{00000000-0005-0000-0000-000015010000}"/>
    <cellStyle name="Neutral 3" xfId="163" xr:uid="{00000000-0005-0000-0000-000016010000}"/>
    <cellStyle name="Neutral 4" xfId="164" xr:uid="{00000000-0005-0000-0000-000017010000}"/>
    <cellStyle name="Neutral 5" xfId="165" xr:uid="{00000000-0005-0000-0000-000018010000}"/>
    <cellStyle name="Normal" xfId="0" builtinId="0"/>
    <cellStyle name="Normal 10" xfId="166" xr:uid="{00000000-0005-0000-0000-00001A010000}"/>
    <cellStyle name="Normal 11" xfId="167" xr:uid="{00000000-0005-0000-0000-00001B010000}"/>
    <cellStyle name="Normal 11 2" xfId="282" xr:uid="{00000000-0005-0000-0000-00001C010000}"/>
    <cellStyle name="Normal 11 3" xfId="283" xr:uid="{00000000-0005-0000-0000-00001D010000}"/>
    <cellStyle name="Normal 11 4" xfId="284" xr:uid="{00000000-0005-0000-0000-00001E010000}"/>
    <cellStyle name="Normal 12" xfId="168" xr:uid="{00000000-0005-0000-0000-00001F010000}"/>
    <cellStyle name="Normal 12 2" xfId="285" xr:uid="{00000000-0005-0000-0000-000020010000}"/>
    <cellStyle name="Normal 12 3" xfId="286" xr:uid="{00000000-0005-0000-0000-000021010000}"/>
    <cellStyle name="Normal 12 4" xfId="287" xr:uid="{00000000-0005-0000-0000-000022010000}"/>
    <cellStyle name="Normal 13" xfId="169" xr:uid="{00000000-0005-0000-0000-000023010000}"/>
    <cellStyle name="Normal 13 2" xfId="288" xr:uid="{00000000-0005-0000-0000-000024010000}"/>
    <cellStyle name="Normal 13 3" xfId="289" xr:uid="{00000000-0005-0000-0000-000025010000}"/>
    <cellStyle name="Normal 13 4" xfId="290" xr:uid="{00000000-0005-0000-0000-000026010000}"/>
    <cellStyle name="Normal 14" xfId="170" xr:uid="{00000000-0005-0000-0000-000027010000}"/>
    <cellStyle name="Normal 14 2" xfId="291" xr:uid="{00000000-0005-0000-0000-000028010000}"/>
    <cellStyle name="Normal 15" xfId="171" xr:uid="{00000000-0005-0000-0000-000029010000}"/>
    <cellStyle name="Normal 16" xfId="172" xr:uid="{00000000-0005-0000-0000-00002A010000}"/>
    <cellStyle name="Normal 17" xfId="173" xr:uid="{00000000-0005-0000-0000-00002B010000}"/>
    <cellStyle name="Normal 18" xfId="174" xr:uid="{00000000-0005-0000-0000-00002C010000}"/>
    <cellStyle name="Normal 19" xfId="175" xr:uid="{00000000-0005-0000-0000-00002D010000}"/>
    <cellStyle name="Normal 2" xfId="176" xr:uid="{00000000-0005-0000-0000-00002E010000}"/>
    <cellStyle name="Normal 2 10" xfId="292" xr:uid="{00000000-0005-0000-0000-00002F010000}"/>
    <cellStyle name="Normal 2 11" xfId="293" xr:uid="{00000000-0005-0000-0000-000030010000}"/>
    <cellStyle name="Normal 2 12" xfId="294" xr:uid="{00000000-0005-0000-0000-000031010000}"/>
    <cellStyle name="Normal 2 13" xfId="295" xr:uid="{00000000-0005-0000-0000-000032010000}"/>
    <cellStyle name="Normal 2 14" xfId="296" xr:uid="{00000000-0005-0000-0000-000033010000}"/>
    <cellStyle name="Normal 2 15" xfId="297" xr:uid="{00000000-0005-0000-0000-000034010000}"/>
    <cellStyle name="Normal 2 16" xfId="298" xr:uid="{00000000-0005-0000-0000-000035010000}"/>
    <cellStyle name="Normal 2 17" xfId="299" xr:uid="{00000000-0005-0000-0000-000036010000}"/>
    <cellStyle name="Normal 2 18" xfId="300" xr:uid="{00000000-0005-0000-0000-000037010000}"/>
    <cellStyle name="Normal 2 19" xfId="301" xr:uid="{00000000-0005-0000-0000-000038010000}"/>
    <cellStyle name="Normal 2 2" xfId="177" xr:uid="{00000000-0005-0000-0000-000039010000}"/>
    <cellStyle name="Normal 2 2 2" xfId="178" xr:uid="{00000000-0005-0000-0000-00003A010000}"/>
    <cellStyle name="Normal 2 2 2 2" xfId="302" xr:uid="{00000000-0005-0000-0000-00003B010000}"/>
    <cellStyle name="Normal 2 2 2 3" xfId="303" xr:uid="{00000000-0005-0000-0000-00003C010000}"/>
    <cellStyle name="Normal 2 2 3" xfId="179" xr:uid="{00000000-0005-0000-0000-00003D010000}"/>
    <cellStyle name="Normal 2 2 3 2" xfId="304" xr:uid="{00000000-0005-0000-0000-00003E010000}"/>
    <cellStyle name="Normal 2 2 4" xfId="180" xr:uid="{00000000-0005-0000-0000-00003F010000}"/>
    <cellStyle name="Normal 2 2 4 2" xfId="305" xr:uid="{00000000-0005-0000-0000-000040010000}"/>
    <cellStyle name="Normal 2 2 5" xfId="181" xr:uid="{00000000-0005-0000-0000-000041010000}"/>
    <cellStyle name="Normal 2 2 5 2" xfId="306" xr:uid="{00000000-0005-0000-0000-000042010000}"/>
    <cellStyle name="Normal 2 2 6" xfId="182" xr:uid="{00000000-0005-0000-0000-000043010000}"/>
    <cellStyle name="Normal 2 2 7" xfId="307" xr:uid="{00000000-0005-0000-0000-000044010000}"/>
    <cellStyle name="Normal 2 2 8" xfId="308" xr:uid="{00000000-0005-0000-0000-000045010000}"/>
    <cellStyle name="Normal 2 2_SIDR" xfId="183" xr:uid="{00000000-0005-0000-0000-000046010000}"/>
    <cellStyle name="Normal 2 20" xfId="309" xr:uid="{00000000-0005-0000-0000-000047010000}"/>
    <cellStyle name="Normal 2 21" xfId="310" xr:uid="{00000000-0005-0000-0000-000048010000}"/>
    <cellStyle name="Normal 2 22" xfId="311" xr:uid="{00000000-0005-0000-0000-000049010000}"/>
    <cellStyle name="Normal 2 23" xfId="312" xr:uid="{00000000-0005-0000-0000-00004A010000}"/>
    <cellStyle name="Normal 2 3" xfId="184" xr:uid="{00000000-0005-0000-0000-00004B010000}"/>
    <cellStyle name="Normal 2 3 2" xfId="313" xr:uid="{00000000-0005-0000-0000-00004C010000}"/>
    <cellStyle name="Normal 2 3 2 2" xfId="314" xr:uid="{00000000-0005-0000-0000-00004D010000}"/>
    <cellStyle name="Normal 2 3 2 3" xfId="315" xr:uid="{00000000-0005-0000-0000-00004E010000}"/>
    <cellStyle name="Normal 2 3 3" xfId="316" xr:uid="{00000000-0005-0000-0000-00004F010000}"/>
    <cellStyle name="Normal 2 3 4" xfId="317" xr:uid="{00000000-0005-0000-0000-000050010000}"/>
    <cellStyle name="Normal 2 3 5" xfId="318" xr:uid="{00000000-0005-0000-0000-000051010000}"/>
    <cellStyle name="Normal 2 4" xfId="185" xr:uid="{00000000-0005-0000-0000-000052010000}"/>
    <cellStyle name="Normal 2 4 2" xfId="319" xr:uid="{00000000-0005-0000-0000-000053010000}"/>
    <cellStyle name="Normal 2 5" xfId="186" xr:uid="{00000000-0005-0000-0000-000054010000}"/>
    <cellStyle name="Normal 2 5 2" xfId="320" xr:uid="{00000000-0005-0000-0000-000055010000}"/>
    <cellStyle name="Normal 2 6" xfId="187" xr:uid="{00000000-0005-0000-0000-000056010000}"/>
    <cellStyle name="Normal 2 6 2" xfId="321" xr:uid="{00000000-0005-0000-0000-000057010000}"/>
    <cellStyle name="Normal 2 7" xfId="188" xr:uid="{00000000-0005-0000-0000-000058010000}"/>
    <cellStyle name="Normal 2 7 2" xfId="322" xr:uid="{00000000-0005-0000-0000-000059010000}"/>
    <cellStyle name="Normal 2 8" xfId="189" xr:uid="{00000000-0005-0000-0000-00005A010000}"/>
    <cellStyle name="Normal 2 8 2" xfId="323" xr:uid="{00000000-0005-0000-0000-00005B010000}"/>
    <cellStyle name="Normal 2 9" xfId="324" xr:uid="{00000000-0005-0000-0000-00005C010000}"/>
    <cellStyle name="Normal 2_Copy of M2 Data Dictionary(MAR 2009)" xfId="190" xr:uid="{00000000-0005-0000-0000-00005D010000}"/>
    <cellStyle name="Normal 20" xfId="191" xr:uid="{00000000-0005-0000-0000-00005E010000}"/>
    <cellStyle name="Normal 21" xfId="192" xr:uid="{00000000-0005-0000-0000-00005F010000}"/>
    <cellStyle name="Normal 22" xfId="193" xr:uid="{00000000-0005-0000-0000-000060010000}"/>
    <cellStyle name="Normal 23" xfId="194" xr:uid="{00000000-0005-0000-0000-000061010000}"/>
    <cellStyle name="Normal 24" xfId="195" xr:uid="{00000000-0005-0000-0000-000062010000}"/>
    <cellStyle name="Normal 24 2" xfId="196" xr:uid="{00000000-0005-0000-0000-000063010000}"/>
    <cellStyle name="Normal 3" xfId="197" xr:uid="{00000000-0005-0000-0000-000064010000}"/>
    <cellStyle name="Normal 3 10" xfId="325" xr:uid="{00000000-0005-0000-0000-000065010000}"/>
    <cellStyle name="Normal 3 11" xfId="326" xr:uid="{00000000-0005-0000-0000-000066010000}"/>
    <cellStyle name="Normal 3 12" xfId="327" xr:uid="{00000000-0005-0000-0000-000067010000}"/>
    <cellStyle name="Normal 3 13" xfId="328" xr:uid="{00000000-0005-0000-0000-000068010000}"/>
    <cellStyle name="Normal 3 2" xfId="198" xr:uid="{00000000-0005-0000-0000-000069010000}"/>
    <cellStyle name="Normal 3 2 2" xfId="329" xr:uid="{00000000-0005-0000-0000-00006A010000}"/>
    <cellStyle name="Normal 3 2 2 2" xfId="330" xr:uid="{00000000-0005-0000-0000-00006B010000}"/>
    <cellStyle name="Normal 3 2 3" xfId="331" xr:uid="{00000000-0005-0000-0000-00006C010000}"/>
    <cellStyle name="Normal 3 2 4" xfId="332" xr:uid="{00000000-0005-0000-0000-00006D010000}"/>
    <cellStyle name="Normal 3 3" xfId="199" xr:uid="{00000000-0005-0000-0000-00006E010000}"/>
    <cellStyle name="Normal 3 3 2" xfId="333" xr:uid="{00000000-0005-0000-0000-00006F010000}"/>
    <cellStyle name="Normal 3 3 3" xfId="334" xr:uid="{00000000-0005-0000-0000-000070010000}"/>
    <cellStyle name="Normal 3 4" xfId="200" xr:uid="{00000000-0005-0000-0000-000071010000}"/>
    <cellStyle name="Normal 3 4 2" xfId="335" xr:uid="{00000000-0005-0000-0000-000072010000}"/>
    <cellStyle name="Normal 3 5" xfId="336" xr:uid="{00000000-0005-0000-0000-000073010000}"/>
    <cellStyle name="Normal 3 5 2" xfId="337" xr:uid="{00000000-0005-0000-0000-000074010000}"/>
    <cellStyle name="Normal 3 6" xfId="338" xr:uid="{00000000-0005-0000-0000-000075010000}"/>
    <cellStyle name="Normal 3 6 2" xfId="339" xr:uid="{00000000-0005-0000-0000-000076010000}"/>
    <cellStyle name="Normal 3 7" xfId="340" xr:uid="{00000000-0005-0000-0000-000077010000}"/>
    <cellStyle name="Normal 3 8" xfId="341" xr:uid="{00000000-0005-0000-0000-000078010000}"/>
    <cellStyle name="Normal 3 9" xfId="342" xr:uid="{00000000-0005-0000-0000-000079010000}"/>
    <cellStyle name="Normal 4" xfId="201" xr:uid="{00000000-0005-0000-0000-00007A010000}"/>
    <cellStyle name="Normal 4 10" xfId="343" xr:uid="{00000000-0005-0000-0000-00007B010000}"/>
    <cellStyle name="Normal 4 11" xfId="344" xr:uid="{00000000-0005-0000-0000-00007C010000}"/>
    <cellStyle name="Normal 4 12" xfId="345" xr:uid="{00000000-0005-0000-0000-00007D010000}"/>
    <cellStyle name="Normal 4 13" xfId="346" xr:uid="{00000000-0005-0000-0000-00007E010000}"/>
    <cellStyle name="Normal 4 2" xfId="202" xr:uid="{00000000-0005-0000-0000-00007F010000}"/>
    <cellStyle name="Normal 4 2 2" xfId="347" xr:uid="{00000000-0005-0000-0000-000080010000}"/>
    <cellStyle name="Normal 4 2 2 2" xfId="348" xr:uid="{00000000-0005-0000-0000-000081010000}"/>
    <cellStyle name="Normal 4 2 3" xfId="349" xr:uid="{00000000-0005-0000-0000-000082010000}"/>
    <cellStyle name="Normal 4 2 4" xfId="350" xr:uid="{00000000-0005-0000-0000-000083010000}"/>
    <cellStyle name="Normal 4 2 5" xfId="351" xr:uid="{00000000-0005-0000-0000-000084010000}"/>
    <cellStyle name="Normal 4 3" xfId="352" xr:uid="{00000000-0005-0000-0000-000085010000}"/>
    <cellStyle name="Normal 4 3 2" xfId="353" xr:uid="{00000000-0005-0000-0000-000086010000}"/>
    <cellStyle name="Normal 4 3 3" xfId="354" xr:uid="{00000000-0005-0000-0000-000087010000}"/>
    <cellStyle name="Normal 4 3 4" xfId="355" xr:uid="{00000000-0005-0000-0000-000088010000}"/>
    <cellStyle name="Normal 4 4" xfId="356" xr:uid="{00000000-0005-0000-0000-000089010000}"/>
    <cellStyle name="Normal 4 4 2" xfId="357" xr:uid="{00000000-0005-0000-0000-00008A010000}"/>
    <cellStyle name="Normal 4 5" xfId="358" xr:uid="{00000000-0005-0000-0000-00008B010000}"/>
    <cellStyle name="Normal 4 5 2" xfId="359" xr:uid="{00000000-0005-0000-0000-00008C010000}"/>
    <cellStyle name="Normal 4 6" xfId="360" xr:uid="{00000000-0005-0000-0000-00008D010000}"/>
    <cellStyle name="Normal 4 6 2" xfId="361" xr:uid="{00000000-0005-0000-0000-00008E010000}"/>
    <cellStyle name="Normal 4 7" xfId="362" xr:uid="{00000000-0005-0000-0000-00008F010000}"/>
    <cellStyle name="Normal 4 8" xfId="363" xr:uid="{00000000-0005-0000-0000-000090010000}"/>
    <cellStyle name="Normal 4 9" xfId="364" xr:uid="{00000000-0005-0000-0000-000091010000}"/>
    <cellStyle name="Normal 5" xfId="203" xr:uid="{00000000-0005-0000-0000-000092010000}"/>
    <cellStyle name="Normal 5 10" xfId="365" xr:uid="{00000000-0005-0000-0000-000093010000}"/>
    <cellStyle name="Normal 5 11" xfId="366" xr:uid="{00000000-0005-0000-0000-000094010000}"/>
    <cellStyle name="Normal 5 12" xfId="367" xr:uid="{00000000-0005-0000-0000-000095010000}"/>
    <cellStyle name="Normal 5 13" xfId="368" xr:uid="{00000000-0005-0000-0000-000096010000}"/>
    <cellStyle name="Normal 5 2" xfId="204" xr:uid="{00000000-0005-0000-0000-000097010000}"/>
    <cellStyle name="Normal 5 2 2" xfId="369" xr:uid="{00000000-0005-0000-0000-000098010000}"/>
    <cellStyle name="Normal 5 2 2 2" xfId="370" xr:uid="{00000000-0005-0000-0000-000099010000}"/>
    <cellStyle name="Normal 5 2 3" xfId="371" xr:uid="{00000000-0005-0000-0000-00009A010000}"/>
    <cellStyle name="Normal 5 2 4" xfId="372" xr:uid="{00000000-0005-0000-0000-00009B010000}"/>
    <cellStyle name="Normal 5 3" xfId="373" xr:uid="{00000000-0005-0000-0000-00009C010000}"/>
    <cellStyle name="Normal 5 3 2" xfId="374" xr:uid="{00000000-0005-0000-0000-00009D010000}"/>
    <cellStyle name="Normal 5 3 3" xfId="375" xr:uid="{00000000-0005-0000-0000-00009E010000}"/>
    <cellStyle name="Normal 5 4" xfId="376" xr:uid="{00000000-0005-0000-0000-00009F010000}"/>
    <cellStyle name="Normal 5 4 2" xfId="377" xr:uid="{00000000-0005-0000-0000-0000A0010000}"/>
    <cellStyle name="Normal 5 5" xfId="378" xr:uid="{00000000-0005-0000-0000-0000A1010000}"/>
    <cellStyle name="Normal 5 5 2" xfId="379" xr:uid="{00000000-0005-0000-0000-0000A2010000}"/>
    <cellStyle name="Normal 5 6" xfId="380" xr:uid="{00000000-0005-0000-0000-0000A3010000}"/>
    <cellStyle name="Normal 5 6 2" xfId="381" xr:uid="{00000000-0005-0000-0000-0000A4010000}"/>
    <cellStyle name="Normal 5 7" xfId="382" xr:uid="{00000000-0005-0000-0000-0000A5010000}"/>
    <cellStyle name="Normal 5 8" xfId="383" xr:uid="{00000000-0005-0000-0000-0000A6010000}"/>
    <cellStyle name="Normal 5 9" xfId="384" xr:uid="{00000000-0005-0000-0000-0000A7010000}"/>
    <cellStyle name="Normal 6" xfId="205" xr:uid="{00000000-0005-0000-0000-0000A8010000}"/>
    <cellStyle name="Normal 6 2" xfId="206" xr:uid="{00000000-0005-0000-0000-0000A9010000}"/>
    <cellStyle name="Normal 7" xfId="207" xr:uid="{00000000-0005-0000-0000-0000AA010000}"/>
    <cellStyle name="Normal 7 2" xfId="208" xr:uid="{00000000-0005-0000-0000-0000AB010000}"/>
    <cellStyle name="Normal 7 2 2" xfId="385" xr:uid="{00000000-0005-0000-0000-0000AC010000}"/>
    <cellStyle name="Normal 7 2 3" xfId="386" xr:uid="{00000000-0005-0000-0000-0000AD010000}"/>
    <cellStyle name="Normal 7 3" xfId="387" xr:uid="{00000000-0005-0000-0000-0000AE010000}"/>
    <cellStyle name="Normal 7 3 2" xfId="388" xr:uid="{00000000-0005-0000-0000-0000AF010000}"/>
    <cellStyle name="Normal 7 4" xfId="389" xr:uid="{00000000-0005-0000-0000-0000B0010000}"/>
    <cellStyle name="Normal 7 4 2" xfId="390" xr:uid="{00000000-0005-0000-0000-0000B1010000}"/>
    <cellStyle name="Normal 7 5" xfId="391" xr:uid="{00000000-0005-0000-0000-0000B2010000}"/>
    <cellStyle name="Normal 7 5 2" xfId="392" xr:uid="{00000000-0005-0000-0000-0000B3010000}"/>
    <cellStyle name="Normal 7 6" xfId="393" xr:uid="{00000000-0005-0000-0000-0000B4010000}"/>
    <cellStyle name="Normal 7 7" xfId="394" xr:uid="{00000000-0005-0000-0000-0000B5010000}"/>
    <cellStyle name="Normal 7 8" xfId="395" xr:uid="{00000000-0005-0000-0000-0000B6010000}"/>
    <cellStyle name="Normal 8" xfId="209" xr:uid="{00000000-0005-0000-0000-0000B7010000}"/>
    <cellStyle name="Normal 8 2" xfId="396" xr:uid="{00000000-0005-0000-0000-0000B8010000}"/>
    <cellStyle name="Normal 8 2 2" xfId="397" xr:uid="{00000000-0005-0000-0000-0000B9010000}"/>
    <cellStyle name="Normal 8 3" xfId="398" xr:uid="{00000000-0005-0000-0000-0000BA010000}"/>
    <cellStyle name="Normal 8 3 2" xfId="399" xr:uid="{00000000-0005-0000-0000-0000BB010000}"/>
    <cellStyle name="Normal 8 4" xfId="400" xr:uid="{00000000-0005-0000-0000-0000BC010000}"/>
    <cellStyle name="Normal 8 4 2" xfId="401" xr:uid="{00000000-0005-0000-0000-0000BD010000}"/>
    <cellStyle name="Normal 8 5" xfId="402" xr:uid="{00000000-0005-0000-0000-0000BE010000}"/>
    <cellStyle name="Normal 9" xfId="210" xr:uid="{00000000-0005-0000-0000-0000BF010000}"/>
    <cellStyle name="Note 2" xfId="211" xr:uid="{00000000-0005-0000-0000-0000C0010000}"/>
    <cellStyle name="Note 3" xfId="212" xr:uid="{00000000-0005-0000-0000-0000C1010000}"/>
    <cellStyle name="Note 4" xfId="213" xr:uid="{00000000-0005-0000-0000-0000C2010000}"/>
    <cellStyle name="Note 5" xfId="214" xr:uid="{00000000-0005-0000-0000-0000C3010000}"/>
    <cellStyle name="Output 2" xfId="215" xr:uid="{00000000-0005-0000-0000-0000C4010000}"/>
    <cellStyle name="Output 3" xfId="216" xr:uid="{00000000-0005-0000-0000-0000C5010000}"/>
    <cellStyle name="Output 4" xfId="217" xr:uid="{00000000-0005-0000-0000-0000C6010000}"/>
    <cellStyle name="Output 5" xfId="218" xr:uid="{00000000-0005-0000-0000-0000C7010000}"/>
    <cellStyle name="Percent 2" xfId="219" xr:uid="{00000000-0005-0000-0000-0000C8010000}"/>
    <cellStyle name="Percent 2 2" xfId="220" xr:uid="{00000000-0005-0000-0000-0000C9010000}"/>
    <cellStyle name="Percent 2 2 10" xfId="403" xr:uid="{00000000-0005-0000-0000-0000CA010000}"/>
    <cellStyle name="Percent 2 2 11" xfId="404" xr:uid="{00000000-0005-0000-0000-0000CB010000}"/>
    <cellStyle name="Percent 2 2 12" xfId="405" xr:uid="{00000000-0005-0000-0000-0000CC010000}"/>
    <cellStyle name="Percent 2 2 2" xfId="406" xr:uid="{00000000-0005-0000-0000-0000CD010000}"/>
    <cellStyle name="Percent 2 2 2 2" xfId="407" xr:uid="{00000000-0005-0000-0000-0000CE010000}"/>
    <cellStyle name="Percent 2 2 3" xfId="408" xr:uid="{00000000-0005-0000-0000-0000CF010000}"/>
    <cellStyle name="Percent 2 2 4" xfId="409" xr:uid="{00000000-0005-0000-0000-0000D0010000}"/>
    <cellStyle name="Percent 2 2 5" xfId="410" xr:uid="{00000000-0005-0000-0000-0000D1010000}"/>
    <cellStyle name="Percent 2 2 6" xfId="411" xr:uid="{00000000-0005-0000-0000-0000D2010000}"/>
    <cellStyle name="Percent 2 2 7" xfId="412" xr:uid="{00000000-0005-0000-0000-0000D3010000}"/>
    <cellStyle name="Percent 2 2 8" xfId="413" xr:uid="{00000000-0005-0000-0000-0000D4010000}"/>
    <cellStyle name="Percent 2 2 9" xfId="414" xr:uid="{00000000-0005-0000-0000-0000D5010000}"/>
    <cellStyle name="Percent 2 3" xfId="415" xr:uid="{00000000-0005-0000-0000-0000D6010000}"/>
    <cellStyle name="Percent 2 3 10" xfId="416" xr:uid="{00000000-0005-0000-0000-0000D7010000}"/>
    <cellStyle name="Percent 2 3 11" xfId="417" xr:uid="{00000000-0005-0000-0000-0000D8010000}"/>
    <cellStyle name="Percent 2 3 12" xfId="418" xr:uid="{00000000-0005-0000-0000-0000D9010000}"/>
    <cellStyle name="Percent 2 3 2" xfId="419" xr:uid="{00000000-0005-0000-0000-0000DA010000}"/>
    <cellStyle name="Percent 2 3 3" xfId="420" xr:uid="{00000000-0005-0000-0000-0000DB010000}"/>
    <cellStyle name="Percent 2 3 4" xfId="421" xr:uid="{00000000-0005-0000-0000-0000DC010000}"/>
    <cellStyle name="Percent 2 3 5" xfId="422" xr:uid="{00000000-0005-0000-0000-0000DD010000}"/>
    <cellStyle name="Percent 2 3 6" xfId="423" xr:uid="{00000000-0005-0000-0000-0000DE010000}"/>
    <cellStyle name="Percent 2 3 7" xfId="424" xr:uid="{00000000-0005-0000-0000-0000DF010000}"/>
    <cellStyle name="Percent 2 3 8" xfId="425" xr:uid="{00000000-0005-0000-0000-0000E0010000}"/>
    <cellStyle name="Percent 2 3 9" xfId="426" xr:uid="{00000000-0005-0000-0000-0000E1010000}"/>
    <cellStyle name="Percent 2 4" xfId="427" xr:uid="{00000000-0005-0000-0000-0000E2010000}"/>
    <cellStyle name="Percent 2 4 10" xfId="428" xr:uid="{00000000-0005-0000-0000-0000E3010000}"/>
    <cellStyle name="Percent 2 4 11" xfId="429" xr:uid="{00000000-0005-0000-0000-0000E4010000}"/>
    <cellStyle name="Percent 2 4 12" xfId="430" xr:uid="{00000000-0005-0000-0000-0000E5010000}"/>
    <cellStyle name="Percent 2 4 2" xfId="431" xr:uid="{00000000-0005-0000-0000-0000E6010000}"/>
    <cellStyle name="Percent 2 4 3" xfId="432" xr:uid="{00000000-0005-0000-0000-0000E7010000}"/>
    <cellStyle name="Percent 2 4 4" xfId="433" xr:uid="{00000000-0005-0000-0000-0000E8010000}"/>
    <cellStyle name="Percent 2 4 5" xfId="434" xr:uid="{00000000-0005-0000-0000-0000E9010000}"/>
    <cellStyle name="Percent 2 4 6" xfId="435" xr:uid="{00000000-0005-0000-0000-0000EA010000}"/>
    <cellStyle name="Percent 2 4 7" xfId="436" xr:uid="{00000000-0005-0000-0000-0000EB010000}"/>
    <cellStyle name="Percent 2 4 8" xfId="437" xr:uid="{00000000-0005-0000-0000-0000EC010000}"/>
    <cellStyle name="Percent 2 4 9" xfId="438" xr:uid="{00000000-0005-0000-0000-0000ED010000}"/>
    <cellStyle name="Percent 2 5" xfId="439" xr:uid="{00000000-0005-0000-0000-0000EE010000}"/>
    <cellStyle name="Percent 2 5 2" xfId="440" xr:uid="{00000000-0005-0000-0000-0000EF010000}"/>
    <cellStyle name="Percent 2 6" xfId="441" xr:uid="{00000000-0005-0000-0000-0000F0010000}"/>
    <cellStyle name="Percent 2 6 2" xfId="442" xr:uid="{00000000-0005-0000-0000-0000F1010000}"/>
    <cellStyle name="Percent 2 7" xfId="443" xr:uid="{00000000-0005-0000-0000-0000F2010000}"/>
    <cellStyle name="Percent 2 8" xfId="444" xr:uid="{00000000-0005-0000-0000-0000F3010000}"/>
    <cellStyle name="Percent 2 9" xfId="445" xr:uid="{00000000-0005-0000-0000-0000F4010000}"/>
    <cellStyle name="Percent 3" xfId="221" xr:uid="{00000000-0005-0000-0000-0000F5010000}"/>
    <cellStyle name="Percent 3 2" xfId="446" xr:uid="{00000000-0005-0000-0000-0000F6010000}"/>
    <cellStyle name="Percent 3 2 2" xfId="447" xr:uid="{00000000-0005-0000-0000-0000F7010000}"/>
    <cellStyle name="Percent 3 2 2 2" xfId="448" xr:uid="{00000000-0005-0000-0000-0000F8010000}"/>
    <cellStyle name="Percent 3 2 3" xfId="449" xr:uid="{00000000-0005-0000-0000-0000F9010000}"/>
    <cellStyle name="Percent 3 2 4" xfId="450" xr:uid="{00000000-0005-0000-0000-0000FA010000}"/>
    <cellStyle name="Percent 3 3" xfId="451" xr:uid="{00000000-0005-0000-0000-0000FB010000}"/>
    <cellStyle name="Percent 3 3 2" xfId="452" xr:uid="{00000000-0005-0000-0000-0000FC010000}"/>
    <cellStyle name="Percent 3 3 3" xfId="453" xr:uid="{00000000-0005-0000-0000-0000FD010000}"/>
    <cellStyle name="Percent 3 4" xfId="454" xr:uid="{00000000-0005-0000-0000-0000FE010000}"/>
    <cellStyle name="Percent 3 4 2" xfId="455" xr:uid="{00000000-0005-0000-0000-0000FF010000}"/>
    <cellStyle name="Percent 3 5" xfId="456" xr:uid="{00000000-0005-0000-0000-000000020000}"/>
    <cellStyle name="Percent 3 5 2" xfId="457" xr:uid="{00000000-0005-0000-0000-000001020000}"/>
    <cellStyle name="Percent 3 6" xfId="458" xr:uid="{00000000-0005-0000-0000-000002020000}"/>
    <cellStyle name="Percent 3 6 2" xfId="459" xr:uid="{00000000-0005-0000-0000-000003020000}"/>
    <cellStyle name="Percent 3 7" xfId="460" xr:uid="{00000000-0005-0000-0000-000004020000}"/>
    <cellStyle name="Percent 3 8" xfId="461" xr:uid="{00000000-0005-0000-0000-000005020000}"/>
    <cellStyle name="Percent 3 9" xfId="462" xr:uid="{00000000-0005-0000-0000-000006020000}"/>
    <cellStyle name="Percent 4" xfId="222" xr:uid="{00000000-0005-0000-0000-000007020000}"/>
    <cellStyle name="Percent 4 2" xfId="463" xr:uid="{00000000-0005-0000-0000-000008020000}"/>
    <cellStyle name="Percent 4 2 2" xfId="464" xr:uid="{00000000-0005-0000-0000-000009020000}"/>
    <cellStyle name="Percent 4 2 2 2" xfId="465" xr:uid="{00000000-0005-0000-0000-00000A020000}"/>
    <cellStyle name="Percent 4 2 3" xfId="466" xr:uid="{00000000-0005-0000-0000-00000B020000}"/>
    <cellStyle name="Percent 4 2 4" xfId="467" xr:uid="{00000000-0005-0000-0000-00000C020000}"/>
    <cellStyle name="Percent 4 3" xfId="468" xr:uid="{00000000-0005-0000-0000-00000D020000}"/>
    <cellStyle name="Percent 4 3 2" xfId="469" xr:uid="{00000000-0005-0000-0000-00000E020000}"/>
    <cellStyle name="Percent 4 3 3" xfId="470" xr:uid="{00000000-0005-0000-0000-00000F020000}"/>
    <cellStyle name="Percent 4 4" xfId="471" xr:uid="{00000000-0005-0000-0000-000010020000}"/>
    <cellStyle name="Percent 4 4 2" xfId="472" xr:uid="{00000000-0005-0000-0000-000011020000}"/>
    <cellStyle name="Percent 4 5" xfId="473" xr:uid="{00000000-0005-0000-0000-000012020000}"/>
    <cellStyle name="Percent 4 5 2" xfId="474" xr:uid="{00000000-0005-0000-0000-000013020000}"/>
    <cellStyle name="Percent 4 6" xfId="475" xr:uid="{00000000-0005-0000-0000-000014020000}"/>
    <cellStyle name="Percent 4 6 2" xfId="476" xr:uid="{00000000-0005-0000-0000-000015020000}"/>
    <cellStyle name="Percent 4 7" xfId="477" xr:uid="{00000000-0005-0000-0000-000016020000}"/>
    <cellStyle name="Percent 4 8" xfId="478" xr:uid="{00000000-0005-0000-0000-000017020000}"/>
    <cellStyle name="Percent 4 9" xfId="479" xr:uid="{00000000-0005-0000-0000-000018020000}"/>
    <cellStyle name="Percent 5" xfId="480" xr:uid="{00000000-0005-0000-0000-000019020000}"/>
    <cellStyle name="Percent 5 2" xfId="481" xr:uid="{00000000-0005-0000-0000-00001A020000}"/>
    <cellStyle name="Percent 5 2 2" xfId="482" xr:uid="{00000000-0005-0000-0000-00001B020000}"/>
    <cellStyle name="Percent 5 2 3" xfId="483" xr:uid="{00000000-0005-0000-0000-00001C020000}"/>
    <cellStyle name="Percent 5 3" xfId="484" xr:uid="{00000000-0005-0000-0000-00001D020000}"/>
    <cellStyle name="Percent 5 3 2" xfId="485" xr:uid="{00000000-0005-0000-0000-00001E020000}"/>
    <cellStyle name="Percent 5 4" xfId="486" xr:uid="{00000000-0005-0000-0000-00001F020000}"/>
    <cellStyle name="Percent 5 4 2" xfId="487" xr:uid="{00000000-0005-0000-0000-000020020000}"/>
    <cellStyle name="Percent 5 5" xfId="488" xr:uid="{00000000-0005-0000-0000-000021020000}"/>
    <cellStyle name="Percent 5 5 2" xfId="489" xr:uid="{00000000-0005-0000-0000-000022020000}"/>
    <cellStyle name="Percent 5 6" xfId="490" xr:uid="{00000000-0005-0000-0000-000023020000}"/>
    <cellStyle name="Percent 5 7" xfId="491" xr:uid="{00000000-0005-0000-0000-000024020000}"/>
    <cellStyle name="Percent 5 8" xfId="492" xr:uid="{00000000-0005-0000-0000-000025020000}"/>
    <cellStyle name="Percent 6" xfId="493" xr:uid="{00000000-0005-0000-0000-000026020000}"/>
    <cellStyle name="Percent 9" xfId="494" xr:uid="{00000000-0005-0000-0000-000027020000}"/>
    <cellStyle name="Percent+/-" xfId="223" xr:uid="{00000000-0005-0000-0000-000028020000}"/>
    <cellStyle name="Percent+/- 2" xfId="224" xr:uid="{00000000-0005-0000-0000-000029020000}"/>
    <cellStyle name="Percent+/-0" xfId="225" xr:uid="{00000000-0005-0000-0000-00002A020000}"/>
    <cellStyle name="Percent+/-0 2" xfId="226" xr:uid="{00000000-0005-0000-0000-00002B020000}"/>
    <cellStyle name="Plus0" xfId="227" xr:uid="{00000000-0005-0000-0000-00002C020000}"/>
    <cellStyle name="Plus0 2" xfId="228" xr:uid="{00000000-0005-0000-0000-00002D020000}"/>
    <cellStyle name="Plus1" xfId="229" xr:uid="{00000000-0005-0000-0000-00002E020000}"/>
    <cellStyle name="Plus1 2" xfId="230" xr:uid="{00000000-0005-0000-0000-00002F020000}"/>
    <cellStyle name="Title 2" xfId="231" xr:uid="{00000000-0005-0000-0000-000030020000}"/>
    <cellStyle name="Title 3" xfId="232" xr:uid="{00000000-0005-0000-0000-000031020000}"/>
    <cellStyle name="Title 4" xfId="233" xr:uid="{00000000-0005-0000-0000-000032020000}"/>
    <cellStyle name="Total 2" xfId="234" xr:uid="{00000000-0005-0000-0000-000033020000}"/>
    <cellStyle name="Total 3" xfId="235" xr:uid="{00000000-0005-0000-0000-000034020000}"/>
    <cellStyle name="Total 4" xfId="236" xr:uid="{00000000-0005-0000-0000-000035020000}"/>
    <cellStyle name="Total 5" xfId="237" xr:uid="{00000000-0005-0000-0000-000036020000}"/>
    <cellStyle name="Warning Text 2" xfId="238" xr:uid="{00000000-0005-0000-0000-000037020000}"/>
    <cellStyle name="Warning Text 3" xfId="239" xr:uid="{00000000-0005-0000-0000-000038020000}"/>
    <cellStyle name="Warning Text 4" xfId="240" xr:uid="{00000000-0005-0000-0000-000039020000}"/>
    <cellStyle name="Warning Text 5" xfId="241" xr:uid="{00000000-0005-0000-0000-00003A02000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charts/_rels/chart1.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1082812246071801"/>
          <c:y val="1.8309859154929602E-2"/>
          <c:w val="0.86288480035363802"/>
          <c:h val="0.916360241547306"/>
        </c:manualLayout>
      </c:layout>
      <c:lineChart>
        <c:grouping val="standard"/>
        <c:varyColors val="0"/>
        <c:ser>
          <c:idx val="0"/>
          <c:order val="0"/>
          <c:tx>
            <c:strRef>
              <c:f>Fig_9!$L$3</c:f>
              <c:strCache>
                <c:ptCount val="1"/>
                <c:pt idx="0">
                  <c:v>CBO PB18 Projection</c:v>
                </c:pt>
              </c:strCache>
            </c:strRef>
          </c:tx>
          <c:spPr>
            <a:ln w="12700">
              <a:solidFill>
                <a:srgbClr val="5B9BD5"/>
              </a:solidFill>
              <a:prstDash val="sysDash"/>
            </a:ln>
          </c:spPr>
          <c:marker>
            <c:symbol val="none"/>
          </c:marker>
          <c:cat>
            <c:numRef>
              <c:f>Fig_9!$A$4:$A$27</c:f>
              <c:numCache>
                <c:formatCode>General</c:formatCode>
                <c:ptCount val="24"/>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numCache>
            </c:numRef>
          </c:cat>
          <c:val>
            <c:numRef>
              <c:f>Fig_9!$L$4:$L$27</c:f>
            </c:numRef>
          </c:val>
          <c:smooth val="0"/>
          <c:extLst>
            <c:ext xmlns:c16="http://schemas.microsoft.com/office/drawing/2014/chart" uri="{C3380CC4-5D6E-409C-BE32-E72D297353CC}">
              <c16:uniqueId val="{00000000-3DA7-104A-B9F4-A45044C0814D}"/>
            </c:ext>
          </c:extLst>
        </c:ser>
        <c:ser>
          <c:idx val="2"/>
          <c:order val="1"/>
          <c:tx>
            <c:strRef>
              <c:f>Fig_9!$H$3</c:f>
              <c:strCache>
                <c:ptCount val="1"/>
                <c:pt idx="0">
                  <c:v>DoD Base Budget</c:v>
                </c:pt>
              </c:strCache>
            </c:strRef>
          </c:tx>
          <c:spPr>
            <a:ln w="127000">
              <a:solidFill>
                <a:sysClr val="windowText" lastClr="000000"/>
              </a:solidFill>
              <a:prstDash val="solid"/>
            </a:ln>
          </c:spPr>
          <c:marker>
            <c:symbol val="none"/>
          </c:marker>
          <c:cat>
            <c:numRef>
              <c:f>Fig_9!$A$4:$A$27</c:f>
              <c:numCache>
                <c:formatCode>General</c:formatCode>
                <c:ptCount val="24"/>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numCache>
            </c:numRef>
          </c:cat>
          <c:val>
            <c:numRef>
              <c:f>Fig_9!$H$4:$H$27</c:f>
              <c:numCache>
                <c:formatCode>0</c:formatCode>
                <c:ptCount val="24"/>
                <c:pt idx="0">
                  <c:v>418.8423540518624</c:v>
                </c:pt>
                <c:pt idx="1">
                  <c:v>409.18135803129792</c:v>
                </c:pt>
                <c:pt idx="2">
                  <c:v>455.49394433941666</c:v>
                </c:pt>
                <c:pt idx="3">
                  <c:v>496.56491136987734</c:v>
                </c:pt>
                <c:pt idx="4">
                  <c:v>504.01679951663783</c:v>
                </c:pt>
                <c:pt idx="5">
                  <c:v>520.98525879886552</c:v>
                </c:pt>
                <c:pt idx="6">
                  <c:v>513.91445197145083</c:v>
                </c:pt>
                <c:pt idx="7">
                  <c:v>524.90787753511597</c:v>
                </c:pt>
                <c:pt idx="8">
                  <c:v>578.12060518517205</c:v>
                </c:pt>
                <c:pt idx="9">
                  <c:v>600.60312956526309</c:v>
                </c:pt>
                <c:pt idx="10">
                  <c:v>620.09787939572107</c:v>
                </c:pt>
                <c:pt idx="11">
                  <c:v>607.02709199002209</c:v>
                </c:pt>
                <c:pt idx="12">
                  <c:v>605.41087614741116</c:v>
                </c:pt>
                <c:pt idx="13">
                  <c:v>554.54942247823601</c:v>
                </c:pt>
                <c:pt idx="14">
                  <c:v>552.56540416029668</c:v>
                </c:pt>
                <c:pt idx="15">
                  <c:v>542.94746524675327</c:v>
                </c:pt>
                <c:pt idx="16">
                  <c:v>567.41106352532586</c:v>
                </c:pt>
                <c:pt idx="17">
                  <c:v>565.08645702195508</c:v>
                </c:pt>
                <c:pt idx="18">
                  <c:v>540.95920993065477</c:v>
                </c:pt>
                <c:pt idx="19">
                  <c:v>626.06600000000003</c:v>
                </c:pt>
                <c:pt idx="20">
                  <c:v>675.92709922867607</c:v>
                </c:pt>
                <c:pt idx="21">
                  <c:v>673.72365472996137</c:v>
                </c:pt>
                <c:pt idx="22">
                  <c:v>672.32884005964183</c:v>
                </c:pt>
                <c:pt idx="23">
                  <c:v>671.04796285209181</c:v>
                </c:pt>
              </c:numCache>
            </c:numRef>
          </c:val>
          <c:smooth val="0"/>
          <c:extLst>
            <c:ext xmlns:c16="http://schemas.microsoft.com/office/drawing/2014/chart" uri="{C3380CC4-5D6E-409C-BE32-E72D297353CC}">
              <c16:uniqueId val="{00000001-3DA7-104A-B9F4-A45044C0814D}"/>
            </c:ext>
          </c:extLst>
        </c:ser>
        <c:ser>
          <c:idx val="4"/>
          <c:order val="2"/>
          <c:tx>
            <c:strRef>
              <c:f>Fig_9!$G$3</c:f>
              <c:strCache>
                <c:ptCount val="1"/>
                <c:pt idx="0">
                  <c:v>Adjusted Base Budget</c:v>
                </c:pt>
              </c:strCache>
            </c:strRef>
          </c:tx>
          <c:spPr>
            <a:ln w="127000">
              <a:solidFill>
                <a:srgbClr val="C00000"/>
              </a:solidFill>
              <a:prstDash val="solid"/>
            </a:ln>
          </c:spPr>
          <c:marker>
            <c:symbol val="none"/>
          </c:marker>
          <c:cat>
            <c:numRef>
              <c:f>Fig_9!$A$4:$A$27</c:f>
              <c:numCache>
                <c:formatCode>General</c:formatCode>
                <c:ptCount val="24"/>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numCache>
            </c:numRef>
          </c:cat>
          <c:val>
            <c:numRef>
              <c:f>Fig_9!$G$4:$G$27</c:f>
              <c:numCache>
                <c:formatCode>0</c:formatCode>
                <c:ptCount val="24"/>
                <c:pt idx="5">
                  <c:v>520.98525879886552</c:v>
                </c:pt>
                <c:pt idx="6">
                  <c:v>558.63011423017213</c:v>
                </c:pt>
                <c:pt idx="7">
                  <c:v>595.12423224979591</c:v>
                </c:pt>
                <c:pt idx="8">
                  <c:v>663.19110843698024</c:v>
                </c:pt>
                <c:pt idx="9">
                  <c:v>654.10061430840733</c:v>
                </c:pt>
                <c:pt idx="10">
                  <c:v>661.07845941432572</c:v>
                </c:pt>
                <c:pt idx="11">
                  <c:v>651.98437026053205</c:v>
                </c:pt>
                <c:pt idx="12">
                  <c:v>636.00042525259278</c:v>
                </c:pt>
                <c:pt idx="13">
                  <c:v>605.12578429185885</c:v>
                </c:pt>
                <c:pt idx="14">
                  <c:v>604.07898510068696</c:v>
                </c:pt>
                <c:pt idx="15">
                  <c:v>587.43137174025969</c:v>
                </c:pt>
                <c:pt idx="16">
                  <c:v>614.45016932203885</c:v>
                </c:pt>
                <c:pt idx="17">
                  <c:v>629.62334625037386</c:v>
                </c:pt>
                <c:pt idx="18">
                  <c:v>604.7198109107627</c:v>
                </c:pt>
                <c:pt idx="19">
                  <c:v>672.66600000000005</c:v>
                </c:pt>
                <c:pt idx="20">
                  <c:v>671.05247050532182</c:v>
                </c:pt>
                <c:pt idx="21">
                  <c:v>676.81772106690175</c:v>
                </c:pt>
                <c:pt idx="22">
                  <c:v>676.32575023399818</c:v>
                </c:pt>
                <c:pt idx="23">
                  <c:v>675.99153451712675</c:v>
                </c:pt>
              </c:numCache>
            </c:numRef>
          </c:val>
          <c:smooth val="0"/>
          <c:extLst>
            <c:ext xmlns:c16="http://schemas.microsoft.com/office/drawing/2014/chart" uri="{C3380CC4-5D6E-409C-BE32-E72D297353CC}">
              <c16:uniqueId val="{00000002-3DA7-104A-B9F4-A45044C0814D}"/>
            </c:ext>
          </c:extLst>
        </c:ser>
        <c:ser>
          <c:idx val="1"/>
          <c:order val="3"/>
          <c:tx>
            <c:strRef>
              <c:f>Fig_9!$I$3</c:f>
              <c:strCache>
                <c:ptCount val="1"/>
                <c:pt idx="0">
                  <c:v>DoD Total Budget</c:v>
                </c:pt>
              </c:strCache>
            </c:strRef>
          </c:tx>
          <c:spPr>
            <a:ln w="127000">
              <a:solidFill>
                <a:srgbClr val="70AD47"/>
              </a:solidFill>
            </a:ln>
          </c:spPr>
          <c:marker>
            <c:symbol val="none"/>
          </c:marker>
          <c:cat>
            <c:numRef>
              <c:f>Fig_9!$A$4:$A$27</c:f>
              <c:numCache>
                <c:formatCode>General</c:formatCode>
                <c:ptCount val="24"/>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numCache>
            </c:numRef>
          </c:cat>
          <c:val>
            <c:numRef>
              <c:f>Fig_9!$I$4:$I$27</c:f>
              <c:numCache>
                <c:formatCode>0</c:formatCode>
                <c:ptCount val="24"/>
                <c:pt idx="0">
                  <c:v>418.8423540518624</c:v>
                </c:pt>
                <c:pt idx="1">
                  <c:v>449.68926226104384</c:v>
                </c:pt>
                <c:pt idx="2">
                  <c:v>478.8670313780828</c:v>
                </c:pt>
                <c:pt idx="3">
                  <c:v>595.17532031005601</c:v>
                </c:pt>
                <c:pt idx="4">
                  <c:v>624.85872784166077</c:v>
                </c:pt>
                <c:pt idx="5">
                  <c:v>622.38876874583798</c:v>
                </c:pt>
                <c:pt idx="6">
                  <c:v>668.27838527948029</c:v>
                </c:pt>
                <c:pt idx="7">
                  <c:v>730.35317003700231</c:v>
                </c:pt>
                <c:pt idx="8">
                  <c:v>800.19263900904025</c:v>
                </c:pt>
                <c:pt idx="9">
                  <c:v>780.43643737040861</c:v>
                </c:pt>
                <c:pt idx="10">
                  <c:v>809.91829613246512</c:v>
                </c:pt>
                <c:pt idx="11">
                  <c:v>788.21176970620843</c:v>
                </c:pt>
                <c:pt idx="12">
                  <c:v>734.3609523258591</c:v>
                </c:pt>
                <c:pt idx="13">
                  <c:v>644.99846901054639</c:v>
                </c:pt>
                <c:pt idx="14">
                  <c:v>644.72060313924612</c:v>
                </c:pt>
                <c:pt idx="15">
                  <c:v>610.41650563636358</c:v>
                </c:pt>
                <c:pt idx="16">
                  <c:v>629.7162090055474</c:v>
                </c:pt>
                <c:pt idx="17">
                  <c:v>650.81347783439082</c:v>
                </c:pt>
                <c:pt idx="18">
                  <c:v>630.80893049428198</c:v>
                </c:pt>
                <c:pt idx="19">
                  <c:v>695.06600000000003</c:v>
                </c:pt>
                <c:pt idx="20">
                  <c:v>695.51493083712865</c:v>
                </c:pt>
                <c:pt idx="21">
                  <c:v>692.89585714311988</c:v>
                </c:pt>
                <c:pt idx="22">
                  <c:v>691.09495309137492</c:v>
                </c:pt>
                <c:pt idx="23">
                  <c:v>689.41321540011154</c:v>
                </c:pt>
              </c:numCache>
            </c:numRef>
          </c:val>
          <c:smooth val="0"/>
          <c:extLst>
            <c:ext xmlns:c16="http://schemas.microsoft.com/office/drawing/2014/chart" uri="{C3380CC4-5D6E-409C-BE32-E72D297353CC}">
              <c16:uniqueId val="{00000003-3DA7-104A-B9F4-A45044C0814D}"/>
            </c:ext>
          </c:extLst>
        </c:ser>
        <c:dLbls>
          <c:showLegendKey val="0"/>
          <c:showVal val="0"/>
          <c:showCatName val="0"/>
          <c:showSerName val="0"/>
          <c:showPercent val="0"/>
          <c:showBubbleSize val="0"/>
        </c:dLbls>
        <c:smooth val="0"/>
        <c:axId val="-22004256"/>
        <c:axId val="-21518928"/>
      </c:lineChart>
      <c:catAx>
        <c:axId val="-22004256"/>
        <c:scaling>
          <c:orientation val="minMax"/>
        </c:scaling>
        <c:delete val="0"/>
        <c:axPos val="b"/>
        <c:numFmt formatCode="General" sourceLinked="1"/>
        <c:majorTickMark val="in"/>
        <c:minorTickMark val="none"/>
        <c:tickLblPos val="nextTo"/>
        <c:spPr>
          <a:ln/>
        </c:spPr>
        <c:txPr>
          <a:bodyPr/>
          <a:lstStyle/>
          <a:p>
            <a:pPr>
              <a:defRPr b="0"/>
            </a:pPr>
            <a:endParaRPr lang="en-US"/>
          </a:p>
        </c:txPr>
        <c:crossAx val="-21518928"/>
        <c:crosses val="autoZero"/>
        <c:auto val="1"/>
        <c:lblAlgn val="ctr"/>
        <c:lblOffset val="100"/>
        <c:tickLblSkip val="2"/>
        <c:tickMarkSkip val="2"/>
        <c:noMultiLvlLbl val="0"/>
      </c:catAx>
      <c:valAx>
        <c:axId val="-21518928"/>
        <c:scaling>
          <c:orientation val="minMax"/>
          <c:min val="300"/>
        </c:scaling>
        <c:delete val="0"/>
        <c:axPos val="l"/>
        <c:majorGridlines>
          <c:spPr>
            <a:ln w="3175">
              <a:solidFill>
                <a:schemeClr val="bg2">
                  <a:lumMod val="90000"/>
                </a:schemeClr>
              </a:solidFill>
            </a:ln>
          </c:spPr>
        </c:majorGridlines>
        <c:title>
          <c:tx>
            <c:rich>
              <a:bodyPr/>
              <a:lstStyle/>
              <a:p>
                <a:pPr>
                  <a:defRPr b="0"/>
                </a:pPr>
                <a:r>
                  <a:rPr lang="en-US" b="0"/>
                  <a:t>DoD's Projected Funding</a:t>
                </a:r>
                <a:r>
                  <a:rPr lang="en-US" b="0" baseline="0"/>
                  <a:t> </a:t>
                </a:r>
                <a:endParaRPr lang="en-US" b="0"/>
              </a:p>
            </c:rich>
          </c:tx>
          <c:layout>
            <c:manualLayout>
              <c:xMode val="edge"/>
              <c:yMode val="edge"/>
              <c:x val="1.9172082656334626E-2"/>
              <c:y val="0.27082567804024499"/>
            </c:manualLayout>
          </c:layout>
          <c:overlay val="0"/>
        </c:title>
        <c:numFmt formatCode="0" sourceLinked="1"/>
        <c:majorTickMark val="in"/>
        <c:minorTickMark val="none"/>
        <c:tickLblPos val="nextTo"/>
        <c:spPr>
          <a:ln/>
        </c:spPr>
        <c:txPr>
          <a:bodyPr/>
          <a:lstStyle/>
          <a:p>
            <a:pPr>
              <a:defRPr b="0"/>
            </a:pPr>
            <a:endParaRPr lang="en-US"/>
          </a:p>
        </c:txPr>
        <c:crossAx val="-22004256"/>
        <c:crosses val="autoZero"/>
        <c:crossBetween val="midCat"/>
      </c:valAx>
      <c:spPr>
        <a:noFill/>
        <a:ln>
          <a:solidFill>
            <a:schemeClr val="tx1"/>
          </a:solidFill>
        </a:ln>
      </c:spPr>
    </c:plotArea>
    <c:legend>
      <c:legendPos val="r"/>
      <c:layout>
        <c:manualLayout>
          <c:xMode val="edge"/>
          <c:yMode val="edge"/>
          <c:x val="0.57411376731838726"/>
          <c:y val="0.76754208841879046"/>
          <c:w val="0.23971784653732411"/>
          <c:h val="0.14498674618076615"/>
        </c:manualLayout>
      </c:layout>
      <c:overlay val="0"/>
      <c:spPr>
        <a:solidFill>
          <a:schemeClr val="bg1"/>
        </a:solidFill>
        <a:ln>
          <a:noFill/>
        </a:ln>
      </c:spPr>
      <c:txPr>
        <a:bodyPr/>
        <a:lstStyle/>
        <a:p>
          <a:pPr>
            <a:defRPr sz="1200"/>
          </a:pPr>
          <a:endParaRPr lang="en-US"/>
        </a:p>
      </c:txPr>
    </c:legend>
    <c:plotVisOnly val="1"/>
    <c:dispBlanksAs val="gap"/>
    <c:showDLblsOverMax val="0"/>
  </c:chart>
  <c:spPr>
    <a:solidFill>
      <a:sysClr val="window" lastClr="FFFFFF"/>
    </a:solidFill>
    <a:ln>
      <a:noFill/>
    </a:ln>
  </c:spPr>
  <c:txPr>
    <a:bodyPr/>
    <a:lstStyle/>
    <a:p>
      <a:pPr>
        <a:defRPr sz="1600">
          <a:latin typeface="+mn-lt"/>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t>Enduring OCO Costs</a:t>
            </a:r>
          </a:p>
        </c:rich>
      </c:tx>
      <c:layout>
        <c:manualLayout>
          <c:xMode val="edge"/>
          <c:yMode val="edge"/>
          <c:x val="0.72247163320761776"/>
          <c:y val="3.1011461062787342E-2"/>
        </c:manualLayout>
      </c:layout>
      <c:overlay val="1"/>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5413453245114"/>
          <c:y val="1.48737815758832E-2"/>
          <c:w val="0.88366517387386201"/>
          <c:h val="0.89927689512183795"/>
        </c:manualLayout>
      </c:layout>
      <c:barChart>
        <c:barDir val="col"/>
        <c:grouping val="stacked"/>
        <c:varyColors val="0"/>
        <c:ser>
          <c:idx val="8"/>
          <c:order val="0"/>
          <c:tx>
            <c:strRef>
              <c:f>Funding!$B$12</c:f>
              <c:strCache>
                <c:ptCount val="1"/>
                <c:pt idx="0">
                  <c:v>Classified and Military Intelligence Programs</c:v>
                </c:pt>
              </c:strCache>
            </c:strRef>
          </c:tx>
          <c:spPr>
            <a:solidFill>
              <a:schemeClr val="tx1">
                <a:lumMod val="65000"/>
                <a:lumOff val="35000"/>
              </a:schemeClr>
            </a:solidFill>
            <a:ln>
              <a:noFill/>
            </a:ln>
            <a:effectLst/>
          </c:spPr>
          <c:invertIfNegative val="0"/>
          <c:cat>
            <c:numRef>
              <c:f>Funding!$C$4:$P$4</c:f>
              <c:numCache>
                <c:formatCode>General</c:formatCode>
                <c:ptCount val="14"/>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numCache>
            </c:numRef>
          </c:cat>
          <c:val>
            <c:numRef>
              <c:f>Funding!$C$12:$P$12</c:f>
              <c:numCache>
                <c:formatCode>#0;[Red]\-#0;\-</c:formatCode>
                <c:ptCount val="14"/>
                <c:pt idx="0">
                  <c:v>9.0189715383819102</c:v>
                </c:pt>
                <c:pt idx="1">
                  <c:v>11.278274591477093</c:v>
                </c:pt>
                <c:pt idx="2">
                  <c:v>13.663558483181481</c:v>
                </c:pt>
                <c:pt idx="3">
                  <c:v>13.156074144902295</c:v>
                </c:pt>
                <c:pt idx="4">
                  <c:v>13.039275460465117</c:v>
                </c:pt>
                <c:pt idx="5">
                  <c:v>14.377200665188468</c:v>
                </c:pt>
                <c:pt idx="6">
                  <c:v>12.549558607254045</c:v>
                </c:pt>
                <c:pt idx="7">
                  <c:v>10.247498145243844</c:v>
                </c:pt>
                <c:pt idx="8">
                  <c:v>19.263481948297212</c:v>
                </c:pt>
                <c:pt idx="9">
                  <c:v>8.8753948051948051</c:v>
                </c:pt>
                <c:pt idx="10">
                  <c:v>8.5621743135589963</c:v>
                </c:pt>
                <c:pt idx="11">
                  <c:v>9.8727930381638842</c:v>
                </c:pt>
                <c:pt idx="12">
                  <c:v>10.604504169022141</c:v>
                </c:pt>
                <c:pt idx="13">
                  <c:v>9.9</c:v>
                </c:pt>
              </c:numCache>
            </c:numRef>
          </c:val>
          <c:extLst>
            <c:ext xmlns:c16="http://schemas.microsoft.com/office/drawing/2014/chart" uri="{C3380CC4-5D6E-409C-BE32-E72D297353CC}">
              <c16:uniqueId val="{00000000-FEAC-584F-8901-D3BED2130304}"/>
            </c:ext>
          </c:extLst>
        </c:ser>
        <c:ser>
          <c:idx val="9"/>
          <c:order val="1"/>
          <c:tx>
            <c:strRef>
              <c:f>Funding!$B$11</c:f>
              <c:strCache>
                <c:ptCount val="1"/>
                <c:pt idx="0">
                  <c:v>Equipment Reset and Readiness</c:v>
                </c:pt>
              </c:strCache>
            </c:strRef>
          </c:tx>
          <c:spPr>
            <a:solidFill>
              <a:srgbClr val="C00000"/>
            </a:solidFill>
            <a:ln>
              <a:noFill/>
            </a:ln>
            <a:effectLst/>
          </c:spPr>
          <c:invertIfNegative val="0"/>
          <c:cat>
            <c:numRef>
              <c:f>Funding!$C$4:$P$4</c:f>
              <c:numCache>
                <c:formatCode>General</c:formatCode>
                <c:ptCount val="14"/>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numCache>
            </c:numRef>
          </c:cat>
          <c:val>
            <c:numRef>
              <c:f>Funding!$C$11:$P$11</c:f>
              <c:numCache>
                <c:formatCode>#0;[Red]\-#0;\-</c:formatCode>
                <c:ptCount val="14"/>
                <c:pt idx="0">
                  <c:v>23.91746543406423</c:v>
                </c:pt>
                <c:pt idx="1">
                  <c:v>44.021652437700901</c:v>
                </c:pt>
                <c:pt idx="2">
                  <c:v>60.00084377397085</c:v>
                </c:pt>
                <c:pt idx="3">
                  <c:v>27.21880768758399</c:v>
                </c:pt>
                <c:pt idx="4">
                  <c:v>21.770933134883723</c:v>
                </c:pt>
                <c:pt idx="5">
                  <c:v>24.418420177383588</c:v>
                </c:pt>
                <c:pt idx="6">
                  <c:v>14.566451954848446</c:v>
                </c:pt>
                <c:pt idx="7">
                  <c:v>12.230884883032974</c:v>
                </c:pt>
                <c:pt idx="8">
                  <c:v>9.523519165450308</c:v>
                </c:pt>
                <c:pt idx="9">
                  <c:v>8.8753948051948051</c:v>
                </c:pt>
                <c:pt idx="10">
                  <c:v>12.261879263862268</c:v>
                </c:pt>
                <c:pt idx="11">
                  <c:v>10.496337861626865</c:v>
                </c:pt>
                <c:pt idx="12">
                  <c:v>9.278941147894372</c:v>
                </c:pt>
                <c:pt idx="13">
                  <c:v>8.6999999999999993</c:v>
                </c:pt>
              </c:numCache>
            </c:numRef>
          </c:val>
          <c:extLst>
            <c:ext xmlns:c16="http://schemas.microsoft.com/office/drawing/2014/chart" uri="{C3380CC4-5D6E-409C-BE32-E72D297353CC}">
              <c16:uniqueId val="{00000001-FEAC-584F-8901-D3BED2130304}"/>
            </c:ext>
          </c:extLst>
        </c:ser>
        <c:ser>
          <c:idx val="1"/>
          <c:order val="2"/>
          <c:tx>
            <c:strRef>
              <c:f>Funding!$B$6</c:f>
              <c:strCache>
                <c:ptCount val="1"/>
                <c:pt idx="0">
                  <c:v>In-Theater Support </c:v>
                </c:pt>
              </c:strCache>
            </c:strRef>
          </c:tx>
          <c:spPr>
            <a:solidFill>
              <a:schemeClr val="accent6"/>
            </a:solidFill>
            <a:ln>
              <a:noFill/>
            </a:ln>
            <a:effectLst/>
          </c:spPr>
          <c:invertIfNegative val="0"/>
          <c:cat>
            <c:numRef>
              <c:f>Funding!$C$4:$P$4</c:f>
              <c:numCache>
                <c:formatCode>General</c:formatCode>
                <c:ptCount val="14"/>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numCache>
            </c:numRef>
          </c:cat>
          <c:val>
            <c:numRef>
              <c:f>Funding!$C$6:$P$6</c:f>
              <c:numCache>
                <c:formatCode>#0;[Red]\-#0;\-</c:formatCode>
                <c:ptCount val="14"/>
                <c:pt idx="0">
                  <c:v>1.1497942997136057</c:v>
                </c:pt>
                <c:pt idx="1">
                  <c:v>1.2127176980082894</c:v>
                </c:pt>
                <c:pt idx="2">
                  <c:v>2.0198303844703061</c:v>
                </c:pt>
                <c:pt idx="3">
                  <c:v>1.6794338585810056</c:v>
                </c:pt>
                <c:pt idx="4">
                  <c:v>1.3970652279069768</c:v>
                </c:pt>
                <c:pt idx="5">
                  <c:v>1.0269429046563192</c:v>
                </c:pt>
                <c:pt idx="6">
                  <c:v>0.44819852168764451</c:v>
                </c:pt>
                <c:pt idx="7">
                  <c:v>26.114592047556894</c:v>
                </c:pt>
                <c:pt idx="8">
                  <c:v>21.752583548358089</c:v>
                </c:pt>
                <c:pt idx="9">
                  <c:v>21.600358441558441</c:v>
                </c:pt>
                <c:pt idx="10">
                  <c:v>15.644466646996687</c:v>
                </c:pt>
                <c:pt idx="11">
                  <c:v>19.849510213571598</c:v>
                </c:pt>
                <c:pt idx="12">
                  <c:v>19.577546158194721</c:v>
                </c:pt>
                <c:pt idx="13">
                  <c:v>20</c:v>
                </c:pt>
              </c:numCache>
            </c:numRef>
          </c:val>
          <c:extLst>
            <c:ext xmlns:c16="http://schemas.microsoft.com/office/drawing/2014/chart" uri="{C3380CC4-5D6E-409C-BE32-E72D297353CC}">
              <c16:uniqueId val="{00000002-FEAC-584F-8901-D3BED2130304}"/>
            </c:ext>
          </c:extLst>
        </c:ser>
        <c:ser>
          <c:idx val="2"/>
          <c:order val="3"/>
          <c:tx>
            <c:strRef>
              <c:f>Funding!$B$7</c:f>
              <c:strCache>
                <c:ptCount val="1"/>
                <c:pt idx="0">
                  <c:v>Joint Improvised Explosive Device (IED) Defeat</c:v>
                </c:pt>
              </c:strCache>
            </c:strRef>
          </c:tx>
          <c:spPr>
            <a:solidFill>
              <a:schemeClr val="accent2"/>
            </a:solidFill>
            <a:ln>
              <a:noFill/>
            </a:ln>
            <a:effectLst/>
          </c:spPr>
          <c:invertIfNegative val="0"/>
          <c:cat>
            <c:numRef>
              <c:f>Funding!$C$4:$P$4</c:f>
              <c:numCache>
                <c:formatCode>General</c:formatCode>
                <c:ptCount val="14"/>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numCache>
            </c:numRef>
          </c:cat>
          <c:val>
            <c:numRef>
              <c:f>Funding!$C$7:$P$7</c:f>
              <c:numCache>
                <c:formatCode>#0;[Red]\-#0;\-</c:formatCode>
                <c:ptCount val="14"/>
                <c:pt idx="0">
                  <c:v>4.1332800503247498</c:v>
                </c:pt>
                <c:pt idx="1">
                  <c:v>5.3359578712364737</c:v>
                </c:pt>
                <c:pt idx="2">
                  <c:v>4.9901691851619328</c:v>
                </c:pt>
                <c:pt idx="3">
                  <c:v>4.1105024510723913</c:v>
                </c:pt>
                <c:pt idx="4">
                  <c:v>2.561286251162791</c:v>
                </c:pt>
                <c:pt idx="5">
                  <c:v>3.7654573170731704</c:v>
                </c:pt>
                <c:pt idx="6">
                  <c:v>2.6891911301258666</c:v>
                </c:pt>
                <c:pt idx="7">
                  <c:v>1.7630104335903387</c:v>
                </c:pt>
                <c:pt idx="8">
                  <c:v>0.97399627828469049</c:v>
                </c:pt>
                <c:pt idx="9">
                  <c:v>0.74852727272727271</c:v>
                </c:pt>
                <c:pt idx="10">
                  <c:v>0.42282342289180236</c:v>
                </c:pt>
                <c:pt idx="11">
                  <c:v>0.51962068621915181</c:v>
                </c:pt>
                <c:pt idx="12">
                  <c:v>0.50983193120298753</c:v>
                </c:pt>
                <c:pt idx="13">
                  <c:v>0.6</c:v>
                </c:pt>
              </c:numCache>
            </c:numRef>
          </c:val>
          <c:extLst>
            <c:ext xmlns:c16="http://schemas.microsoft.com/office/drawing/2014/chart" uri="{C3380CC4-5D6E-409C-BE32-E72D297353CC}">
              <c16:uniqueId val="{00000003-FEAC-584F-8901-D3BED2130304}"/>
            </c:ext>
          </c:extLst>
        </c:ser>
        <c:ser>
          <c:idx val="16"/>
          <c:order val="4"/>
          <c:tx>
            <c:strRef>
              <c:f>Funding!$B$16</c:f>
              <c:strCache>
                <c:ptCount val="1"/>
                <c:pt idx="0">
                  <c:v>OCO for Base</c:v>
                </c:pt>
              </c:strCache>
            </c:strRef>
          </c:tx>
          <c:spPr>
            <a:solidFill>
              <a:schemeClr val="accent5">
                <a:lumMod val="80000"/>
                <a:lumOff val="20000"/>
              </a:schemeClr>
            </a:solidFill>
            <a:ln>
              <a:noFill/>
            </a:ln>
            <a:effectLst/>
          </c:spPr>
          <c:invertIfNegative val="0"/>
          <c:cat>
            <c:numRef>
              <c:f>Funding!$C$4:$P$4</c:f>
              <c:numCache>
                <c:formatCode>General</c:formatCode>
                <c:ptCount val="14"/>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numCache>
            </c:numRef>
          </c:cat>
          <c:val>
            <c:numRef>
              <c:f>Funding!$C$16:$P$16</c:f>
              <c:numCache>
                <c:formatCode>#0;[Red]\-#0;\-</c:formatCode>
                <c:ptCount val="14"/>
                <c:pt idx="0">
                  <c:v>0</c:v>
                </c:pt>
                <c:pt idx="1">
                  <c:v>0</c:v>
                </c:pt>
                <c:pt idx="2">
                  <c:v>0</c:v>
                </c:pt>
                <c:pt idx="3">
                  <c:v>0</c:v>
                </c:pt>
                <c:pt idx="4">
                  <c:v>0</c:v>
                </c:pt>
                <c:pt idx="5">
                  <c:v>0</c:v>
                </c:pt>
                <c:pt idx="6">
                  <c:v>0</c:v>
                </c:pt>
                <c:pt idx="7">
                  <c:v>0</c:v>
                </c:pt>
                <c:pt idx="8">
                  <c:v>0</c:v>
                </c:pt>
                <c:pt idx="9">
                  <c:v>2.4594467532467532</c:v>
                </c:pt>
                <c:pt idx="10">
                  <c:v>8.1393508906671954</c:v>
                </c:pt>
                <c:pt idx="11">
                  <c:v>19.225965390108616</c:v>
                </c:pt>
                <c:pt idx="12">
                  <c:v>17.742151205863966</c:v>
                </c:pt>
                <c:pt idx="13">
                  <c:v>0</c:v>
                </c:pt>
              </c:numCache>
            </c:numRef>
          </c:val>
          <c:extLst>
            <c:ext xmlns:c16="http://schemas.microsoft.com/office/drawing/2014/chart" uri="{C3380CC4-5D6E-409C-BE32-E72D297353CC}">
              <c16:uniqueId val="{00000004-FEAC-584F-8901-D3BED2130304}"/>
            </c:ext>
          </c:extLst>
        </c:ser>
        <c:ser>
          <c:idx val="14"/>
          <c:order val="5"/>
          <c:tx>
            <c:strRef>
              <c:f>Funding!$B$14</c:f>
              <c:strCache>
                <c:ptCount val="1"/>
                <c:pt idx="0">
                  <c:v>Forces and Infrastructure</c:v>
                </c:pt>
              </c:strCache>
            </c:strRef>
          </c:tx>
          <c:spPr>
            <a:solidFill>
              <a:schemeClr val="accent1">
                <a:lumMod val="75000"/>
              </a:schemeClr>
            </a:solidFill>
            <a:ln>
              <a:noFill/>
            </a:ln>
            <a:effectLst/>
          </c:spPr>
          <c:invertIfNegative val="0"/>
          <c:cat>
            <c:numRef>
              <c:f>Funding!$C$4:$P$4</c:f>
              <c:numCache>
                <c:formatCode>General</c:formatCode>
                <c:ptCount val="14"/>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numCache>
            </c:numRef>
          </c:cat>
          <c:val>
            <c:numRef>
              <c:f>Funding!$C$14:$P$14</c:f>
              <c:numCache>
                <c:formatCode>#0;[Red]\-#0;\-</c:formatCode>
                <c:ptCount val="14"/>
                <c:pt idx="0">
                  <c:v>6.4961509362367398</c:v>
                </c:pt>
                <c:pt idx="1">
                  <c:v>8.3677521162571971</c:v>
                </c:pt>
                <c:pt idx="2">
                  <c:v>4.3961014250236072</c:v>
                </c:pt>
                <c:pt idx="3">
                  <c:v>7.332666601004453</c:v>
                </c:pt>
                <c:pt idx="4">
                  <c:v>2.2120199441860464</c:v>
                </c:pt>
                <c:pt idx="5">
                  <c:v>1.3692572062084256</c:v>
                </c:pt>
                <c:pt idx="6">
                  <c:v>0.33614889126573333</c:v>
                </c:pt>
                <c:pt idx="7">
                  <c:v>0.22037630419879234</c:v>
                </c:pt>
                <c:pt idx="8">
                  <c:v>0</c:v>
                </c:pt>
                <c:pt idx="9">
                  <c:v>0</c:v>
                </c:pt>
                <c:pt idx="10">
                  <c:v>0</c:v>
                </c:pt>
                <c:pt idx="11">
                  <c:v>0</c:v>
                </c:pt>
                <c:pt idx="12">
                  <c:v>0</c:v>
                </c:pt>
                <c:pt idx="13">
                  <c:v>0</c:v>
                </c:pt>
              </c:numCache>
            </c:numRef>
          </c:val>
          <c:extLst>
            <c:ext xmlns:c16="http://schemas.microsoft.com/office/drawing/2014/chart" uri="{C3380CC4-5D6E-409C-BE32-E72D297353CC}">
              <c16:uniqueId val="{00000005-FEAC-584F-8901-D3BED2130304}"/>
            </c:ext>
          </c:extLst>
        </c:ser>
        <c:ser>
          <c:idx val="0"/>
          <c:order val="6"/>
          <c:tx>
            <c:strRef>
              <c:f>Funding!$B$13</c:f>
              <c:strCache>
                <c:ptCount val="1"/>
                <c:pt idx="0">
                  <c:v>Security Cooperation (ERI, CTPF)</c:v>
                </c:pt>
              </c:strCache>
            </c:strRef>
          </c:tx>
          <c:spPr>
            <a:solidFill>
              <a:schemeClr val="accent4">
                <a:lumMod val="60000"/>
                <a:lumOff val="40000"/>
              </a:schemeClr>
            </a:solidFill>
            <a:ln>
              <a:noFill/>
            </a:ln>
            <a:effectLst/>
          </c:spPr>
          <c:invertIfNegative val="0"/>
          <c:cat>
            <c:numRef>
              <c:f>Funding!$C$4:$P$4</c:f>
              <c:numCache>
                <c:formatCode>General</c:formatCode>
                <c:ptCount val="14"/>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numCache>
            </c:numRef>
          </c:cat>
          <c:val>
            <c:numRef>
              <c:f>Funding!$C$13:$P$13</c:f>
              <c:numCache>
                <c:formatCode>#0;[Red]\-#0;\-</c:formatCode>
                <c:ptCount val="14"/>
                <c:pt idx="0">
                  <c:v>0</c:v>
                </c:pt>
                <c:pt idx="1">
                  <c:v>0</c:v>
                </c:pt>
                <c:pt idx="2">
                  <c:v>0</c:v>
                </c:pt>
                <c:pt idx="3">
                  <c:v>0</c:v>
                </c:pt>
                <c:pt idx="4">
                  <c:v>0</c:v>
                </c:pt>
                <c:pt idx="5">
                  <c:v>0</c:v>
                </c:pt>
                <c:pt idx="6">
                  <c:v>0</c:v>
                </c:pt>
                <c:pt idx="7">
                  <c:v>0</c:v>
                </c:pt>
                <c:pt idx="8">
                  <c:v>0</c:v>
                </c:pt>
                <c:pt idx="9">
                  <c:v>1.9247844155844158</c:v>
                </c:pt>
                <c:pt idx="10">
                  <c:v>2.0084112587360612</c:v>
                </c:pt>
                <c:pt idx="11">
                  <c:v>4.5726620387285353</c:v>
                </c:pt>
                <c:pt idx="12">
                  <c:v>5.8120840157140581</c:v>
                </c:pt>
                <c:pt idx="13">
                  <c:v>7.4</c:v>
                </c:pt>
              </c:numCache>
            </c:numRef>
          </c:val>
          <c:extLst>
            <c:ext xmlns:c16="http://schemas.microsoft.com/office/drawing/2014/chart" uri="{C3380CC4-5D6E-409C-BE32-E72D297353CC}">
              <c16:uniqueId val="{00000006-FEAC-584F-8901-D3BED2130304}"/>
            </c:ext>
          </c:extLst>
        </c:ser>
        <c:dLbls>
          <c:showLegendKey val="0"/>
          <c:showVal val="0"/>
          <c:showCatName val="0"/>
          <c:showSerName val="0"/>
          <c:showPercent val="0"/>
          <c:showBubbleSize val="0"/>
        </c:dLbls>
        <c:gapWidth val="68"/>
        <c:overlap val="100"/>
        <c:axId val="-644445904"/>
        <c:axId val="-629091808"/>
      </c:barChart>
      <c:catAx>
        <c:axId val="-64444590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629091808"/>
        <c:crosses val="autoZero"/>
        <c:auto val="1"/>
        <c:lblAlgn val="ctr"/>
        <c:lblOffset val="100"/>
        <c:noMultiLvlLbl val="0"/>
      </c:catAx>
      <c:valAx>
        <c:axId val="-629091808"/>
        <c:scaling>
          <c:orientation val="minMax"/>
          <c:max val="11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a:t>OCO Funding</a:t>
                </a:r>
              </a:p>
            </c:rich>
          </c:tx>
          <c:layout>
            <c:manualLayout>
              <c:xMode val="edge"/>
              <c:yMode val="edge"/>
              <c:x val="7.1704251358081896E-3"/>
              <c:y val="0.30763424871259398"/>
            </c:manualLayout>
          </c:layout>
          <c:overlay val="0"/>
          <c:spPr>
            <a:noFill/>
            <a:ln>
              <a:noFill/>
            </a:ln>
            <a:effectLst/>
          </c:spPr>
          <c:txPr>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0.0;[Red]\-#0.0;\-" sourceLinked="0"/>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644445904"/>
        <c:crosses val="autoZero"/>
        <c:crossBetween val="between"/>
      </c:valAx>
      <c:spPr>
        <a:noFill/>
        <a:ln>
          <a:solidFill>
            <a:schemeClr val="tx1"/>
          </a:solidFill>
        </a:ln>
        <a:effectLst/>
      </c:spPr>
    </c:plotArea>
    <c:legend>
      <c:legendPos val="b"/>
      <c:layout>
        <c:manualLayout>
          <c:xMode val="edge"/>
          <c:yMode val="edge"/>
          <c:x val="0.699296564805309"/>
          <c:y val="8.5795609913409995E-2"/>
          <c:w val="0.281115013719273"/>
          <c:h val="0.28753728259057099"/>
        </c:manualLayout>
      </c:layout>
      <c:overlay val="0"/>
      <c:spPr>
        <a:solidFill>
          <a:schemeClr val="bg1"/>
        </a:solid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800"/>
      </a:pPr>
      <a:endParaRPr lang="en-US"/>
    </a:p>
  </c:txPr>
  <c:printSettings>
    <c:headerFooter/>
    <c:pageMargins b="0.75" l="0.7" r="0.7" t="0.75" header="0.3" footer="0.3"/>
    <c:pageSetup orientation="portrait" horizontalDpi="0" verticalDpi="0"/>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7311514564772097E-2"/>
          <c:y val="2.4416622922134701E-2"/>
          <c:w val="0.87666553447440698"/>
          <c:h val="0.89927689512183795"/>
        </c:manualLayout>
      </c:layout>
      <c:barChart>
        <c:barDir val="col"/>
        <c:grouping val="stacked"/>
        <c:varyColors val="0"/>
        <c:ser>
          <c:idx val="1"/>
          <c:order val="0"/>
          <c:tx>
            <c:strRef>
              <c:f>Funding!$B$6</c:f>
              <c:strCache>
                <c:ptCount val="1"/>
                <c:pt idx="0">
                  <c:v>In-Theater Support </c:v>
                </c:pt>
              </c:strCache>
            </c:strRef>
          </c:tx>
          <c:spPr>
            <a:solidFill>
              <a:schemeClr val="accent6"/>
            </a:solidFill>
            <a:ln>
              <a:solidFill>
                <a:schemeClr val="accent6"/>
              </a:solidFill>
              <a:prstDash val="solid"/>
            </a:ln>
            <a:effectLst/>
          </c:spPr>
          <c:invertIfNegative val="0"/>
          <c:cat>
            <c:numRef>
              <c:f>Funding!$C$4:$P$4</c:f>
              <c:numCache>
                <c:formatCode>General</c:formatCode>
                <c:ptCount val="14"/>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numCache>
            </c:numRef>
          </c:cat>
          <c:val>
            <c:numRef>
              <c:f>Funding!$C$6:$P$6</c:f>
              <c:numCache>
                <c:formatCode>#0;[Red]\-#0;\-</c:formatCode>
                <c:ptCount val="14"/>
                <c:pt idx="0">
                  <c:v>1.1497942997136057</c:v>
                </c:pt>
                <c:pt idx="1">
                  <c:v>1.2127176980082894</c:v>
                </c:pt>
                <c:pt idx="2">
                  <c:v>2.0198303844703061</c:v>
                </c:pt>
                <c:pt idx="3">
                  <c:v>1.6794338585810056</c:v>
                </c:pt>
                <c:pt idx="4">
                  <c:v>1.3970652279069768</c:v>
                </c:pt>
                <c:pt idx="5">
                  <c:v>1.0269429046563192</c:v>
                </c:pt>
                <c:pt idx="6">
                  <c:v>0.44819852168764451</c:v>
                </c:pt>
                <c:pt idx="7">
                  <c:v>26.114592047556894</c:v>
                </c:pt>
                <c:pt idx="8">
                  <c:v>21.752583548358089</c:v>
                </c:pt>
                <c:pt idx="9">
                  <c:v>21.600358441558441</c:v>
                </c:pt>
                <c:pt idx="10">
                  <c:v>15.644466646996687</c:v>
                </c:pt>
                <c:pt idx="11">
                  <c:v>19.849510213571598</c:v>
                </c:pt>
                <c:pt idx="12">
                  <c:v>19.577546158194721</c:v>
                </c:pt>
                <c:pt idx="13">
                  <c:v>20</c:v>
                </c:pt>
              </c:numCache>
            </c:numRef>
          </c:val>
          <c:extLst>
            <c:ext xmlns:c16="http://schemas.microsoft.com/office/drawing/2014/chart" uri="{C3380CC4-5D6E-409C-BE32-E72D297353CC}">
              <c16:uniqueId val="{00000000-F39D-8E42-BFBB-9EBE9F87BF59}"/>
            </c:ext>
          </c:extLst>
        </c:ser>
        <c:ser>
          <c:idx val="3"/>
          <c:order val="1"/>
          <c:tx>
            <c:strRef>
              <c:f>Funding!$B$5</c:f>
              <c:strCache>
                <c:ptCount val="1"/>
                <c:pt idx="0">
                  <c:v>Operations/Force Protection </c:v>
                </c:pt>
              </c:strCache>
            </c:strRef>
          </c:tx>
          <c:spPr>
            <a:solidFill>
              <a:schemeClr val="accent6">
                <a:lumMod val="40000"/>
                <a:lumOff val="60000"/>
              </a:schemeClr>
            </a:solidFill>
            <a:ln>
              <a:solidFill>
                <a:schemeClr val="accent6">
                  <a:lumMod val="40000"/>
                  <a:lumOff val="60000"/>
                </a:schemeClr>
              </a:solidFill>
              <a:prstDash val="sysDash"/>
            </a:ln>
            <a:effectLst/>
          </c:spPr>
          <c:invertIfNegative val="0"/>
          <c:cat>
            <c:numRef>
              <c:f>Funding!$C$4:$P$4</c:f>
              <c:numCache>
                <c:formatCode>General</c:formatCode>
                <c:ptCount val="14"/>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numCache>
            </c:numRef>
          </c:cat>
          <c:val>
            <c:numRef>
              <c:f>Funding!$C$5:$P$5</c:f>
              <c:numCache>
                <c:formatCode>#0;[Red]\-#0;\-</c:formatCode>
                <c:ptCount val="14"/>
                <c:pt idx="0">
                  <c:v>90.334841099871809</c:v>
                </c:pt>
                <c:pt idx="1">
                  <c:v>107.93187512273775</c:v>
                </c:pt>
                <c:pt idx="2">
                  <c:v>120.47694175605237</c:v>
                </c:pt>
                <c:pt idx="3">
                  <c:v>106.32495758676345</c:v>
                </c:pt>
                <c:pt idx="4">
                  <c:v>130.39275460465117</c:v>
                </c:pt>
                <c:pt idx="5">
                  <c:v>115.70223392461197</c:v>
                </c:pt>
                <c:pt idx="6">
                  <c:v>74.737103491414715</c:v>
                </c:pt>
                <c:pt idx="7">
                  <c:v>30.522118131532736</c:v>
                </c:pt>
                <c:pt idx="8">
                  <c:v>28.354113878954323</c:v>
                </c:pt>
                <c:pt idx="9">
                  <c:v>12.724963636363636</c:v>
                </c:pt>
                <c:pt idx="10">
                  <c:v>9.3021153036196527</c:v>
                </c:pt>
                <c:pt idx="11">
                  <c:v>14.029758527917098</c:v>
                </c:pt>
                <c:pt idx="12">
                  <c:v>13.153663825037079</c:v>
                </c:pt>
                <c:pt idx="13">
                  <c:v>14.7</c:v>
                </c:pt>
              </c:numCache>
            </c:numRef>
          </c:val>
          <c:extLst>
            <c:ext xmlns:c16="http://schemas.microsoft.com/office/drawing/2014/chart" uri="{C3380CC4-5D6E-409C-BE32-E72D297353CC}">
              <c16:uniqueId val="{00000001-F39D-8E42-BFBB-9EBE9F87BF59}"/>
            </c:ext>
          </c:extLst>
        </c:ser>
        <c:dLbls>
          <c:showLegendKey val="0"/>
          <c:showVal val="0"/>
          <c:showCatName val="0"/>
          <c:showSerName val="0"/>
          <c:showPercent val="0"/>
          <c:showBubbleSize val="0"/>
        </c:dLbls>
        <c:gapWidth val="150"/>
        <c:overlap val="100"/>
        <c:axId val="-644781328"/>
        <c:axId val="-644779008"/>
      </c:barChart>
      <c:catAx>
        <c:axId val="-644781328"/>
        <c:scaling>
          <c:orientation val="minMax"/>
        </c:scaling>
        <c:delete val="0"/>
        <c:axPos val="b"/>
        <c:numFmt formatCode="General" sourceLinked="1"/>
        <c:majorTickMark val="none"/>
        <c:minorTickMark val="none"/>
        <c:tickLblPos val="low"/>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644779008"/>
        <c:crosses val="autoZero"/>
        <c:auto val="1"/>
        <c:lblAlgn val="ctr"/>
        <c:lblOffset val="100"/>
        <c:noMultiLvlLbl val="0"/>
      </c:catAx>
      <c:valAx>
        <c:axId val="-6447790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a:t>OCO Funding</a:t>
                </a:r>
                <a:r>
                  <a:rPr lang="en-US" sz="1800" baseline="0"/>
                  <a:t> </a:t>
                </a:r>
                <a:endParaRPr lang="en-US" sz="1800"/>
              </a:p>
            </c:rich>
          </c:tx>
          <c:layout>
            <c:manualLayout>
              <c:xMode val="edge"/>
              <c:yMode val="edge"/>
              <c:x val="3.3085267975331801E-3"/>
              <c:y val="0.38743381194138898"/>
            </c:manualLayout>
          </c:layout>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0;[Red]\-#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644781328"/>
        <c:crosses val="autoZero"/>
        <c:crossBetween val="between"/>
      </c:valAx>
      <c:spPr>
        <a:noFill/>
        <a:ln>
          <a:solidFill>
            <a:schemeClr val="tx1"/>
          </a:solidFill>
        </a:ln>
        <a:effectLst/>
      </c:spPr>
    </c:plotArea>
    <c:legend>
      <c:legendPos val="b"/>
      <c:layout>
        <c:manualLayout>
          <c:xMode val="edge"/>
          <c:yMode val="edge"/>
          <c:x val="0.71147856076619598"/>
          <c:y val="5.8469291338582703E-2"/>
          <c:w val="0.239911309111877"/>
          <c:h val="0.132523762262855"/>
        </c:manualLayout>
      </c:layout>
      <c:overlay val="0"/>
      <c:spPr>
        <a:solidFill>
          <a:schemeClr val="bg1"/>
        </a:solid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horizontalDpi="0" verticalDpi="0"/>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t>Enduring OCO Costs</a:t>
            </a:r>
          </a:p>
        </c:rich>
      </c:tx>
      <c:layout>
        <c:manualLayout>
          <c:xMode val="edge"/>
          <c:yMode val="edge"/>
          <c:x val="0.70770015710610801"/>
          <c:y val="3.3813377969023603E-2"/>
        </c:manualLayout>
      </c:layout>
      <c:overlay val="1"/>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5413453245114"/>
          <c:y val="1.48737815758832E-2"/>
          <c:w val="0.88366517387386201"/>
          <c:h val="0.89927689512183795"/>
        </c:manualLayout>
      </c:layout>
      <c:areaChart>
        <c:grouping val="stacked"/>
        <c:varyColors val="0"/>
        <c:ser>
          <c:idx val="3"/>
          <c:order val="6"/>
          <c:tx>
            <c:strRef>
              <c:f>Funding!$B$37</c:f>
              <c:strCache>
                <c:ptCount val="1"/>
                <c:pt idx="0">
                  <c:v>Activities Likely to Continue </c:v>
                </c:pt>
              </c:strCache>
            </c:strRef>
          </c:tx>
          <c:spPr>
            <a:solidFill>
              <a:schemeClr val="accent6">
                <a:lumMod val="20000"/>
                <a:lumOff val="80000"/>
                <a:alpha val="50000"/>
              </a:schemeClr>
            </a:solidFill>
            <a:ln w="6350">
              <a:solidFill>
                <a:schemeClr val="bg2">
                  <a:lumMod val="90000"/>
                </a:schemeClr>
              </a:solidFill>
              <a:prstDash val="sysDot"/>
            </a:ln>
            <a:effectLst/>
          </c:spPr>
          <c:cat>
            <c:strRef>
              <c:f>Funding!$C$4:$R$4</c:f>
              <c:strCach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5">
                  <c:v>Total</c:v>
                </c:pt>
              </c:strCache>
            </c:strRef>
          </c:cat>
          <c:val>
            <c:numRef>
              <c:f>Funding!$C$37:$R$37</c:f>
              <c:numCache>
                <c:formatCode>#0;[Red]\-#0;\-</c:formatCode>
                <c:ptCount val="16"/>
                <c:pt idx="0">
                  <c:v>14.302045888420267</c:v>
                </c:pt>
                <c:pt idx="1">
                  <c:v>17.826950160721857</c:v>
                </c:pt>
                <c:pt idx="2">
                  <c:v>20.673558052813718</c:v>
                </c:pt>
                <c:pt idx="3">
                  <c:v>18.94601045455569</c:v>
                </c:pt>
                <c:pt idx="4">
                  <c:v>16.997626939534886</c:v>
                </c:pt>
                <c:pt idx="5">
                  <c:v>19.169600886917959</c:v>
                </c:pt>
                <c:pt idx="6">
                  <c:v>15.686948259067556</c:v>
                </c:pt>
                <c:pt idx="7">
                  <c:v>38.125100626391074</c:v>
                </c:pt>
                <c:pt idx="8">
                  <c:v>41.990061774939988</c:v>
                </c:pt>
                <c:pt idx="9">
                  <c:v>33.149064935064935</c:v>
                </c:pt>
                <c:pt idx="10">
                  <c:v>26.637875642183545</c:v>
                </c:pt>
                <c:pt idx="11">
                  <c:v>34.814585976683169</c:v>
                </c:pt>
                <c:pt idx="12">
                  <c:v>36.503966274133909</c:v>
                </c:pt>
                <c:pt idx="13">
                  <c:v>37.9</c:v>
                </c:pt>
                <c:pt idx="14">
                  <c:v>30</c:v>
                </c:pt>
                <c:pt idx="15" formatCode="General">
                  <c:v>30</c:v>
                </c:pt>
              </c:numCache>
            </c:numRef>
          </c:val>
          <c:extLst>
            <c:ext xmlns:c16="http://schemas.microsoft.com/office/drawing/2014/chart" uri="{C3380CC4-5D6E-409C-BE32-E72D297353CC}">
              <c16:uniqueId val="{00000000-F7BE-694D-8660-A49169D19C11}"/>
            </c:ext>
          </c:extLst>
        </c:ser>
        <c:ser>
          <c:idx val="4"/>
          <c:order val="7"/>
          <c:tx>
            <c:strRef>
              <c:f>Funding!$B$38</c:f>
              <c:strCache>
                <c:ptCount val="1"/>
                <c:pt idx="0">
                  <c:v>Investment Funding with Long-term Effects</c:v>
                </c:pt>
              </c:strCache>
            </c:strRef>
          </c:tx>
          <c:spPr>
            <a:solidFill>
              <a:schemeClr val="accent4">
                <a:lumMod val="20000"/>
                <a:lumOff val="80000"/>
                <a:alpha val="50000"/>
              </a:schemeClr>
            </a:solidFill>
            <a:ln w="9525">
              <a:solidFill>
                <a:schemeClr val="bg2">
                  <a:lumMod val="90000"/>
                </a:schemeClr>
              </a:solidFill>
              <a:prstDash val="sysDot"/>
            </a:ln>
            <a:effectLst/>
          </c:spPr>
          <c:cat>
            <c:strRef>
              <c:f>Funding!$C$4:$R$4</c:f>
              <c:strCach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5">
                  <c:v>Total</c:v>
                </c:pt>
              </c:strCache>
            </c:strRef>
          </c:cat>
          <c:val>
            <c:numRef>
              <c:f>Funding!$C$38:$R$38</c:f>
              <c:numCache>
                <c:formatCode>#0;[Red]\-#0;\-</c:formatCode>
                <c:ptCount val="16"/>
                <c:pt idx="0">
                  <c:v>30.413616370300971</c:v>
                </c:pt>
                <c:pt idx="1">
                  <c:v>52.389404553958101</c:v>
                </c:pt>
                <c:pt idx="2">
                  <c:v>64.396945198994459</c:v>
                </c:pt>
                <c:pt idx="3">
                  <c:v>34.551474288588444</c:v>
                </c:pt>
                <c:pt idx="4">
                  <c:v>23.98295307906977</c:v>
                </c:pt>
                <c:pt idx="5">
                  <c:v>25.787677383592012</c:v>
                </c:pt>
                <c:pt idx="6">
                  <c:v>14.902600846114179</c:v>
                </c:pt>
                <c:pt idx="7">
                  <c:v>12.451261187231767</c:v>
                </c:pt>
                <c:pt idx="8">
                  <c:v>9.523519165450308</c:v>
                </c:pt>
                <c:pt idx="9">
                  <c:v>8.8753948051948051</c:v>
                </c:pt>
                <c:pt idx="10">
                  <c:v>12.261879263862268</c:v>
                </c:pt>
                <c:pt idx="11">
                  <c:v>10.496337861626865</c:v>
                </c:pt>
                <c:pt idx="12">
                  <c:v>9.278941147894372</c:v>
                </c:pt>
                <c:pt idx="13">
                  <c:v>8.6999999999999993</c:v>
                </c:pt>
                <c:pt idx="14">
                  <c:v>20</c:v>
                </c:pt>
                <c:pt idx="15" formatCode="General">
                  <c:v>20</c:v>
                </c:pt>
              </c:numCache>
            </c:numRef>
          </c:val>
          <c:extLst>
            <c:ext xmlns:c16="http://schemas.microsoft.com/office/drawing/2014/chart" uri="{C3380CC4-5D6E-409C-BE32-E72D297353CC}">
              <c16:uniqueId val="{00000001-F7BE-694D-8660-A49169D19C11}"/>
            </c:ext>
          </c:extLst>
        </c:ser>
        <c:ser>
          <c:idx val="5"/>
          <c:order val="9"/>
          <c:tx>
            <c:strRef>
              <c:f>Funding!$B$39</c:f>
              <c:strCache>
                <c:ptCount val="1"/>
                <c:pt idx="0">
                  <c:v>OCO Funding Explicitly Identified for Base-budget Activities</c:v>
                </c:pt>
              </c:strCache>
            </c:strRef>
          </c:tx>
          <c:spPr>
            <a:solidFill>
              <a:schemeClr val="accent5">
                <a:lumMod val="20000"/>
                <a:lumOff val="80000"/>
                <a:alpha val="50000"/>
              </a:schemeClr>
            </a:solidFill>
            <a:ln w="9525">
              <a:solidFill>
                <a:schemeClr val="bg2">
                  <a:lumMod val="90000"/>
                </a:schemeClr>
              </a:solidFill>
              <a:prstDash val="sysDot"/>
            </a:ln>
            <a:effectLst/>
          </c:spPr>
          <c:cat>
            <c:strRef>
              <c:f>Funding!$C$4:$R$4</c:f>
              <c:strCache>
                <c:ptCount val="16"/>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5">
                  <c:v>Total</c:v>
                </c:pt>
              </c:strCache>
            </c:strRef>
          </c:cat>
          <c:val>
            <c:numRef>
              <c:f>Funding!$C$39:$R$39</c:f>
              <c:numCache>
                <c:formatCode>#0;[Red]\-#0;\-</c:formatCode>
                <c:ptCount val="16"/>
                <c:pt idx="0">
                  <c:v>0</c:v>
                </c:pt>
                <c:pt idx="1">
                  <c:v>0</c:v>
                </c:pt>
                <c:pt idx="2">
                  <c:v>0</c:v>
                </c:pt>
                <c:pt idx="3">
                  <c:v>0</c:v>
                </c:pt>
                <c:pt idx="4">
                  <c:v>0</c:v>
                </c:pt>
                <c:pt idx="5">
                  <c:v>0</c:v>
                </c:pt>
                <c:pt idx="6">
                  <c:v>0</c:v>
                </c:pt>
                <c:pt idx="7">
                  <c:v>0</c:v>
                </c:pt>
                <c:pt idx="8">
                  <c:v>0</c:v>
                </c:pt>
                <c:pt idx="9">
                  <c:v>2.4594467532467532</c:v>
                </c:pt>
                <c:pt idx="10">
                  <c:v>8.1393508906671954</c:v>
                </c:pt>
                <c:pt idx="11">
                  <c:v>19.225965390108616</c:v>
                </c:pt>
                <c:pt idx="12">
                  <c:v>17.742151205863966</c:v>
                </c:pt>
                <c:pt idx="13">
                  <c:v>0</c:v>
                </c:pt>
                <c:pt idx="14">
                  <c:v>20</c:v>
                </c:pt>
                <c:pt idx="15" formatCode="General">
                  <c:v>20</c:v>
                </c:pt>
              </c:numCache>
            </c:numRef>
          </c:val>
          <c:extLst>
            <c:ext xmlns:c16="http://schemas.microsoft.com/office/drawing/2014/chart" uri="{C3380CC4-5D6E-409C-BE32-E72D297353CC}">
              <c16:uniqueId val="{00000002-F7BE-694D-8660-A49169D19C11}"/>
            </c:ext>
          </c:extLst>
        </c:ser>
        <c:dLbls>
          <c:showLegendKey val="0"/>
          <c:showVal val="0"/>
          <c:showCatName val="0"/>
          <c:showSerName val="0"/>
          <c:showPercent val="0"/>
          <c:showBubbleSize val="0"/>
        </c:dLbls>
        <c:axId val="-643438896"/>
        <c:axId val="-643718928"/>
      </c:areaChart>
      <c:barChart>
        <c:barDir val="col"/>
        <c:grouping val="stacked"/>
        <c:varyColors val="0"/>
        <c:ser>
          <c:idx val="1"/>
          <c:order val="0"/>
          <c:tx>
            <c:strRef>
              <c:f>Funding!$B$6</c:f>
              <c:strCache>
                <c:ptCount val="1"/>
                <c:pt idx="0">
                  <c:v>In-Theater Support </c:v>
                </c:pt>
              </c:strCache>
            </c:strRef>
          </c:tx>
          <c:spPr>
            <a:solidFill>
              <a:schemeClr val="accent6">
                <a:lumMod val="50000"/>
              </a:schemeClr>
            </a:solidFill>
            <a:ln>
              <a:noFill/>
            </a:ln>
            <a:effectLst/>
          </c:spPr>
          <c:invertIfNegative val="0"/>
          <c:cat>
            <c:numRef>
              <c:f>Funding!$C$36:$P$36</c:f>
              <c:numCache>
                <c:formatCode>#0;[Red]\-#0;\-</c:formatCode>
                <c:ptCount val="14"/>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numCache>
            </c:numRef>
          </c:cat>
          <c:val>
            <c:numRef>
              <c:f>Funding!$C$6:$P$6</c:f>
              <c:numCache>
                <c:formatCode>#0;[Red]\-#0;\-</c:formatCode>
                <c:ptCount val="14"/>
                <c:pt idx="0">
                  <c:v>1.1497942997136057</c:v>
                </c:pt>
                <c:pt idx="1">
                  <c:v>1.2127176980082894</c:v>
                </c:pt>
                <c:pt idx="2">
                  <c:v>2.0198303844703061</c:v>
                </c:pt>
                <c:pt idx="3">
                  <c:v>1.6794338585810056</c:v>
                </c:pt>
                <c:pt idx="4">
                  <c:v>1.3970652279069768</c:v>
                </c:pt>
                <c:pt idx="5">
                  <c:v>1.0269429046563192</c:v>
                </c:pt>
                <c:pt idx="6">
                  <c:v>0.44819852168764451</c:v>
                </c:pt>
                <c:pt idx="7">
                  <c:v>26.114592047556894</c:v>
                </c:pt>
                <c:pt idx="8">
                  <c:v>21.752583548358089</c:v>
                </c:pt>
                <c:pt idx="9">
                  <c:v>21.600358441558441</c:v>
                </c:pt>
                <c:pt idx="10">
                  <c:v>15.644466646996687</c:v>
                </c:pt>
                <c:pt idx="11">
                  <c:v>19.849510213571598</c:v>
                </c:pt>
                <c:pt idx="12">
                  <c:v>19.577546158194721</c:v>
                </c:pt>
                <c:pt idx="13">
                  <c:v>20</c:v>
                </c:pt>
              </c:numCache>
            </c:numRef>
          </c:val>
          <c:extLst>
            <c:ext xmlns:c16="http://schemas.microsoft.com/office/drawing/2014/chart" uri="{C3380CC4-5D6E-409C-BE32-E72D297353CC}">
              <c16:uniqueId val="{00000003-F7BE-694D-8660-A49169D19C11}"/>
            </c:ext>
          </c:extLst>
        </c:ser>
        <c:ser>
          <c:idx val="8"/>
          <c:order val="1"/>
          <c:tx>
            <c:strRef>
              <c:f>Funding!$B$12</c:f>
              <c:strCache>
                <c:ptCount val="1"/>
                <c:pt idx="0">
                  <c:v>Classified and Military Intelligence Programs</c:v>
                </c:pt>
              </c:strCache>
            </c:strRef>
          </c:tx>
          <c:spPr>
            <a:solidFill>
              <a:schemeClr val="accent6">
                <a:lumMod val="75000"/>
              </a:schemeClr>
            </a:solidFill>
            <a:ln>
              <a:noFill/>
            </a:ln>
            <a:effectLst/>
          </c:spPr>
          <c:invertIfNegative val="0"/>
          <c:cat>
            <c:numRef>
              <c:f>Funding!$C$36:$P$36</c:f>
              <c:numCache>
                <c:formatCode>#0;[Red]\-#0;\-</c:formatCode>
                <c:ptCount val="14"/>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numCache>
            </c:numRef>
          </c:cat>
          <c:val>
            <c:numRef>
              <c:f>Funding!$C$12:$P$12</c:f>
              <c:numCache>
                <c:formatCode>#0;[Red]\-#0;\-</c:formatCode>
                <c:ptCount val="14"/>
                <c:pt idx="0">
                  <c:v>9.0189715383819102</c:v>
                </c:pt>
                <c:pt idx="1">
                  <c:v>11.278274591477093</c:v>
                </c:pt>
                <c:pt idx="2">
                  <c:v>13.663558483181481</c:v>
                </c:pt>
                <c:pt idx="3">
                  <c:v>13.156074144902295</c:v>
                </c:pt>
                <c:pt idx="4">
                  <c:v>13.039275460465117</c:v>
                </c:pt>
                <c:pt idx="5">
                  <c:v>14.377200665188468</c:v>
                </c:pt>
                <c:pt idx="6">
                  <c:v>12.549558607254045</c:v>
                </c:pt>
                <c:pt idx="7">
                  <c:v>10.247498145243844</c:v>
                </c:pt>
                <c:pt idx="8">
                  <c:v>19.263481948297212</c:v>
                </c:pt>
                <c:pt idx="9">
                  <c:v>8.8753948051948051</c:v>
                </c:pt>
                <c:pt idx="10">
                  <c:v>8.5621743135589963</c:v>
                </c:pt>
                <c:pt idx="11">
                  <c:v>9.8727930381638842</c:v>
                </c:pt>
                <c:pt idx="12">
                  <c:v>10.604504169022141</c:v>
                </c:pt>
                <c:pt idx="13">
                  <c:v>9.9</c:v>
                </c:pt>
              </c:numCache>
            </c:numRef>
          </c:val>
          <c:extLst>
            <c:ext xmlns:c16="http://schemas.microsoft.com/office/drawing/2014/chart" uri="{C3380CC4-5D6E-409C-BE32-E72D297353CC}">
              <c16:uniqueId val="{00000004-F7BE-694D-8660-A49169D19C11}"/>
            </c:ext>
          </c:extLst>
        </c:ser>
        <c:ser>
          <c:idx val="2"/>
          <c:order val="2"/>
          <c:tx>
            <c:strRef>
              <c:f>Funding!$B$7</c:f>
              <c:strCache>
                <c:ptCount val="1"/>
                <c:pt idx="0">
                  <c:v>Joint Improvised Explosive Device (IED) Defeat</c:v>
                </c:pt>
              </c:strCache>
            </c:strRef>
          </c:tx>
          <c:spPr>
            <a:solidFill>
              <a:schemeClr val="accent6">
                <a:lumMod val="60000"/>
                <a:lumOff val="40000"/>
              </a:schemeClr>
            </a:solidFill>
            <a:ln>
              <a:noFill/>
            </a:ln>
            <a:effectLst/>
          </c:spPr>
          <c:invertIfNegative val="0"/>
          <c:cat>
            <c:numRef>
              <c:f>Funding!$C$36:$P$36</c:f>
              <c:numCache>
                <c:formatCode>#0;[Red]\-#0;\-</c:formatCode>
                <c:ptCount val="14"/>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numCache>
            </c:numRef>
          </c:cat>
          <c:val>
            <c:numRef>
              <c:f>Funding!$C$7:$P$7</c:f>
              <c:numCache>
                <c:formatCode>#0;[Red]\-#0;\-</c:formatCode>
                <c:ptCount val="14"/>
                <c:pt idx="0">
                  <c:v>4.1332800503247498</c:v>
                </c:pt>
                <c:pt idx="1">
                  <c:v>5.3359578712364737</c:v>
                </c:pt>
                <c:pt idx="2">
                  <c:v>4.9901691851619328</c:v>
                </c:pt>
                <c:pt idx="3">
                  <c:v>4.1105024510723913</c:v>
                </c:pt>
                <c:pt idx="4">
                  <c:v>2.561286251162791</c:v>
                </c:pt>
                <c:pt idx="5">
                  <c:v>3.7654573170731704</c:v>
                </c:pt>
                <c:pt idx="6">
                  <c:v>2.6891911301258666</c:v>
                </c:pt>
                <c:pt idx="7">
                  <c:v>1.7630104335903387</c:v>
                </c:pt>
                <c:pt idx="8">
                  <c:v>0.97399627828469049</c:v>
                </c:pt>
                <c:pt idx="9">
                  <c:v>0.74852727272727271</c:v>
                </c:pt>
                <c:pt idx="10">
                  <c:v>0.42282342289180236</c:v>
                </c:pt>
                <c:pt idx="11">
                  <c:v>0.51962068621915181</c:v>
                </c:pt>
                <c:pt idx="12">
                  <c:v>0.50983193120298753</c:v>
                </c:pt>
                <c:pt idx="13">
                  <c:v>0.6</c:v>
                </c:pt>
              </c:numCache>
            </c:numRef>
          </c:val>
          <c:extLst>
            <c:ext xmlns:c16="http://schemas.microsoft.com/office/drawing/2014/chart" uri="{C3380CC4-5D6E-409C-BE32-E72D297353CC}">
              <c16:uniqueId val="{00000005-F7BE-694D-8660-A49169D19C11}"/>
            </c:ext>
          </c:extLst>
        </c:ser>
        <c:ser>
          <c:idx val="0"/>
          <c:order val="3"/>
          <c:tx>
            <c:strRef>
              <c:f>Funding!$B$13</c:f>
              <c:strCache>
                <c:ptCount val="1"/>
                <c:pt idx="0">
                  <c:v>Security Cooperation (ERI, CTPF)</c:v>
                </c:pt>
              </c:strCache>
            </c:strRef>
          </c:tx>
          <c:spPr>
            <a:solidFill>
              <a:schemeClr val="accent6">
                <a:lumMod val="40000"/>
                <a:lumOff val="60000"/>
              </a:schemeClr>
            </a:solidFill>
            <a:ln>
              <a:noFill/>
            </a:ln>
            <a:effectLst/>
          </c:spPr>
          <c:invertIfNegative val="0"/>
          <c:cat>
            <c:numRef>
              <c:f>Funding!$C$36:$P$36</c:f>
              <c:numCache>
                <c:formatCode>#0;[Red]\-#0;\-</c:formatCode>
                <c:ptCount val="14"/>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numCache>
            </c:numRef>
          </c:cat>
          <c:val>
            <c:numRef>
              <c:f>Funding!$C$13:$P$13</c:f>
              <c:numCache>
                <c:formatCode>#0;[Red]\-#0;\-</c:formatCode>
                <c:ptCount val="14"/>
                <c:pt idx="0">
                  <c:v>0</c:v>
                </c:pt>
                <c:pt idx="1">
                  <c:v>0</c:v>
                </c:pt>
                <c:pt idx="2">
                  <c:v>0</c:v>
                </c:pt>
                <c:pt idx="3">
                  <c:v>0</c:v>
                </c:pt>
                <c:pt idx="4">
                  <c:v>0</c:v>
                </c:pt>
                <c:pt idx="5">
                  <c:v>0</c:v>
                </c:pt>
                <c:pt idx="6">
                  <c:v>0</c:v>
                </c:pt>
                <c:pt idx="7">
                  <c:v>0</c:v>
                </c:pt>
                <c:pt idx="8">
                  <c:v>0</c:v>
                </c:pt>
                <c:pt idx="9">
                  <c:v>1.9247844155844158</c:v>
                </c:pt>
                <c:pt idx="10">
                  <c:v>2.0084112587360612</c:v>
                </c:pt>
                <c:pt idx="11">
                  <c:v>4.5726620387285353</c:v>
                </c:pt>
                <c:pt idx="12">
                  <c:v>5.8120840157140581</c:v>
                </c:pt>
                <c:pt idx="13">
                  <c:v>7.4</c:v>
                </c:pt>
              </c:numCache>
            </c:numRef>
          </c:val>
          <c:extLst>
            <c:ext xmlns:c16="http://schemas.microsoft.com/office/drawing/2014/chart" uri="{C3380CC4-5D6E-409C-BE32-E72D297353CC}">
              <c16:uniqueId val="{00000006-F7BE-694D-8660-A49169D19C11}"/>
            </c:ext>
          </c:extLst>
        </c:ser>
        <c:ser>
          <c:idx val="9"/>
          <c:order val="4"/>
          <c:tx>
            <c:strRef>
              <c:f>Funding!$B$11</c:f>
              <c:strCache>
                <c:ptCount val="1"/>
                <c:pt idx="0">
                  <c:v>Equipment Reset and Readiness</c:v>
                </c:pt>
              </c:strCache>
            </c:strRef>
          </c:tx>
          <c:spPr>
            <a:solidFill>
              <a:schemeClr val="accent4">
                <a:lumMod val="50000"/>
              </a:schemeClr>
            </a:solidFill>
            <a:ln>
              <a:noFill/>
            </a:ln>
            <a:effectLst/>
          </c:spPr>
          <c:invertIfNegative val="0"/>
          <c:cat>
            <c:numRef>
              <c:f>Funding!$C$36:$P$36</c:f>
              <c:numCache>
                <c:formatCode>#0;[Red]\-#0;\-</c:formatCode>
                <c:ptCount val="14"/>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numCache>
            </c:numRef>
          </c:cat>
          <c:val>
            <c:numRef>
              <c:f>Funding!$C$11:$P$11</c:f>
              <c:numCache>
                <c:formatCode>#0;[Red]\-#0;\-</c:formatCode>
                <c:ptCount val="14"/>
                <c:pt idx="0">
                  <c:v>23.91746543406423</c:v>
                </c:pt>
                <c:pt idx="1">
                  <c:v>44.021652437700901</c:v>
                </c:pt>
                <c:pt idx="2">
                  <c:v>60.00084377397085</c:v>
                </c:pt>
                <c:pt idx="3">
                  <c:v>27.21880768758399</c:v>
                </c:pt>
                <c:pt idx="4">
                  <c:v>21.770933134883723</c:v>
                </c:pt>
                <c:pt idx="5">
                  <c:v>24.418420177383588</c:v>
                </c:pt>
                <c:pt idx="6">
                  <c:v>14.566451954848446</c:v>
                </c:pt>
                <c:pt idx="7">
                  <c:v>12.230884883032974</c:v>
                </c:pt>
                <c:pt idx="8">
                  <c:v>9.523519165450308</c:v>
                </c:pt>
                <c:pt idx="9">
                  <c:v>8.8753948051948051</c:v>
                </c:pt>
                <c:pt idx="10">
                  <c:v>12.261879263862268</c:v>
                </c:pt>
                <c:pt idx="11">
                  <c:v>10.496337861626865</c:v>
                </c:pt>
                <c:pt idx="12">
                  <c:v>9.278941147894372</c:v>
                </c:pt>
                <c:pt idx="13">
                  <c:v>8.6999999999999993</c:v>
                </c:pt>
              </c:numCache>
            </c:numRef>
          </c:val>
          <c:extLst>
            <c:ext xmlns:c16="http://schemas.microsoft.com/office/drawing/2014/chart" uri="{C3380CC4-5D6E-409C-BE32-E72D297353CC}">
              <c16:uniqueId val="{00000007-F7BE-694D-8660-A49169D19C11}"/>
            </c:ext>
          </c:extLst>
        </c:ser>
        <c:ser>
          <c:idx val="14"/>
          <c:order val="5"/>
          <c:tx>
            <c:strRef>
              <c:f>Funding!$B$14</c:f>
              <c:strCache>
                <c:ptCount val="1"/>
                <c:pt idx="0">
                  <c:v>Forces and Infrastructure</c:v>
                </c:pt>
              </c:strCache>
            </c:strRef>
          </c:tx>
          <c:spPr>
            <a:solidFill>
              <a:schemeClr val="accent4">
                <a:lumMod val="75000"/>
              </a:schemeClr>
            </a:solidFill>
            <a:ln>
              <a:noFill/>
            </a:ln>
            <a:effectLst/>
          </c:spPr>
          <c:invertIfNegative val="0"/>
          <c:cat>
            <c:numRef>
              <c:f>Funding!$C$36:$P$36</c:f>
              <c:numCache>
                <c:formatCode>#0;[Red]\-#0;\-</c:formatCode>
                <c:ptCount val="14"/>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numCache>
            </c:numRef>
          </c:cat>
          <c:val>
            <c:numRef>
              <c:f>Funding!$C$14:$P$14</c:f>
              <c:numCache>
                <c:formatCode>#0;[Red]\-#0;\-</c:formatCode>
                <c:ptCount val="14"/>
                <c:pt idx="0">
                  <c:v>6.4961509362367398</c:v>
                </c:pt>
                <c:pt idx="1">
                  <c:v>8.3677521162571971</c:v>
                </c:pt>
                <c:pt idx="2">
                  <c:v>4.3961014250236072</c:v>
                </c:pt>
                <c:pt idx="3">
                  <c:v>7.332666601004453</c:v>
                </c:pt>
                <c:pt idx="4">
                  <c:v>2.2120199441860464</c:v>
                </c:pt>
                <c:pt idx="5">
                  <c:v>1.3692572062084256</c:v>
                </c:pt>
                <c:pt idx="6">
                  <c:v>0.33614889126573333</c:v>
                </c:pt>
                <c:pt idx="7">
                  <c:v>0.22037630419879234</c:v>
                </c:pt>
                <c:pt idx="8">
                  <c:v>0</c:v>
                </c:pt>
                <c:pt idx="9">
                  <c:v>0</c:v>
                </c:pt>
                <c:pt idx="10">
                  <c:v>0</c:v>
                </c:pt>
                <c:pt idx="11">
                  <c:v>0</c:v>
                </c:pt>
                <c:pt idx="12">
                  <c:v>0</c:v>
                </c:pt>
                <c:pt idx="13">
                  <c:v>0</c:v>
                </c:pt>
              </c:numCache>
            </c:numRef>
          </c:val>
          <c:extLst>
            <c:ext xmlns:c16="http://schemas.microsoft.com/office/drawing/2014/chart" uri="{C3380CC4-5D6E-409C-BE32-E72D297353CC}">
              <c16:uniqueId val="{00000008-F7BE-694D-8660-A49169D19C11}"/>
            </c:ext>
          </c:extLst>
        </c:ser>
        <c:ser>
          <c:idx val="16"/>
          <c:order val="8"/>
          <c:tx>
            <c:strRef>
              <c:f>Funding!$B$16</c:f>
              <c:strCache>
                <c:ptCount val="1"/>
                <c:pt idx="0">
                  <c:v>OCO for Base</c:v>
                </c:pt>
              </c:strCache>
            </c:strRef>
          </c:tx>
          <c:spPr>
            <a:solidFill>
              <a:schemeClr val="accent1">
                <a:lumMod val="60000"/>
                <a:lumOff val="40000"/>
              </a:schemeClr>
            </a:solidFill>
            <a:ln>
              <a:noFill/>
            </a:ln>
            <a:effectLst/>
          </c:spPr>
          <c:invertIfNegative val="0"/>
          <c:cat>
            <c:numRef>
              <c:f>Funding!$C$36:$P$36</c:f>
              <c:numCache>
                <c:formatCode>#0;[Red]\-#0;\-</c:formatCode>
                <c:ptCount val="14"/>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numCache>
            </c:numRef>
          </c:cat>
          <c:val>
            <c:numRef>
              <c:f>Funding!$C$16:$P$16</c:f>
              <c:numCache>
                <c:formatCode>#0;[Red]\-#0;\-</c:formatCode>
                <c:ptCount val="14"/>
                <c:pt idx="0">
                  <c:v>0</c:v>
                </c:pt>
                <c:pt idx="1">
                  <c:v>0</c:v>
                </c:pt>
                <c:pt idx="2">
                  <c:v>0</c:v>
                </c:pt>
                <c:pt idx="3">
                  <c:v>0</c:v>
                </c:pt>
                <c:pt idx="4">
                  <c:v>0</c:v>
                </c:pt>
                <c:pt idx="5">
                  <c:v>0</c:v>
                </c:pt>
                <c:pt idx="6">
                  <c:v>0</c:v>
                </c:pt>
                <c:pt idx="7">
                  <c:v>0</c:v>
                </c:pt>
                <c:pt idx="8">
                  <c:v>0</c:v>
                </c:pt>
                <c:pt idx="9">
                  <c:v>2.4594467532467532</c:v>
                </c:pt>
                <c:pt idx="10">
                  <c:v>8.1393508906671954</c:v>
                </c:pt>
                <c:pt idx="11">
                  <c:v>19.225965390108616</c:v>
                </c:pt>
                <c:pt idx="12">
                  <c:v>17.742151205863966</c:v>
                </c:pt>
                <c:pt idx="13">
                  <c:v>0</c:v>
                </c:pt>
              </c:numCache>
            </c:numRef>
          </c:val>
          <c:extLst>
            <c:ext xmlns:c16="http://schemas.microsoft.com/office/drawing/2014/chart" uri="{C3380CC4-5D6E-409C-BE32-E72D297353CC}">
              <c16:uniqueId val="{00000009-F7BE-694D-8660-A49169D19C11}"/>
            </c:ext>
          </c:extLst>
        </c:ser>
        <c:dLbls>
          <c:showLegendKey val="0"/>
          <c:showVal val="0"/>
          <c:showCatName val="0"/>
          <c:showSerName val="0"/>
          <c:showPercent val="0"/>
          <c:showBubbleSize val="0"/>
        </c:dLbls>
        <c:gapWidth val="68"/>
        <c:overlap val="100"/>
        <c:axId val="-643438896"/>
        <c:axId val="-643718928"/>
      </c:barChart>
      <c:catAx>
        <c:axId val="-64343889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643718928"/>
        <c:crosses val="autoZero"/>
        <c:auto val="1"/>
        <c:lblAlgn val="ctr"/>
        <c:lblOffset val="100"/>
        <c:noMultiLvlLbl val="0"/>
      </c:catAx>
      <c:valAx>
        <c:axId val="-6437189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a:t>OCO Funding</a:t>
                </a:r>
              </a:p>
            </c:rich>
          </c:tx>
          <c:layout>
            <c:manualLayout>
              <c:xMode val="edge"/>
              <c:yMode val="edge"/>
              <c:x val="7.1704251358081896E-3"/>
              <c:y val="0.30763424871259398"/>
            </c:manualLayout>
          </c:layout>
          <c:overlay val="0"/>
          <c:spPr>
            <a:noFill/>
            <a:ln>
              <a:noFill/>
            </a:ln>
            <a:effectLst/>
          </c:spPr>
          <c:txPr>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0.0;[Red]\-#0.0;\-" sourceLinked="0"/>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643438896"/>
        <c:crosses val="autoZero"/>
        <c:crossBetween val="between"/>
      </c:valAx>
      <c:spPr>
        <a:noFill/>
        <a:ln>
          <a:solidFill>
            <a:schemeClr val="tx1"/>
          </a:solidFill>
        </a:ln>
        <a:effectLst/>
      </c:spPr>
    </c:plotArea>
    <c:legend>
      <c:legendPos val="b"/>
      <c:legendEntry>
        <c:idx val="0"/>
        <c:delete val="1"/>
      </c:legendEntry>
      <c:legendEntry>
        <c:idx val="1"/>
        <c:delete val="1"/>
      </c:legendEntry>
      <c:legendEntry>
        <c:idx val="2"/>
        <c:delete val="1"/>
      </c:legendEntry>
      <c:layout>
        <c:manualLayout>
          <c:xMode val="edge"/>
          <c:yMode val="edge"/>
          <c:x val="0.3027217540215405"/>
          <c:y val="2.6444803857412359E-2"/>
          <c:w val="0.35864154243895402"/>
          <c:h val="0.26718845489468901"/>
        </c:manualLayout>
      </c:layout>
      <c:overlay val="0"/>
      <c:spPr>
        <a:solidFill>
          <a:schemeClr val="bg1"/>
        </a:solid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800"/>
      </a:pPr>
      <a:endParaRPr lang="en-US"/>
    </a:p>
  </c:txPr>
  <c:printSettings>
    <c:headerFooter/>
    <c:pageMargins b="0.75" l="0.7" r="0.7" t="0.75" header="0.3" footer="0.3"/>
    <c:pageSetup orientation="portrait" horizontalDpi="0" verticalDpi="0"/>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5913711720614396E-2"/>
          <c:y val="7.0652173913043501E-2"/>
          <c:w val="0.89948603387193404"/>
          <c:h val="0.81753594659363205"/>
        </c:manualLayout>
      </c:layout>
      <c:barChart>
        <c:barDir val="col"/>
        <c:grouping val="clustered"/>
        <c:varyColors val="0"/>
        <c:ser>
          <c:idx val="1"/>
          <c:order val="0"/>
          <c:tx>
            <c:strRef>
              <c:f>Manpower!$B$5</c:f>
              <c:strCache>
                <c:ptCount val="1"/>
                <c:pt idx="0">
                  <c:v>Operational Forces in Iraq</c:v>
                </c:pt>
              </c:strCache>
            </c:strRef>
          </c:tx>
          <c:spPr>
            <a:solidFill>
              <a:schemeClr val="accent2"/>
            </a:solidFill>
            <a:ln>
              <a:noFill/>
            </a:ln>
            <a:effectLst/>
          </c:spPr>
          <c:invertIfNegative val="0"/>
          <c:cat>
            <c:numRef>
              <c:f>Manpower!$C$3:$P$3</c:f>
              <c:numCache>
                <c:formatCode>General</c:formatCode>
                <c:ptCount val="14"/>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numCache>
            </c:numRef>
          </c:cat>
          <c:val>
            <c:numRef>
              <c:f>Manpower!$C$5:$P$5</c:f>
              <c:numCache>
                <c:formatCode>#,##0</c:formatCode>
                <c:ptCount val="14"/>
                <c:pt idx="0">
                  <c:v>138836.9</c:v>
                </c:pt>
                <c:pt idx="1">
                  <c:v>145065.5</c:v>
                </c:pt>
                <c:pt idx="2">
                  <c:v>156533.83333333334</c:v>
                </c:pt>
                <c:pt idx="3">
                  <c:v>140700</c:v>
                </c:pt>
                <c:pt idx="4">
                  <c:v>96000</c:v>
                </c:pt>
                <c:pt idx="5">
                  <c:v>46568</c:v>
                </c:pt>
                <c:pt idx="6" formatCode="_(* #,##0_);_(* \(#,##0\);_(* &quot;-&quot;??_);_(@_)">
                  <c:v>9176</c:v>
                </c:pt>
                <c:pt idx="7" formatCode="_(* #,##0_);_(* \(#,##0\);_(* &quot;-&quot;??_);_(@_)">
                  <c:v>0</c:v>
                </c:pt>
                <c:pt idx="8" formatCode="_(* #,##0_);_(* \(#,##0\);_(* &quot;-&quot;??_);_(@_)">
                  <c:v>0</c:v>
                </c:pt>
                <c:pt idx="9" formatCode="_(* #,##0_);_(* \(#,##0\);_(* &quot;-&quot;??_);_(@_)">
                  <c:v>3180</c:v>
                </c:pt>
                <c:pt idx="10">
                  <c:v>3550</c:v>
                </c:pt>
                <c:pt idx="11" formatCode="_(* #,##0_);_(* \(#,##0\);_(* &quot;-&quot;??_);_(@_)">
                  <c:v>5765</c:v>
                </c:pt>
                <c:pt idx="12" formatCode="_(* #,##0_);_(* \(#,##0\);_(* &quot;-&quot;??_);_(@_)">
                  <c:v>5765</c:v>
                </c:pt>
                <c:pt idx="13" formatCode="_(* #,##0_);_(* \(#,##0\);_(* &quot;-&quot;??_);_(@_)">
                  <c:v>5765</c:v>
                </c:pt>
              </c:numCache>
            </c:numRef>
          </c:val>
          <c:extLst>
            <c:ext xmlns:c16="http://schemas.microsoft.com/office/drawing/2014/chart" uri="{C3380CC4-5D6E-409C-BE32-E72D297353CC}">
              <c16:uniqueId val="{00000000-3C25-9540-8079-79E80AC5E54D}"/>
            </c:ext>
          </c:extLst>
        </c:ser>
        <c:ser>
          <c:idx val="0"/>
          <c:order val="1"/>
          <c:tx>
            <c:strRef>
              <c:f>Manpower!$B$4</c:f>
              <c:strCache>
                <c:ptCount val="1"/>
                <c:pt idx="0">
                  <c:v>Operational Forces in Afghanistan</c:v>
                </c:pt>
              </c:strCache>
            </c:strRef>
          </c:tx>
          <c:spPr>
            <a:solidFill>
              <a:schemeClr val="accent1"/>
            </a:solidFill>
            <a:ln>
              <a:noFill/>
            </a:ln>
            <a:effectLst/>
          </c:spPr>
          <c:invertIfNegative val="0"/>
          <c:cat>
            <c:numRef>
              <c:f>Manpower!$C$3:$P$3</c:f>
              <c:numCache>
                <c:formatCode>General</c:formatCode>
                <c:ptCount val="14"/>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numCache>
            </c:numRef>
          </c:cat>
          <c:val>
            <c:numRef>
              <c:f>Manpower!$C$4:$P$4</c:f>
              <c:numCache>
                <c:formatCode>#,##0</c:formatCode>
                <c:ptCount val="14"/>
                <c:pt idx="0">
                  <c:v>20241.666666666668</c:v>
                </c:pt>
                <c:pt idx="1">
                  <c:v>23153.833333333332</c:v>
                </c:pt>
                <c:pt idx="2">
                  <c:v>30076.666666666668</c:v>
                </c:pt>
                <c:pt idx="3">
                  <c:v>44300</c:v>
                </c:pt>
                <c:pt idx="4">
                  <c:v>84000</c:v>
                </c:pt>
                <c:pt idx="5">
                  <c:v>98345</c:v>
                </c:pt>
                <c:pt idx="6" formatCode="_(* #,##0_);_(* \(#,##0\);_(* &quot;-&quot;??_);_(@_)">
                  <c:v>89446</c:v>
                </c:pt>
                <c:pt idx="7" formatCode="_(* #,##0_);_(* \(#,##0\);_(* &quot;-&quot;??_);_(@_)">
                  <c:v>62763</c:v>
                </c:pt>
                <c:pt idx="8" formatCode="_(* #,##0_);_(* \(#,##0\);_(* &quot;-&quot;??_);_(@_)">
                  <c:v>34813</c:v>
                </c:pt>
                <c:pt idx="9" formatCode="_(* #,##0_);_(* \(#,##0\);_(* &quot;-&quot;??_);_(@_)">
                  <c:v>10012</c:v>
                </c:pt>
                <c:pt idx="10">
                  <c:v>9737</c:v>
                </c:pt>
                <c:pt idx="11" formatCode="_(* #,##0_);_(* \(#,##0\);_(* &quot;-&quot;??_);_(@_)">
                  <c:v>8674</c:v>
                </c:pt>
                <c:pt idx="12" formatCode="_(* #,##0_);_(* \(#,##0\);_(* &quot;-&quot;??_);_(@_)">
                  <c:v>11958</c:v>
                </c:pt>
                <c:pt idx="13" formatCode="_(* #,##0_);_(* \(#,##0\);_(* &quot;-&quot;??_);_(@_)">
                  <c:v>11958</c:v>
                </c:pt>
              </c:numCache>
            </c:numRef>
          </c:val>
          <c:extLst>
            <c:ext xmlns:c16="http://schemas.microsoft.com/office/drawing/2014/chart" uri="{C3380CC4-5D6E-409C-BE32-E72D297353CC}">
              <c16:uniqueId val="{00000001-3C25-9540-8079-79E80AC5E54D}"/>
            </c:ext>
          </c:extLst>
        </c:ser>
        <c:ser>
          <c:idx val="5"/>
          <c:order val="2"/>
          <c:tx>
            <c:strRef>
              <c:f>Manpower!$B$6</c:f>
              <c:strCache>
                <c:ptCount val="1"/>
                <c:pt idx="0">
                  <c:v>Operational Total</c:v>
                </c:pt>
              </c:strCache>
            </c:strRef>
          </c:tx>
          <c:spPr>
            <a:solidFill>
              <a:schemeClr val="accent6"/>
            </a:solidFill>
            <a:ln>
              <a:noFill/>
            </a:ln>
            <a:effectLst/>
          </c:spPr>
          <c:invertIfNegative val="0"/>
          <c:cat>
            <c:numRef>
              <c:f>Manpower!$C$3:$P$3</c:f>
              <c:numCache>
                <c:formatCode>General</c:formatCode>
                <c:ptCount val="14"/>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numCache>
            </c:numRef>
          </c:cat>
          <c:val>
            <c:numRef>
              <c:f>Manpower!$C$6:$P$6</c:f>
              <c:numCache>
                <c:formatCode>_(* #,##0_);_(* \(#,##0\);_(* "-"??_);_(@_)</c:formatCode>
                <c:ptCount val="14"/>
                <c:pt idx="0">
                  <c:v>159078.56666666665</c:v>
                </c:pt>
                <c:pt idx="1">
                  <c:v>168219.33333333334</c:v>
                </c:pt>
                <c:pt idx="2">
                  <c:v>186610.5</c:v>
                </c:pt>
                <c:pt idx="3">
                  <c:v>185000</c:v>
                </c:pt>
                <c:pt idx="4">
                  <c:v>180000</c:v>
                </c:pt>
                <c:pt idx="5">
                  <c:v>144913</c:v>
                </c:pt>
                <c:pt idx="6">
                  <c:v>98622</c:v>
                </c:pt>
                <c:pt idx="7">
                  <c:v>62763</c:v>
                </c:pt>
                <c:pt idx="8">
                  <c:v>34813</c:v>
                </c:pt>
                <c:pt idx="9">
                  <c:v>13192</c:v>
                </c:pt>
                <c:pt idx="10">
                  <c:v>13287</c:v>
                </c:pt>
                <c:pt idx="11">
                  <c:v>14439</c:v>
                </c:pt>
                <c:pt idx="12">
                  <c:v>17723</c:v>
                </c:pt>
                <c:pt idx="13">
                  <c:v>17723</c:v>
                </c:pt>
              </c:numCache>
            </c:numRef>
          </c:val>
          <c:extLst>
            <c:ext xmlns:c16="http://schemas.microsoft.com/office/drawing/2014/chart" uri="{C3380CC4-5D6E-409C-BE32-E72D297353CC}">
              <c16:uniqueId val="{00000002-3C25-9540-8079-79E80AC5E54D}"/>
            </c:ext>
          </c:extLst>
        </c:ser>
        <c:ser>
          <c:idx val="2"/>
          <c:order val="3"/>
          <c:tx>
            <c:strRef>
              <c:f>Manpower!$B$7</c:f>
              <c:strCache>
                <c:ptCount val="1"/>
                <c:pt idx="0">
                  <c:v>In-Theater</c:v>
                </c:pt>
              </c:strCache>
            </c:strRef>
          </c:tx>
          <c:spPr>
            <a:solidFill>
              <a:schemeClr val="accent3"/>
            </a:solidFill>
            <a:ln>
              <a:noFill/>
            </a:ln>
            <a:effectLst/>
          </c:spPr>
          <c:invertIfNegative val="0"/>
          <c:cat>
            <c:numRef>
              <c:f>Manpower!$C$3:$P$3</c:f>
              <c:numCache>
                <c:formatCode>General</c:formatCode>
                <c:ptCount val="14"/>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numCache>
            </c:numRef>
          </c:cat>
          <c:val>
            <c:numRef>
              <c:f>Manpower!$C$7:$P$7</c:f>
              <c:numCache>
                <c:formatCode>General</c:formatCode>
                <c:ptCount val="14"/>
                <c:pt idx="3" formatCode="#,##0">
                  <c:v>48200</c:v>
                </c:pt>
                <c:pt idx="4" formatCode="#,##0">
                  <c:v>62500</c:v>
                </c:pt>
                <c:pt idx="5" formatCode="#,##0">
                  <c:v>70889</c:v>
                </c:pt>
                <c:pt idx="6" formatCode="_(* #,##0_);_(* \(#,##0\);_(* &quot;-&quot;??_);_(@_)">
                  <c:v>68240</c:v>
                </c:pt>
                <c:pt idx="7" formatCode="_(* #,##0_);_(* \(#,##0\);_(* &quot;-&quot;??_);_(@_)">
                  <c:v>64417</c:v>
                </c:pt>
                <c:pt idx="8" formatCode="_(* #,##0_);_(* \(#,##0\);_(* &quot;-&quot;??_);_(@_)">
                  <c:v>59738</c:v>
                </c:pt>
                <c:pt idx="9" formatCode="_(* #,##0_);_(* \(#,##0\);_(* &quot;-&quot;??_);_(@_)">
                  <c:v>55958</c:v>
                </c:pt>
                <c:pt idx="10" formatCode="#,##0">
                  <c:v>55831</c:v>
                </c:pt>
                <c:pt idx="11" formatCode="_(* #,##0_);_(* \(#,##0\);_(* &quot;-&quot;??_);_(@_)">
                  <c:v>62486</c:v>
                </c:pt>
                <c:pt idx="12" formatCode="_(* #,##0_);_(* \(#,##0\);_(* &quot;-&quot;??_);_(@_)">
                  <c:v>56310</c:v>
                </c:pt>
                <c:pt idx="13" formatCode="_(* #,##0_);_(* \(#,##0\);_(* &quot;-&quot;??_);_(@_)">
                  <c:v>59463</c:v>
                </c:pt>
              </c:numCache>
            </c:numRef>
          </c:val>
          <c:extLst>
            <c:ext xmlns:c16="http://schemas.microsoft.com/office/drawing/2014/chart" uri="{C3380CC4-5D6E-409C-BE32-E72D297353CC}">
              <c16:uniqueId val="{00000003-3C25-9540-8079-79E80AC5E54D}"/>
            </c:ext>
          </c:extLst>
        </c:ser>
        <c:ser>
          <c:idx val="3"/>
          <c:order val="4"/>
          <c:tx>
            <c:strRef>
              <c:f>Manpower!$B$8</c:f>
              <c:strCache>
                <c:ptCount val="1"/>
                <c:pt idx="0">
                  <c:v>In CONUS/Other Mobilization</c:v>
                </c:pt>
              </c:strCache>
            </c:strRef>
          </c:tx>
          <c:spPr>
            <a:solidFill>
              <a:schemeClr val="accent4"/>
            </a:solidFill>
            <a:ln>
              <a:noFill/>
            </a:ln>
            <a:effectLst/>
          </c:spPr>
          <c:invertIfNegative val="0"/>
          <c:cat>
            <c:numRef>
              <c:f>Manpower!$C$3:$P$3</c:f>
              <c:numCache>
                <c:formatCode>General</c:formatCode>
                <c:ptCount val="14"/>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numCache>
            </c:numRef>
          </c:cat>
          <c:val>
            <c:numRef>
              <c:f>Manpower!$C$8:$P$8</c:f>
              <c:numCache>
                <c:formatCode>General</c:formatCode>
                <c:ptCount val="14"/>
                <c:pt idx="3" formatCode="#,##0">
                  <c:v>63800</c:v>
                </c:pt>
                <c:pt idx="4" formatCode="#,##0">
                  <c:v>51000</c:v>
                </c:pt>
                <c:pt idx="5" formatCode="#,##0">
                  <c:v>48206</c:v>
                </c:pt>
                <c:pt idx="6" formatCode="_(* #,##0_);_(* \(#,##0\);_(* &quot;-&quot;??_);_(@_)">
                  <c:v>37568</c:v>
                </c:pt>
                <c:pt idx="7" formatCode="_(* #,##0_);_(* \(#,##0\);_(* &quot;-&quot;??_);_(@_)">
                  <c:v>26139</c:v>
                </c:pt>
                <c:pt idx="8" formatCode="_(* #,##0_);_(* \(#,##0\);_(* &quot;-&quot;??_);_(@_)">
                  <c:v>20367</c:v>
                </c:pt>
                <c:pt idx="9" formatCode="_(* #,##0_);_(* \(#,##0\);_(* &quot;-&quot;??_);_(@_)">
                  <c:v>16020</c:v>
                </c:pt>
                <c:pt idx="10" formatCode="#,##0">
                  <c:v>15991</c:v>
                </c:pt>
                <c:pt idx="11" formatCode="_(* #,##0_);_(* \(#,##0\);_(* &quot;-&quot;??_);_(@_)">
                  <c:v>13085</c:v>
                </c:pt>
                <c:pt idx="12" formatCode="_(* #,##0_);_(* \(#,##0\);_(* &quot;-&quot;??_);_(@_)">
                  <c:v>16611</c:v>
                </c:pt>
                <c:pt idx="13" formatCode="_(* #,##0_);_(* \(#,##0\);_(* &quot;-&quot;??_);_(@_)">
                  <c:v>16611</c:v>
                </c:pt>
              </c:numCache>
            </c:numRef>
          </c:val>
          <c:extLst>
            <c:ext xmlns:c16="http://schemas.microsoft.com/office/drawing/2014/chart" uri="{C3380CC4-5D6E-409C-BE32-E72D297353CC}">
              <c16:uniqueId val="{00000004-3C25-9540-8079-79E80AC5E54D}"/>
            </c:ext>
          </c:extLst>
        </c:ser>
        <c:ser>
          <c:idx val="4"/>
          <c:order val="5"/>
          <c:tx>
            <c:strRef>
              <c:f>Manpower!$B$9</c:f>
              <c:strCache>
                <c:ptCount val="1"/>
                <c:pt idx="0">
                  <c:v>In-Theater Support</c:v>
                </c:pt>
              </c:strCache>
            </c:strRef>
          </c:tx>
          <c:spPr>
            <a:solidFill>
              <a:schemeClr val="accent5"/>
            </a:solidFill>
            <a:ln>
              <a:noFill/>
            </a:ln>
            <a:effectLst/>
          </c:spPr>
          <c:invertIfNegative val="0"/>
          <c:cat>
            <c:numRef>
              <c:f>Manpower!$C$3:$P$3</c:f>
              <c:numCache>
                <c:formatCode>General</c:formatCode>
                <c:ptCount val="14"/>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numCache>
            </c:numRef>
          </c:cat>
          <c:val>
            <c:numRef>
              <c:f>Manpower!$C$9:$P$9</c:f>
              <c:numCache>
                <c:formatCode>General</c:formatCode>
                <c:ptCount val="14"/>
                <c:pt idx="3" formatCode="_(* #,##0_);_(* \(#,##0\);_(* &quot;-&quot;??_);_(@_)">
                  <c:v>112000</c:v>
                </c:pt>
                <c:pt idx="4" formatCode="_(* #,##0_);_(* \(#,##0\);_(* &quot;-&quot;??_);_(@_)">
                  <c:v>113500</c:v>
                </c:pt>
                <c:pt idx="5" formatCode="_(* #,##0_);_(* \(#,##0\);_(* &quot;-&quot;??_);_(@_)">
                  <c:v>119095</c:v>
                </c:pt>
                <c:pt idx="6" formatCode="_(* #,##0_);_(* \(#,##0\);_(* &quot;-&quot;??_);_(@_)">
                  <c:v>105808</c:v>
                </c:pt>
                <c:pt idx="7" formatCode="_(* #,##0_);_(* \(#,##0\);_(* &quot;-&quot;??_);_(@_)">
                  <c:v>90556</c:v>
                </c:pt>
                <c:pt idx="8" formatCode="_(* #,##0_);_(* \(#,##0\);_(* &quot;-&quot;??_);_(@_)">
                  <c:v>80105</c:v>
                </c:pt>
                <c:pt idx="9" formatCode="_(* #,##0_);_(* \(#,##0\);_(* &quot;-&quot;??_);_(@_)">
                  <c:v>71978</c:v>
                </c:pt>
                <c:pt idx="10" formatCode="_(* #,##0_);_(* \(#,##0\);_(* &quot;-&quot;??_);_(@_)">
                  <c:v>71822</c:v>
                </c:pt>
                <c:pt idx="11" formatCode="_(* #,##0_);_(* \(#,##0\);_(* &quot;-&quot;??_);_(@_)">
                  <c:v>75571</c:v>
                </c:pt>
                <c:pt idx="12" formatCode="_(* #,##0_);_(* \(#,##0\);_(* &quot;-&quot;??_);_(@_)">
                  <c:v>72921</c:v>
                </c:pt>
                <c:pt idx="13" formatCode="_(* #,##0_);_(* \(#,##0\);_(* &quot;-&quot;??_);_(@_)">
                  <c:v>76074</c:v>
                </c:pt>
              </c:numCache>
            </c:numRef>
          </c:val>
          <c:extLst>
            <c:ext xmlns:c16="http://schemas.microsoft.com/office/drawing/2014/chart" uri="{C3380CC4-5D6E-409C-BE32-E72D297353CC}">
              <c16:uniqueId val="{00000005-3C25-9540-8079-79E80AC5E54D}"/>
            </c:ext>
          </c:extLst>
        </c:ser>
        <c:dLbls>
          <c:showLegendKey val="0"/>
          <c:showVal val="0"/>
          <c:showCatName val="0"/>
          <c:showSerName val="0"/>
          <c:showPercent val="0"/>
          <c:showBubbleSize val="0"/>
        </c:dLbls>
        <c:gapWidth val="219"/>
        <c:overlap val="-27"/>
        <c:axId val="-780766720"/>
        <c:axId val="-644603744"/>
      </c:barChart>
      <c:catAx>
        <c:axId val="-780766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44603744"/>
        <c:crosses val="autoZero"/>
        <c:auto val="1"/>
        <c:lblAlgn val="ctr"/>
        <c:lblOffset val="100"/>
        <c:noMultiLvlLbl val="0"/>
      </c:catAx>
      <c:valAx>
        <c:axId val="-644603744"/>
        <c:scaling>
          <c:orientation val="minMax"/>
          <c:max val="300000"/>
        </c:scaling>
        <c:delete val="0"/>
        <c:axPos val="l"/>
        <c:majorGridlines>
          <c:spPr>
            <a:ln w="9525" cap="flat" cmpd="sng" algn="ctr">
              <a:solidFill>
                <a:schemeClr val="tx1">
                  <a:lumMod val="15000"/>
                  <a:lumOff val="85000"/>
                </a:schemeClr>
              </a:solidFill>
              <a:round/>
            </a:ln>
            <a:effectLst/>
          </c:spPr>
        </c:majorGridlines>
        <c:numFmt formatCode="###,"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80766720"/>
        <c:crosses val="autoZero"/>
        <c:crossBetween val="between"/>
      </c:valAx>
      <c:spPr>
        <a:noFill/>
        <a:ln>
          <a:solidFill>
            <a:schemeClr val="tx1">
              <a:lumMod val="50000"/>
              <a:lumOff val="50000"/>
            </a:schemeClr>
          </a:solidFill>
        </a:ln>
        <a:effectLst/>
      </c:spPr>
    </c:plotArea>
    <c:legend>
      <c:legendPos val="b"/>
      <c:layout>
        <c:manualLayout>
          <c:xMode val="edge"/>
          <c:yMode val="edge"/>
          <c:x val="0.72321471658147995"/>
          <c:y val="8.6704972689224599E-2"/>
          <c:w val="0.218669613666713"/>
          <c:h val="0.519040996234166"/>
        </c:manualLayout>
      </c:layout>
      <c:overlay val="0"/>
      <c:spPr>
        <a:solidFill>
          <a:schemeClr val="bg1"/>
        </a:solid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2510949652984"/>
          <c:y val="7.0652173913043501E-2"/>
          <c:w val="0.86023627072868003"/>
          <c:h val="0.81753594659363205"/>
        </c:manualLayout>
      </c:layout>
      <c:barChart>
        <c:barDir val="col"/>
        <c:grouping val="clustered"/>
        <c:varyColors val="0"/>
        <c:ser>
          <c:idx val="4"/>
          <c:order val="3"/>
          <c:tx>
            <c:strRef>
              <c:f>Manpower!$B$9</c:f>
              <c:strCache>
                <c:ptCount val="1"/>
                <c:pt idx="0">
                  <c:v>In-Theater Support</c:v>
                </c:pt>
              </c:strCache>
            </c:strRef>
          </c:tx>
          <c:spPr>
            <a:solidFill>
              <a:schemeClr val="accent6">
                <a:lumMod val="75000"/>
              </a:schemeClr>
            </a:solidFill>
            <a:ln>
              <a:noFill/>
            </a:ln>
            <a:effectLst/>
          </c:spPr>
          <c:invertIfNegative val="0"/>
          <c:cat>
            <c:numRef>
              <c:f>Manpower!$C$3:$P$3</c:f>
              <c:numCache>
                <c:formatCode>General</c:formatCode>
                <c:ptCount val="14"/>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numCache>
            </c:numRef>
          </c:cat>
          <c:val>
            <c:numRef>
              <c:f>Manpower!$C$9:$P$9</c:f>
              <c:numCache>
                <c:formatCode>General</c:formatCode>
                <c:ptCount val="14"/>
                <c:pt idx="3" formatCode="_(* #,##0_);_(* \(#,##0\);_(* &quot;-&quot;??_);_(@_)">
                  <c:v>112000</c:v>
                </c:pt>
                <c:pt idx="4" formatCode="_(* #,##0_);_(* \(#,##0\);_(* &quot;-&quot;??_);_(@_)">
                  <c:v>113500</c:v>
                </c:pt>
                <c:pt idx="5" formatCode="_(* #,##0_);_(* \(#,##0\);_(* &quot;-&quot;??_);_(@_)">
                  <c:v>119095</c:v>
                </c:pt>
                <c:pt idx="6" formatCode="_(* #,##0_);_(* \(#,##0\);_(* &quot;-&quot;??_);_(@_)">
                  <c:v>105808</c:v>
                </c:pt>
                <c:pt idx="7" formatCode="_(* #,##0_);_(* \(#,##0\);_(* &quot;-&quot;??_);_(@_)">
                  <c:v>90556</c:v>
                </c:pt>
                <c:pt idx="8" formatCode="_(* #,##0_);_(* \(#,##0\);_(* &quot;-&quot;??_);_(@_)">
                  <c:v>80105</c:v>
                </c:pt>
                <c:pt idx="9" formatCode="_(* #,##0_);_(* \(#,##0\);_(* &quot;-&quot;??_);_(@_)">
                  <c:v>71978</c:v>
                </c:pt>
                <c:pt idx="10" formatCode="_(* #,##0_);_(* \(#,##0\);_(* &quot;-&quot;??_);_(@_)">
                  <c:v>71822</c:v>
                </c:pt>
                <c:pt idx="11" formatCode="_(* #,##0_);_(* \(#,##0\);_(* &quot;-&quot;??_);_(@_)">
                  <c:v>75571</c:v>
                </c:pt>
                <c:pt idx="12" formatCode="_(* #,##0_);_(* \(#,##0\);_(* &quot;-&quot;??_);_(@_)">
                  <c:v>72921</c:v>
                </c:pt>
                <c:pt idx="13" formatCode="_(* #,##0_);_(* \(#,##0\);_(* &quot;-&quot;??_);_(@_)">
                  <c:v>76074</c:v>
                </c:pt>
              </c:numCache>
            </c:numRef>
          </c:val>
          <c:extLst>
            <c:ext xmlns:c16="http://schemas.microsoft.com/office/drawing/2014/chart" uri="{C3380CC4-5D6E-409C-BE32-E72D297353CC}">
              <c16:uniqueId val="{00000000-E99E-1A41-BE88-3EF8C747C3AD}"/>
            </c:ext>
          </c:extLst>
        </c:ser>
        <c:dLbls>
          <c:showLegendKey val="0"/>
          <c:showVal val="0"/>
          <c:showCatName val="0"/>
          <c:showSerName val="0"/>
          <c:showPercent val="0"/>
          <c:showBubbleSize val="0"/>
        </c:dLbls>
        <c:gapWidth val="219"/>
        <c:overlap val="-27"/>
        <c:axId val="-644764640"/>
        <c:axId val="-644762320"/>
      </c:barChart>
      <c:lineChart>
        <c:grouping val="standard"/>
        <c:varyColors val="0"/>
        <c:ser>
          <c:idx val="1"/>
          <c:order val="0"/>
          <c:tx>
            <c:strRef>
              <c:f>Manpower!$B$5</c:f>
              <c:strCache>
                <c:ptCount val="1"/>
                <c:pt idx="0">
                  <c:v>Operational Forces in Iraq</c:v>
                </c:pt>
              </c:strCache>
            </c:strRef>
          </c:tx>
          <c:spPr>
            <a:ln w="28575" cap="rnd">
              <a:solidFill>
                <a:schemeClr val="accent2">
                  <a:lumMod val="75000"/>
                </a:schemeClr>
              </a:solidFill>
              <a:round/>
            </a:ln>
            <a:effectLst/>
          </c:spPr>
          <c:marker>
            <c:symbol val="none"/>
          </c:marker>
          <c:cat>
            <c:numRef>
              <c:f>Manpower!$C$3:$P$3</c:f>
              <c:numCache>
                <c:formatCode>General</c:formatCode>
                <c:ptCount val="14"/>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numCache>
            </c:numRef>
          </c:cat>
          <c:val>
            <c:numRef>
              <c:f>Manpower!$C$5:$P$5</c:f>
              <c:numCache>
                <c:formatCode>#,##0</c:formatCode>
                <c:ptCount val="14"/>
                <c:pt idx="0">
                  <c:v>138836.9</c:v>
                </c:pt>
                <c:pt idx="1">
                  <c:v>145065.5</c:v>
                </c:pt>
                <c:pt idx="2">
                  <c:v>156533.83333333334</c:v>
                </c:pt>
                <c:pt idx="3">
                  <c:v>140700</c:v>
                </c:pt>
                <c:pt idx="4">
                  <c:v>96000</c:v>
                </c:pt>
                <c:pt idx="5">
                  <c:v>46568</c:v>
                </c:pt>
                <c:pt idx="6" formatCode="_(* #,##0_);_(* \(#,##0\);_(* &quot;-&quot;??_);_(@_)">
                  <c:v>9176</c:v>
                </c:pt>
                <c:pt idx="7" formatCode="_(* #,##0_);_(* \(#,##0\);_(* &quot;-&quot;??_);_(@_)">
                  <c:v>0</c:v>
                </c:pt>
                <c:pt idx="8" formatCode="_(* #,##0_);_(* \(#,##0\);_(* &quot;-&quot;??_);_(@_)">
                  <c:v>0</c:v>
                </c:pt>
                <c:pt idx="9" formatCode="_(* #,##0_);_(* \(#,##0\);_(* &quot;-&quot;??_);_(@_)">
                  <c:v>3180</c:v>
                </c:pt>
                <c:pt idx="10">
                  <c:v>3550</c:v>
                </c:pt>
                <c:pt idx="11" formatCode="_(* #,##0_);_(* \(#,##0\);_(* &quot;-&quot;??_);_(@_)">
                  <c:v>5765</c:v>
                </c:pt>
                <c:pt idx="12" formatCode="_(* #,##0_);_(* \(#,##0\);_(* &quot;-&quot;??_);_(@_)">
                  <c:v>5765</c:v>
                </c:pt>
                <c:pt idx="13" formatCode="_(* #,##0_);_(* \(#,##0\);_(* &quot;-&quot;??_);_(@_)">
                  <c:v>5765</c:v>
                </c:pt>
              </c:numCache>
            </c:numRef>
          </c:val>
          <c:smooth val="0"/>
          <c:extLst>
            <c:ext xmlns:c16="http://schemas.microsoft.com/office/drawing/2014/chart" uri="{C3380CC4-5D6E-409C-BE32-E72D297353CC}">
              <c16:uniqueId val="{00000001-E99E-1A41-BE88-3EF8C747C3AD}"/>
            </c:ext>
          </c:extLst>
        </c:ser>
        <c:ser>
          <c:idx val="0"/>
          <c:order val="1"/>
          <c:tx>
            <c:strRef>
              <c:f>Manpower!$B$4</c:f>
              <c:strCache>
                <c:ptCount val="1"/>
                <c:pt idx="0">
                  <c:v>Operational Forces in Afghanistan</c:v>
                </c:pt>
              </c:strCache>
            </c:strRef>
          </c:tx>
          <c:spPr>
            <a:ln w="28575" cap="rnd">
              <a:solidFill>
                <a:schemeClr val="accent4">
                  <a:lumMod val="75000"/>
                </a:schemeClr>
              </a:solidFill>
              <a:round/>
            </a:ln>
            <a:effectLst/>
          </c:spPr>
          <c:marker>
            <c:symbol val="none"/>
          </c:marker>
          <c:cat>
            <c:numRef>
              <c:f>Manpower!$C$3:$P$3</c:f>
              <c:numCache>
                <c:formatCode>General</c:formatCode>
                <c:ptCount val="14"/>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numCache>
            </c:numRef>
          </c:cat>
          <c:val>
            <c:numRef>
              <c:f>Manpower!$C$4:$P$4</c:f>
              <c:numCache>
                <c:formatCode>#,##0</c:formatCode>
                <c:ptCount val="14"/>
                <c:pt idx="0">
                  <c:v>20241.666666666668</c:v>
                </c:pt>
                <c:pt idx="1">
                  <c:v>23153.833333333332</c:v>
                </c:pt>
                <c:pt idx="2">
                  <c:v>30076.666666666668</c:v>
                </c:pt>
                <c:pt idx="3">
                  <c:v>44300</c:v>
                </c:pt>
                <c:pt idx="4">
                  <c:v>84000</c:v>
                </c:pt>
                <c:pt idx="5">
                  <c:v>98345</c:v>
                </c:pt>
                <c:pt idx="6" formatCode="_(* #,##0_);_(* \(#,##0\);_(* &quot;-&quot;??_);_(@_)">
                  <c:v>89446</c:v>
                </c:pt>
                <c:pt idx="7" formatCode="_(* #,##0_);_(* \(#,##0\);_(* &quot;-&quot;??_);_(@_)">
                  <c:v>62763</c:v>
                </c:pt>
                <c:pt idx="8" formatCode="_(* #,##0_);_(* \(#,##0\);_(* &quot;-&quot;??_);_(@_)">
                  <c:v>34813</c:v>
                </c:pt>
                <c:pt idx="9" formatCode="_(* #,##0_);_(* \(#,##0\);_(* &quot;-&quot;??_);_(@_)">
                  <c:v>10012</c:v>
                </c:pt>
                <c:pt idx="10">
                  <c:v>9737</c:v>
                </c:pt>
                <c:pt idx="11" formatCode="_(* #,##0_);_(* \(#,##0\);_(* &quot;-&quot;??_);_(@_)">
                  <c:v>8674</c:v>
                </c:pt>
                <c:pt idx="12" formatCode="_(* #,##0_);_(* \(#,##0\);_(* &quot;-&quot;??_);_(@_)">
                  <c:v>11958</c:v>
                </c:pt>
                <c:pt idx="13" formatCode="_(* #,##0_);_(* \(#,##0\);_(* &quot;-&quot;??_);_(@_)">
                  <c:v>11958</c:v>
                </c:pt>
              </c:numCache>
            </c:numRef>
          </c:val>
          <c:smooth val="0"/>
          <c:extLst>
            <c:ext xmlns:c16="http://schemas.microsoft.com/office/drawing/2014/chart" uri="{C3380CC4-5D6E-409C-BE32-E72D297353CC}">
              <c16:uniqueId val="{00000002-E99E-1A41-BE88-3EF8C747C3AD}"/>
            </c:ext>
          </c:extLst>
        </c:ser>
        <c:ser>
          <c:idx val="5"/>
          <c:order val="2"/>
          <c:tx>
            <c:strRef>
              <c:f>Manpower!$B$6</c:f>
              <c:strCache>
                <c:ptCount val="1"/>
                <c:pt idx="0">
                  <c:v>Operational Total</c:v>
                </c:pt>
              </c:strCache>
            </c:strRef>
          </c:tx>
          <c:spPr>
            <a:ln w="28575" cap="rnd">
              <a:solidFill>
                <a:schemeClr val="tx1"/>
              </a:solidFill>
              <a:round/>
            </a:ln>
            <a:effectLst/>
          </c:spPr>
          <c:marker>
            <c:symbol val="none"/>
          </c:marker>
          <c:cat>
            <c:numRef>
              <c:f>Manpower!$C$3:$P$3</c:f>
              <c:numCache>
                <c:formatCode>General</c:formatCode>
                <c:ptCount val="14"/>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numCache>
            </c:numRef>
          </c:cat>
          <c:val>
            <c:numRef>
              <c:f>Manpower!$C$6:$P$6</c:f>
              <c:numCache>
                <c:formatCode>_(* #,##0_);_(* \(#,##0\);_(* "-"??_);_(@_)</c:formatCode>
                <c:ptCount val="14"/>
                <c:pt idx="0">
                  <c:v>159078.56666666665</c:v>
                </c:pt>
                <c:pt idx="1">
                  <c:v>168219.33333333334</c:v>
                </c:pt>
                <c:pt idx="2">
                  <c:v>186610.5</c:v>
                </c:pt>
                <c:pt idx="3">
                  <c:v>185000</c:v>
                </c:pt>
                <c:pt idx="4">
                  <c:v>180000</c:v>
                </c:pt>
                <c:pt idx="5">
                  <c:v>144913</c:v>
                </c:pt>
                <c:pt idx="6">
                  <c:v>98622</c:v>
                </c:pt>
                <c:pt idx="7">
                  <c:v>62763</c:v>
                </c:pt>
                <c:pt idx="8">
                  <c:v>34813</c:v>
                </c:pt>
                <c:pt idx="9">
                  <c:v>13192</c:v>
                </c:pt>
                <c:pt idx="10">
                  <c:v>13287</c:v>
                </c:pt>
                <c:pt idx="11">
                  <c:v>14439</c:v>
                </c:pt>
                <c:pt idx="12">
                  <c:v>17723</c:v>
                </c:pt>
                <c:pt idx="13">
                  <c:v>17723</c:v>
                </c:pt>
              </c:numCache>
            </c:numRef>
          </c:val>
          <c:smooth val="0"/>
          <c:extLst>
            <c:ext xmlns:c16="http://schemas.microsoft.com/office/drawing/2014/chart" uri="{C3380CC4-5D6E-409C-BE32-E72D297353CC}">
              <c16:uniqueId val="{00000003-E99E-1A41-BE88-3EF8C747C3AD}"/>
            </c:ext>
          </c:extLst>
        </c:ser>
        <c:dLbls>
          <c:showLegendKey val="0"/>
          <c:showVal val="0"/>
          <c:showCatName val="0"/>
          <c:showSerName val="0"/>
          <c:showPercent val="0"/>
          <c:showBubbleSize val="0"/>
        </c:dLbls>
        <c:marker val="1"/>
        <c:smooth val="0"/>
        <c:axId val="-644764640"/>
        <c:axId val="-644762320"/>
      </c:lineChart>
      <c:catAx>
        <c:axId val="-644764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crossAx val="-644762320"/>
        <c:crosses val="autoZero"/>
        <c:auto val="1"/>
        <c:lblAlgn val="ctr"/>
        <c:lblOffset val="100"/>
        <c:noMultiLvlLbl val="0"/>
      </c:catAx>
      <c:valAx>
        <c:axId val="-644762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r>
                  <a:rPr lang="en-US"/>
                  <a:t>Forces </a:t>
                </a:r>
              </a:p>
            </c:rich>
          </c:tx>
          <c:layout>
            <c:manualLayout>
              <c:xMode val="edge"/>
              <c:yMode val="edge"/>
              <c:x val="6.8500820499182002E-3"/>
              <c:y val="0.388524571983759"/>
            </c:manualLayout>
          </c:layout>
          <c:overlay val="0"/>
          <c:spPr>
            <a:noFill/>
            <a:ln>
              <a:noFill/>
            </a:ln>
            <a:effectLst/>
          </c:spPr>
          <c:txPr>
            <a:bodyPr rot="-54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title>
        <c:numFmt formatCode="###," sourceLinked="0"/>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crossAx val="-644764640"/>
        <c:crosses val="autoZero"/>
        <c:crossBetween val="between"/>
      </c:valAx>
      <c:spPr>
        <a:noFill/>
        <a:ln>
          <a:solidFill>
            <a:schemeClr val="tx1">
              <a:lumMod val="50000"/>
              <a:lumOff val="50000"/>
            </a:schemeClr>
          </a:solidFill>
        </a:ln>
        <a:effectLst/>
      </c:spPr>
    </c:plotArea>
    <c:legend>
      <c:legendPos val="b"/>
      <c:layout>
        <c:manualLayout>
          <c:xMode val="edge"/>
          <c:yMode val="edge"/>
          <c:x val="0.68958568592717895"/>
          <c:y val="8.6704973160512594E-2"/>
          <c:w val="0.27577731335036798"/>
          <c:h val="0.20735394949767599"/>
        </c:manualLayout>
      </c:layout>
      <c:overlay val="0"/>
      <c:spPr>
        <a:solidFill>
          <a:schemeClr val="bg1"/>
        </a:solid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240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2510949652984"/>
          <c:y val="7.0652173913043501E-2"/>
          <c:w val="0.86023627072868003"/>
          <c:h val="0.81753594659363205"/>
        </c:manualLayout>
      </c:layout>
      <c:barChart>
        <c:barDir val="col"/>
        <c:grouping val="clustered"/>
        <c:varyColors val="0"/>
        <c:ser>
          <c:idx val="4"/>
          <c:order val="1"/>
          <c:tx>
            <c:strRef>
              <c:f>Manpower!$B$9</c:f>
              <c:strCache>
                <c:ptCount val="1"/>
                <c:pt idx="0">
                  <c:v>In-Theater Support</c:v>
                </c:pt>
              </c:strCache>
            </c:strRef>
          </c:tx>
          <c:spPr>
            <a:solidFill>
              <a:schemeClr val="accent6">
                <a:lumMod val="75000"/>
              </a:schemeClr>
            </a:solidFill>
            <a:ln>
              <a:noFill/>
            </a:ln>
            <a:effectLst/>
          </c:spPr>
          <c:invertIfNegative val="0"/>
          <c:cat>
            <c:numRef>
              <c:f>Manpower!$C$3:$P$3</c:f>
              <c:numCache>
                <c:formatCode>General</c:formatCode>
                <c:ptCount val="14"/>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numCache>
            </c:numRef>
          </c:cat>
          <c:val>
            <c:numRef>
              <c:f>Manpower!$C$9:$P$9</c:f>
              <c:numCache>
                <c:formatCode>General</c:formatCode>
                <c:ptCount val="14"/>
                <c:pt idx="3" formatCode="_(* #,##0_);_(* \(#,##0\);_(* &quot;-&quot;??_);_(@_)">
                  <c:v>112000</c:v>
                </c:pt>
                <c:pt idx="4" formatCode="_(* #,##0_);_(* \(#,##0\);_(* &quot;-&quot;??_);_(@_)">
                  <c:v>113500</c:v>
                </c:pt>
                <c:pt idx="5" formatCode="_(* #,##0_);_(* \(#,##0\);_(* &quot;-&quot;??_);_(@_)">
                  <c:v>119095</c:v>
                </c:pt>
                <c:pt idx="6" formatCode="_(* #,##0_);_(* \(#,##0\);_(* &quot;-&quot;??_);_(@_)">
                  <c:v>105808</c:v>
                </c:pt>
                <c:pt idx="7" formatCode="_(* #,##0_);_(* \(#,##0\);_(* &quot;-&quot;??_);_(@_)">
                  <c:v>90556</c:v>
                </c:pt>
                <c:pt idx="8" formatCode="_(* #,##0_);_(* \(#,##0\);_(* &quot;-&quot;??_);_(@_)">
                  <c:v>80105</c:v>
                </c:pt>
                <c:pt idx="9" formatCode="_(* #,##0_);_(* \(#,##0\);_(* &quot;-&quot;??_);_(@_)">
                  <c:v>71978</c:v>
                </c:pt>
                <c:pt idx="10" formatCode="_(* #,##0_);_(* \(#,##0\);_(* &quot;-&quot;??_);_(@_)">
                  <c:v>71822</c:v>
                </c:pt>
                <c:pt idx="11" formatCode="_(* #,##0_);_(* \(#,##0\);_(* &quot;-&quot;??_);_(@_)">
                  <c:v>75571</c:v>
                </c:pt>
                <c:pt idx="12" formatCode="_(* #,##0_);_(* \(#,##0\);_(* &quot;-&quot;??_);_(@_)">
                  <c:v>72921</c:v>
                </c:pt>
                <c:pt idx="13" formatCode="_(* #,##0_);_(* \(#,##0\);_(* &quot;-&quot;??_);_(@_)">
                  <c:v>76074</c:v>
                </c:pt>
              </c:numCache>
            </c:numRef>
          </c:val>
          <c:extLst>
            <c:ext xmlns:c16="http://schemas.microsoft.com/office/drawing/2014/chart" uri="{C3380CC4-5D6E-409C-BE32-E72D297353CC}">
              <c16:uniqueId val="{00000000-4C7D-9D43-8D63-60DEDF351F80}"/>
            </c:ext>
          </c:extLst>
        </c:ser>
        <c:dLbls>
          <c:showLegendKey val="0"/>
          <c:showVal val="0"/>
          <c:showCatName val="0"/>
          <c:showSerName val="0"/>
          <c:showPercent val="0"/>
          <c:showBubbleSize val="0"/>
        </c:dLbls>
        <c:gapWidth val="219"/>
        <c:overlap val="-27"/>
        <c:axId val="-644764640"/>
        <c:axId val="-644762320"/>
      </c:barChart>
      <c:lineChart>
        <c:grouping val="standard"/>
        <c:varyColors val="0"/>
        <c:ser>
          <c:idx val="5"/>
          <c:order val="0"/>
          <c:tx>
            <c:strRef>
              <c:f>Manpower!$B$6</c:f>
              <c:strCache>
                <c:ptCount val="1"/>
                <c:pt idx="0">
                  <c:v>Operational Total</c:v>
                </c:pt>
              </c:strCache>
            </c:strRef>
          </c:tx>
          <c:spPr>
            <a:ln w="28575" cap="rnd">
              <a:solidFill>
                <a:schemeClr val="tx1"/>
              </a:solidFill>
              <a:round/>
            </a:ln>
            <a:effectLst/>
          </c:spPr>
          <c:marker>
            <c:symbol val="none"/>
          </c:marker>
          <c:cat>
            <c:numRef>
              <c:f>Manpower!$C$3:$P$3</c:f>
              <c:numCache>
                <c:formatCode>General</c:formatCode>
                <c:ptCount val="14"/>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numCache>
            </c:numRef>
          </c:cat>
          <c:val>
            <c:numRef>
              <c:f>Manpower!$C$6:$P$6</c:f>
              <c:numCache>
                <c:formatCode>_(* #,##0_);_(* \(#,##0\);_(* "-"??_);_(@_)</c:formatCode>
                <c:ptCount val="14"/>
                <c:pt idx="0">
                  <c:v>159078.56666666665</c:v>
                </c:pt>
                <c:pt idx="1">
                  <c:v>168219.33333333334</c:v>
                </c:pt>
                <c:pt idx="2">
                  <c:v>186610.5</c:v>
                </c:pt>
                <c:pt idx="3">
                  <c:v>185000</c:v>
                </c:pt>
                <c:pt idx="4">
                  <c:v>180000</c:v>
                </c:pt>
                <c:pt idx="5">
                  <c:v>144913</c:v>
                </c:pt>
                <c:pt idx="6">
                  <c:v>98622</c:v>
                </c:pt>
                <c:pt idx="7">
                  <c:v>62763</c:v>
                </c:pt>
                <c:pt idx="8">
                  <c:v>34813</c:v>
                </c:pt>
                <c:pt idx="9">
                  <c:v>13192</c:v>
                </c:pt>
                <c:pt idx="10">
                  <c:v>13287</c:v>
                </c:pt>
                <c:pt idx="11">
                  <c:v>14439</c:v>
                </c:pt>
                <c:pt idx="12">
                  <c:v>17723</c:v>
                </c:pt>
                <c:pt idx="13">
                  <c:v>17723</c:v>
                </c:pt>
              </c:numCache>
            </c:numRef>
          </c:val>
          <c:smooth val="0"/>
          <c:extLst>
            <c:ext xmlns:c16="http://schemas.microsoft.com/office/drawing/2014/chart" uri="{C3380CC4-5D6E-409C-BE32-E72D297353CC}">
              <c16:uniqueId val="{00000003-4C7D-9D43-8D63-60DEDF351F80}"/>
            </c:ext>
          </c:extLst>
        </c:ser>
        <c:dLbls>
          <c:showLegendKey val="0"/>
          <c:showVal val="0"/>
          <c:showCatName val="0"/>
          <c:showSerName val="0"/>
          <c:showPercent val="0"/>
          <c:showBubbleSize val="0"/>
        </c:dLbls>
        <c:marker val="1"/>
        <c:smooth val="0"/>
        <c:axId val="-644764640"/>
        <c:axId val="-644762320"/>
      </c:lineChart>
      <c:catAx>
        <c:axId val="-644764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crossAx val="-644762320"/>
        <c:crosses val="autoZero"/>
        <c:auto val="1"/>
        <c:lblAlgn val="ctr"/>
        <c:lblOffset val="100"/>
        <c:noMultiLvlLbl val="0"/>
      </c:catAx>
      <c:valAx>
        <c:axId val="-644762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r>
                  <a:rPr lang="en-US"/>
                  <a:t>Forces </a:t>
                </a:r>
              </a:p>
            </c:rich>
          </c:tx>
          <c:layout>
            <c:manualLayout>
              <c:xMode val="edge"/>
              <c:yMode val="edge"/>
              <c:x val="6.8500820499182002E-3"/>
              <c:y val="0.388524571983759"/>
            </c:manualLayout>
          </c:layout>
          <c:overlay val="0"/>
          <c:spPr>
            <a:noFill/>
            <a:ln>
              <a:noFill/>
            </a:ln>
            <a:effectLst/>
          </c:spPr>
          <c:txPr>
            <a:bodyPr rot="-54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title>
        <c:numFmt formatCode="###," sourceLinked="0"/>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crossAx val="-644764640"/>
        <c:crosses val="autoZero"/>
        <c:crossBetween val="between"/>
      </c:valAx>
      <c:spPr>
        <a:noFill/>
        <a:ln>
          <a:solidFill>
            <a:schemeClr val="tx1">
              <a:lumMod val="50000"/>
              <a:lumOff val="50000"/>
            </a:schemeClr>
          </a:solidFill>
        </a:ln>
        <a:effectLst/>
      </c:spPr>
    </c:plotArea>
    <c:legend>
      <c:legendPos val="b"/>
      <c:layout>
        <c:manualLayout>
          <c:xMode val="edge"/>
          <c:yMode val="edge"/>
          <c:x val="0.68958568592717895"/>
          <c:y val="8.6704973160512594E-2"/>
          <c:w val="0.27577731335036798"/>
          <c:h val="0.20735394949767599"/>
        </c:manualLayout>
      </c:layout>
      <c:overlay val="0"/>
      <c:spPr>
        <a:solidFill>
          <a:schemeClr val="bg1"/>
        </a:solid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240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tiff"/></Relationships>
</file>

<file path=xl/drawings/_rels/drawing5.xml.rels><?xml version="1.0" encoding="UTF-8" standalone="yes"?>
<Relationships xmlns="http://schemas.openxmlformats.org/package/2006/relationships"><Relationship Id="rId1" Type="http://schemas.openxmlformats.org/officeDocument/2006/relationships/image" Target="../media/image2.tiff"/></Relationships>
</file>

<file path=xl/drawings/drawing1.xml><?xml version="1.0" encoding="utf-8"?>
<xdr:wsDr xmlns:xdr="http://schemas.openxmlformats.org/drawingml/2006/spreadsheetDrawing" xmlns:a="http://schemas.openxmlformats.org/drawingml/2006/main">
  <xdr:absoluteAnchor>
    <xdr:pos x="7857068" y="451555"/>
    <xdr:ext cx="9313332" cy="5288846"/>
    <xdr:graphicFrame macro="">
      <xdr:nvGraphicFramePr>
        <xdr:cNvPr id="3" name="Chart 2">
          <a:extLst>
            <a:ext uri="{FF2B5EF4-FFF2-40B4-BE49-F238E27FC236}">
              <a16:creationId xmlns:a16="http://schemas.microsoft.com/office/drawing/2014/main" id="{76B92A6F-05A8-8D4A-9213-03C11A894CA4}"/>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twoCellAnchor>
    <xdr:from>
      <xdr:col>20</xdr:col>
      <xdr:colOff>86179</xdr:colOff>
      <xdr:row>2</xdr:row>
      <xdr:rowOff>70757</xdr:rowOff>
    </xdr:from>
    <xdr:to>
      <xdr:col>20</xdr:col>
      <xdr:colOff>11906250</xdr:colOff>
      <xdr:row>34</xdr:row>
      <xdr:rowOff>0</xdr:rowOff>
    </xdr:to>
    <xdr:graphicFrame macro="">
      <xdr:nvGraphicFramePr>
        <xdr:cNvPr id="8" name="Chart 7">
          <a:extLst>
            <a:ext uri="{FF2B5EF4-FFF2-40B4-BE49-F238E27FC236}">
              <a16:creationId xmlns:a16="http://schemas.microsoft.com/office/drawing/2014/main" id="{00000000-0008-0000-01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652234</xdr:colOff>
      <xdr:row>50</xdr:row>
      <xdr:rowOff>100691</xdr:rowOff>
    </xdr:from>
    <xdr:to>
      <xdr:col>10</xdr:col>
      <xdr:colOff>228600</xdr:colOff>
      <xdr:row>51</xdr:row>
      <xdr:rowOff>2108201</xdr:rowOff>
    </xdr:to>
    <xdr:graphicFrame macro="">
      <xdr:nvGraphicFramePr>
        <xdr:cNvPr id="12" name="Chart 11">
          <a:extLst>
            <a:ext uri="{FF2B5EF4-FFF2-40B4-BE49-F238E27FC236}">
              <a16:creationId xmlns:a16="http://schemas.microsoft.com/office/drawing/2014/main" id="{00000000-0008-0000-01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299862</xdr:colOff>
      <xdr:row>50</xdr:row>
      <xdr:rowOff>373944</xdr:rowOff>
    </xdr:from>
    <xdr:to>
      <xdr:col>20</xdr:col>
      <xdr:colOff>4649611</xdr:colOff>
      <xdr:row>51</xdr:row>
      <xdr:rowOff>2215444</xdr:rowOff>
    </xdr:to>
    <xdr:grpSp>
      <xdr:nvGrpSpPr>
        <xdr:cNvPr id="3" name="Group 2">
          <a:extLst>
            <a:ext uri="{FF2B5EF4-FFF2-40B4-BE49-F238E27FC236}">
              <a16:creationId xmlns:a16="http://schemas.microsoft.com/office/drawing/2014/main" id="{9608F95E-9BD4-E742-9FFF-A9E3F85A5A89}"/>
            </a:ext>
          </a:extLst>
        </xdr:cNvPr>
        <xdr:cNvGrpSpPr/>
      </xdr:nvGrpSpPr>
      <xdr:grpSpPr>
        <a:xfrm>
          <a:off x="12350751" y="11154833"/>
          <a:ext cx="11715749" cy="7048500"/>
          <a:chOff x="12280195" y="17829389"/>
          <a:chExt cx="11856860" cy="7034389"/>
        </a:xfrm>
      </xdr:grpSpPr>
      <xdr:graphicFrame macro="">
        <xdr:nvGraphicFramePr>
          <xdr:cNvPr id="7" name="Chart 6">
            <a:extLst>
              <a:ext uri="{FF2B5EF4-FFF2-40B4-BE49-F238E27FC236}">
                <a16:creationId xmlns:a16="http://schemas.microsoft.com/office/drawing/2014/main" id="{00000000-0008-0000-0100-000007000000}"/>
              </a:ext>
            </a:extLst>
          </xdr:cNvPr>
          <xdr:cNvGraphicFramePr>
            <a:graphicFrameLocks/>
          </xdr:cNvGraphicFramePr>
        </xdr:nvGraphicFramePr>
        <xdr:xfrm>
          <a:off x="12280195" y="17829389"/>
          <a:ext cx="11856860" cy="7034389"/>
        </xdr:xfrm>
        <a:graphic>
          <a:graphicData uri="http://schemas.openxmlformats.org/drawingml/2006/chart">
            <c:chart xmlns:c="http://schemas.openxmlformats.org/drawingml/2006/chart" xmlns:r="http://schemas.openxmlformats.org/officeDocument/2006/relationships" r:id="rId3"/>
          </a:graphicData>
        </a:graphic>
      </xdr:graphicFrame>
      <xdr:grpSp>
        <xdr:nvGrpSpPr>
          <xdr:cNvPr id="5" name="Group 4">
            <a:extLst>
              <a:ext uri="{FF2B5EF4-FFF2-40B4-BE49-F238E27FC236}">
                <a16:creationId xmlns:a16="http://schemas.microsoft.com/office/drawing/2014/main" id="{930CC0DA-D56B-6D4D-AADD-A3643CABE30B}"/>
              </a:ext>
            </a:extLst>
          </xdr:cNvPr>
          <xdr:cNvGrpSpPr/>
        </xdr:nvGrpSpPr>
        <xdr:grpSpPr>
          <a:xfrm>
            <a:off x="22644679" y="19684072"/>
            <a:ext cx="1489739" cy="3396146"/>
            <a:chOff x="15802847" y="18803581"/>
            <a:chExt cx="1377844" cy="3492490"/>
          </a:xfrm>
        </xdr:grpSpPr>
        <xdr:sp macro="" textlink="">
          <xdr:nvSpPr>
            <xdr:cNvPr id="11" name="TextBox 10">
              <a:extLst>
                <a:ext uri="{FF2B5EF4-FFF2-40B4-BE49-F238E27FC236}">
                  <a16:creationId xmlns:a16="http://schemas.microsoft.com/office/drawing/2014/main" id="{DB606F44-4E47-2D4E-8B1F-9CAAE6896813}"/>
                </a:ext>
              </a:extLst>
            </xdr:cNvPr>
            <xdr:cNvSpPr txBox="1"/>
          </xdr:nvSpPr>
          <xdr:spPr>
            <a:xfrm>
              <a:off x="15882097" y="18803581"/>
              <a:ext cx="1162342" cy="8371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Funding</a:t>
              </a:r>
              <a:r>
                <a:rPr lang="en-US" sz="1100" baseline="0"/>
                <a:t> in OCO Explicitly</a:t>
              </a:r>
            </a:p>
            <a:p>
              <a:r>
                <a:rPr lang="en-US" sz="1100" baseline="0"/>
                <a:t>for Base-Budget Needs</a:t>
              </a:r>
            </a:p>
          </xdr:txBody>
        </xdr:sp>
        <xdr:sp macro="" textlink="">
          <xdr:nvSpPr>
            <xdr:cNvPr id="13" name="TextBox 12">
              <a:extLst>
                <a:ext uri="{FF2B5EF4-FFF2-40B4-BE49-F238E27FC236}">
                  <a16:creationId xmlns:a16="http://schemas.microsoft.com/office/drawing/2014/main" id="{AF8982AD-BCBD-4E40-B47E-ECF8CBBFDA6C}"/>
                </a:ext>
              </a:extLst>
            </xdr:cNvPr>
            <xdr:cNvSpPr txBox="1"/>
          </xdr:nvSpPr>
          <xdr:spPr>
            <a:xfrm>
              <a:off x="15802847" y="20249371"/>
              <a:ext cx="1377844" cy="622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Funding</a:t>
              </a:r>
              <a:r>
                <a:rPr lang="en-US" sz="1100" baseline="0"/>
                <a:t> in OCO with</a:t>
              </a:r>
            </a:p>
            <a:p>
              <a:r>
                <a:rPr lang="en-US" sz="1100" baseline="0"/>
                <a:t>Long-term Effects on</a:t>
              </a:r>
            </a:p>
            <a:p>
              <a:r>
                <a:rPr lang="en-US" sz="1100" baseline="0"/>
                <a:t>the Base Budget</a:t>
              </a:r>
            </a:p>
          </xdr:txBody>
        </xdr:sp>
        <xdr:sp macro="" textlink="">
          <xdr:nvSpPr>
            <xdr:cNvPr id="14" name="TextBox 13">
              <a:extLst>
                <a:ext uri="{FF2B5EF4-FFF2-40B4-BE49-F238E27FC236}">
                  <a16:creationId xmlns:a16="http://schemas.microsoft.com/office/drawing/2014/main" id="{E78D2AAD-55BE-9C4F-B3DF-5D508AF450C6}"/>
                </a:ext>
              </a:extLst>
            </xdr:cNvPr>
            <xdr:cNvSpPr txBox="1"/>
          </xdr:nvSpPr>
          <xdr:spPr>
            <a:xfrm>
              <a:off x="15830312" y="21673771"/>
              <a:ext cx="1214123" cy="622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Funding</a:t>
              </a:r>
              <a:r>
                <a:rPr lang="en-US" sz="1100" baseline="0"/>
                <a:t> in OCO for</a:t>
              </a:r>
            </a:p>
            <a:p>
              <a:r>
                <a:rPr lang="en-US" sz="1100" baseline="0"/>
                <a:t>Activities likely to</a:t>
              </a:r>
            </a:p>
            <a:p>
              <a:r>
                <a:rPr lang="en-US" sz="1100" baseline="0"/>
                <a:t>endure</a:t>
              </a:r>
            </a:p>
          </xdr:txBody>
        </xdr:sp>
      </xdr:grp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87489</xdr:colOff>
      <xdr:row>18</xdr:row>
      <xdr:rowOff>79023</xdr:rowOff>
    </xdr:from>
    <xdr:to>
      <xdr:col>9</xdr:col>
      <xdr:colOff>719666</xdr:colOff>
      <xdr:row>20</xdr:row>
      <xdr:rowOff>2984500</xdr:rowOff>
    </xdr:to>
    <xdr:graphicFrame macro="">
      <xdr:nvGraphicFramePr>
        <xdr:cNvPr id="2" name="Chart 1">
          <a:extLst>
            <a:ext uri="{FF2B5EF4-FFF2-40B4-BE49-F238E27FC236}">
              <a16:creationId xmlns:a16="http://schemas.microsoft.com/office/drawing/2014/main" id="{34369C72-756A-034E-B826-0D78C9045F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24191</xdr:colOff>
      <xdr:row>18</xdr:row>
      <xdr:rowOff>135267</xdr:rowOff>
    </xdr:from>
    <xdr:to>
      <xdr:col>23</xdr:col>
      <xdr:colOff>508000</xdr:colOff>
      <xdr:row>20</xdr:row>
      <xdr:rowOff>2857501</xdr:rowOff>
    </xdr:to>
    <xdr:graphicFrame macro="">
      <xdr:nvGraphicFramePr>
        <xdr:cNvPr id="4" name="Chart 3">
          <a:extLst>
            <a:ext uri="{FF2B5EF4-FFF2-40B4-BE49-F238E27FC236}">
              <a16:creationId xmlns:a16="http://schemas.microsoft.com/office/drawing/2014/main" id="{88A69149-8C70-0C48-8511-486207C5B3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663223</xdr:colOff>
      <xdr:row>18</xdr:row>
      <xdr:rowOff>28222</xdr:rowOff>
    </xdr:from>
    <xdr:to>
      <xdr:col>37</xdr:col>
      <xdr:colOff>173365</xdr:colOff>
      <xdr:row>20</xdr:row>
      <xdr:rowOff>2750456</xdr:rowOff>
    </xdr:to>
    <xdr:graphicFrame macro="">
      <xdr:nvGraphicFramePr>
        <xdr:cNvPr id="11" name="Chart 10">
          <a:extLst>
            <a:ext uri="{FF2B5EF4-FFF2-40B4-BE49-F238E27FC236}">
              <a16:creationId xmlns:a16="http://schemas.microsoft.com/office/drawing/2014/main" id="{0DFD4F1F-2764-E44B-AC2E-6707B33A79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25</xdr:col>
      <xdr:colOff>169333</xdr:colOff>
      <xdr:row>0</xdr:row>
      <xdr:rowOff>84667</xdr:rowOff>
    </xdr:from>
    <xdr:to>
      <xdr:col>38</xdr:col>
      <xdr:colOff>1063344</xdr:colOff>
      <xdr:row>38</xdr:row>
      <xdr:rowOff>14111</xdr:rowOff>
    </xdr:to>
    <xdr:pic>
      <xdr:nvPicPr>
        <xdr:cNvPr id="4" name="Picture 3">
          <a:extLst>
            <a:ext uri="{FF2B5EF4-FFF2-40B4-BE49-F238E27FC236}">
              <a16:creationId xmlns:a16="http://schemas.microsoft.com/office/drawing/2014/main" id="{363F875C-FBEF-A346-9E76-18FFF4068409}"/>
            </a:ext>
          </a:extLst>
        </xdr:cNvPr>
        <xdr:cNvPicPr>
          <a:picLocks noChangeAspect="1"/>
        </xdr:cNvPicPr>
      </xdr:nvPicPr>
      <xdr:blipFill>
        <a:blip xmlns:r="http://schemas.openxmlformats.org/officeDocument/2006/relationships" r:embed="rId1"/>
        <a:stretch>
          <a:fillRect/>
        </a:stretch>
      </xdr:blipFill>
      <xdr:spPr>
        <a:xfrm>
          <a:off x="16383000" y="84667"/>
          <a:ext cx="14652344" cy="743655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0</xdr:colOff>
      <xdr:row>2</xdr:row>
      <xdr:rowOff>0</xdr:rowOff>
    </xdr:from>
    <xdr:to>
      <xdr:col>17</xdr:col>
      <xdr:colOff>774700</xdr:colOff>
      <xdr:row>54</xdr:row>
      <xdr:rowOff>12700</xdr:rowOff>
    </xdr:to>
    <xdr:pic>
      <xdr:nvPicPr>
        <xdr:cNvPr id="3" name="Picture 2">
          <a:extLst>
            <a:ext uri="{FF2B5EF4-FFF2-40B4-BE49-F238E27FC236}">
              <a16:creationId xmlns:a16="http://schemas.microsoft.com/office/drawing/2014/main" id="{30B81FF4-78D5-964C-92A8-A6279BF9587C}"/>
            </a:ext>
          </a:extLst>
        </xdr:cNvPr>
        <xdr:cNvPicPr>
          <a:picLocks noChangeAspect="1"/>
        </xdr:cNvPicPr>
      </xdr:nvPicPr>
      <xdr:blipFill>
        <a:blip xmlns:r="http://schemas.openxmlformats.org/officeDocument/2006/relationships" r:embed="rId1"/>
        <a:stretch>
          <a:fillRect/>
        </a:stretch>
      </xdr:blipFill>
      <xdr:spPr>
        <a:xfrm>
          <a:off x="10617200" y="406400"/>
          <a:ext cx="9855200" cy="108712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50800</xdr:colOff>
      <xdr:row>23</xdr:row>
      <xdr:rowOff>101600</xdr:rowOff>
    </xdr:from>
    <xdr:to>
      <xdr:col>19</xdr:col>
      <xdr:colOff>381000</xdr:colOff>
      <xdr:row>31</xdr:row>
      <xdr:rowOff>177800</xdr:rowOff>
    </xdr:to>
    <xdr:sp macro="" textlink="">
      <xdr:nvSpPr>
        <xdr:cNvPr id="2" name="TextBox 1">
          <a:extLst>
            <a:ext uri="{FF2B5EF4-FFF2-40B4-BE49-F238E27FC236}">
              <a16:creationId xmlns:a16="http://schemas.microsoft.com/office/drawing/2014/main" id="{456A32BD-CCEC-F245-B5E0-4F77ED993926}"/>
            </a:ext>
          </a:extLst>
        </xdr:cNvPr>
        <xdr:cNvSpPr txBox="1"/>
      </xdr:nvSpPr>
      <xdr:spPr>
        <a:xfrm>
          <a:off x="8432800" y="6540500"/>
          <a:ext cx="14719300" cy="149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Funding Sources</a:t>
          </a:r>
        </a:p>
        <a:p>
          <a:endParaRPr lang="en-US" sz="1100"/>
        </a:p>
        <a:p>
          <a:r>
            <a:rPr lang="en-US" sz="1100"/>
            <a:t>1. For the Military Construction Bill appropriations, the President's Budget Request reflects the amounts enacted in Division A of P.L. 114-223, the Military Construction, Veterans Affairs, and Related Agencies Appropriations Act, 2017 (September 29, 2016)</a:t>
          </a:r>
        </a:p>
        <a:p>
          <a:endParaRPr lang="en-US" sz="1100"/>
        </a:p>
        <a:p>
          <a:r>
            <a:rPr lang="en-US" sz="1100"/>
            <a:t>2. Division B of P.L. 114-254, Further Continuing and Security Assistance Appropriations Act, 2017 (December 10, 2016).</a:t>
          </a:r>
        </a:p>
        <a:p>
          <a:endParaRPr lang="en-US" sz="1100"/>
        </a:p>
        <a:p>
          <a:r>
            <a:rPr lang="en-US" sz="1100"/>
            <a:t>3.  Division C of P.L. 115-31 Omnibus Appropriation (May 5, 2017)</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031BD-AFDC-4D41-A7DB-AD2673434ED0}">
  <dimension ref="A1:O62"/>
  <sheetViews>
    <sheetView tabSelected="1" zoomScale="90" zoomScaleNormal="90" workbookViewId="0">
      <selection activeCell="K27" sqref="K27"/>
    </sheetView>
  </sheetViews>
  <sheetFormatPr baseColWidth="10" defaultColWidth="7.33203125" defaultRowHeight="15"/>
  <cols>
    <col min="1" max="1" width="19.5" style="275" bestFit="1" customWidth="1"/>
    <col min="2" max="5" width="11.5" style="275" hidden="1" customWidth="1"/>
    <col min="6" max="6" width="21.83203125" style="275" hidden="1" customWidth="1"/>
    <col min="7" max="7" width="21.83203125" style="275" bestFit="1" customWidth="1"/>
    <col min="8" max="8" width="21.83203125" style="275" customWidth="1"/>
    <col min="9" max="9" width="15.33203125" style="275" bestFit="1" customWidth="1"/>
    <col min="10" max="11" width="10.5" style="275" bestFit="1" customWidth="1"/>
    <col min="12" max="12" width="11.5" style="275" hidden="1" customWidth="1"/>
    <col min="13" max="14" width="10.5" style="275" hidden="1" customWidth="1"/>
    <col min="15" max="33" width="10.5" style="275" bestFit="1" customWidth="1"/>
    <col min="34" max="16384" width="7.33203125" style="275"/>
  </cols>
  <sheetData>
    <row r="1" spans="1:13">
      <c r="A1" s="276" t="s">
        <v>559</v>
      </c>
      <c r="B1" s="277"/>
      <c r="C1" s="277"/>
      <c r="D1" s="277"/>
      <c r="E1" s="277"/>
      <c r="F1" s="277"/>
      <c r="G1" s="277"/>
      <c r="H1" s="277"/>
      <c r="I1" s="277"/>
      <c r="L1" s="277"/>
    </row>
    <row r="2" spans="1:13">
      <c r="A2" s="278" t="s">
        <v>345</v>
      </c>
      <c r="B2" s="279"/>
      <c r="C2" s="279"/>
      <c r="D2" s="279"/>
      <c r="E2" s="279"/>
      <c r="F2" s="277"/>
      <c r="G2" s="277"/>
      <c r="H2" s="283"/>
      <c r="I2" s="274"/>
      <c r="L2" s="279"/>
    </row>
    <row r="3" spans="1:13" ht="31">
      <c r="A3" s="280"/>
      <c r="B3" s="277" t="str">
        <f t="shared" ref="B3:I3" si="0">B31</f>
        <v>PB19 Base Budget</v>
      </c>
      <c r="C3" s="277" t="str">
        <f t="shared" si="0"/>
        <v>OCO Budget</v>
      </c>
      <c r="D3" s="277" t="str">
        <f t="shared" si="0"/>
        <v>OCO to Base</v>
      </c>
      <c r="E3" s="277" t="str">
        <f t="shared" si="0"/>
        <v>Outyears Placeholder</v>
      </c>
      <c r="F3" s="277" t="str">
        <f t="shared" si="0"/>
        <v>Enduring OCO</v>
      </c>
      <c r="G3" s="277" t="str">
        <f t="shared" si="0"/>
        <v>Adjusted Base Budget</v>
      </c>
      <c r="H3" s="277" t="str">
        <f t="shared" si="0"/>
        <v>DoD Base Budget</v>
      </c>
      <c r="I3" s="277" t="str">
        <f t="shared" si="0"/>
        <v>DoD Total Budget</v>
      </c>
      <c r="J3" s="277"/>
      <c r="K3" s="277" t="s">
        <v>592</v>
      </c>
      <c r="L3" s="277" t="str">
        <f>L31</f>
        <v>CBO PB18 Projection</v>
      </c>
    </row>
    <row r="4" spans="1:13" ht="16">
      <c r="A4" s="278">
        <v>2000</v>
      </c>
      <c r="B4" s="281">
        <f>B32/$K4</f>
        <v>418.8423540518624</v>
      </c>
      <c r="C4" s="281"/>
      <c r="D4" s="281"/>
      <c r="E4" s="281"/>
      <c r="F4" s="281"/>
      <c r="G4" s="281"/>
      <c r="H4" s="281">
        <f>H32/K4</f>
        <v>418.8423540518624</v>
      </c>
      <c r="I4" s="281">
        <f>I32/$K4</f>
        <v>418.8423540518624</v>
      </c>
      <c r="K4" s="69">
        <v>0.69366194032045059</v>
      </c>
      <c r="L4" s="284"/>
      <c r="M4" s="389"/>
    </row>
    <row r="5" spans="1:13" ht="16">
      <c r="A5" s="278">
        <v>2001</v>
      </c>
      <c r="B5" s="281">
        <f>B33/$K5</f>
        <v>409.18135803129792</v>
      </c>
      <c r="C5" s="281">
        <f>C33/$K5</f>
        <v>40.507904229745911</v>
      </c>
      <c r="D5" s="281"/>
      <c r="E5" s="281"/>
      <c r="F5" s="281"/>
      <c r="G5" s="281"/>
      <c r="H5" s="281">
        <f>H33/K5</f>
        <v>409.18135803129792</v>
      </c>
      <c r="I5" s="281">
        <f>I33/$K5</f>
        <v>449.68926226104384</v>
      </c>
      <c r="K5" s="69">
        <v>0.71033050332114134</v>
      </c>
      <c r="L5" s="284"/>
      <c r="M5" s="389"/>
    </row>
    <row r="6" spans="1:13" ht="16">
      <c r="A6" s="278">
        <v>2002</v>
      </c>
      <c r="B6" s="281">
        <f>B34/$K6</f>
        <v>455.49394433941666</v>
      </c>
      <c r="C6" s="281">
        <f>C34/$K6</f>
        <v>23.373087038666146</v>
      </c>
      <c r="D6" s="281"/>
      <c r="E6" s="281"/>
      <c r="F6" s="281"/>
      <c r="G6" s="281"/>
      <c r="H6" s="281">
        <f>H34/K6</f>
        <v>455.49394433941666</v>
      </c>
      <c r="I6" s="281">
        <f>I34/$K6</f>
        <v>478.8670313780828</v>
      </c>
      <c r="K6" s="69">
        <v>0.72177029812501559</v>
      </c>
      <c r="L6" s="284"/>
      <c r="M6" s="389"/>
    </row>
    <row r="7" spans="1:13" ht="16">
      <c r="A7" s="278">
        <v>2003</v>
      </c>
      <c r="B7" s="281">
        <f>B35/$K7</f>
        <v>496.56491136987734</v>
      </c>
      <c r="C7" s="281">
        <f>C35/$K7</f>
        <v>98.610408940178672</v>
      </c>
      <c r="D7" s="281"/>
      <c r="E7" s="281"/>
      <c r="F7" s="281"/>
      <c r="G7" s="281"/>
      <c r="H7" s="281">
        <f>H35/K7</f>
        <v>496.56491136987734</v>
      </c>
      <c r="I7" s="281">
        <f>I35/$K7</f>
        <v>595.17532031005601</v>
      </c>
      <c r="K7" s="69">
        <v>0.73558157581522121</v>
      </c>
      <c r="L7" s="284"/>
      <c r="M7" s="389"/>
    </row>
    <row r="8" spans="1:13" ht="16">
      <c r="A8" s="278">
        <v>2004</v>
      </c>
      <c r="B8" s="281">
        <f>B36/$K8</f>
        <v>504.01679951663783</v>
      </c>
      <c r="C8" s="281">
        <f>C36/$K8</f>
        <v>120.84192832502291</v>
      </c>
      <c r="D8" s="281"/>
      <c r="E8" s="281"/>
      <c r="F8" s="281"/>
      <c r="G8" s="281"/>
      <c r="H8" s="281">
        <f>H36/K8</f>
        <v>504.01679951663783</v>
      </c>
      <c r="I8" s="281">
        <f>I36/$K8</f>
        <v>624.85872784166077</v>
      </c>
      <c r="K8" s="69">
        <v>0.75378638244667995</v>
      </c>
      <c r="L8" s="284"/>
      <c r="M8" s="389"/>
    </row>
    <row r="9" spans="1:13" ht="16">
      <c r="A9" s="278">
        <v>2005</v>
      </c>
      <c r="B9" s="281">
        <f>B37/$K9</f>
        <v>520.98525879886552</v>
      </c>
      <c r="C9" s="281">
        <f>C37/$K9</f>
        <v>101.40350994697251</v>
      </c>
      <c r="D9" s="281"/>
      <c r="E9" s="281"/>
      <c r="F9" s="281"/>
      <c r="G9" s="281">
        <f>G37/$K9</f>
        <v>520.98525879886552</v>
      </c>
      <c r="H9" s="281">
        <f>H37/K9</f>
        <v>520.98525879886552</v>
      </c>
      <c r="I9" s="281">
        <f>I37/$K9</f>
        <v>622.38876874583798</v>
      </c>
      <c r="K9" s="69">
        <v>0.77750760344715164</v>
      </c>
      <c r="L9" s="284"/>
      <c r="M9" s="389"/>
    </row>
    <row r="10" spans="1:13" ht="16">
      <c r="A10" s="278">
        <v>2006</v>
      </c>
      <c r="B10" s="281">
        <f>B38/$K10</f>
        <v>513.91445197145083</v>
      </c>
      <c r="C10" s="281">
        <f>C38/$K10</f>
        <v>154.36393330802943</v>
      </c>
      <c r="D10" s="281"/>
      <c r="E10" s="281"/>
      <c r="F10" s="281">
        <v>44.715662258721231</v>
      </c>
      <c r="G10" s="281">
        <f>G38/$K10</f>
        <v>558.63011423017213</v>
      </c>
      <c r="H10" s="281">
        <f>H38/K10</f>
        <v>513.91445197145083</v>
      </c>
      <c r="I10" s="281">
        <f>I38/$K10</f>
        <v>668.27838527948029</v>
      </c>
      <c r="K10" s="69">
        <v>0.80275228380407149</v>
      </c>
      <c r="L10" s="284"/>
      <c r="M10" s="389"/>
    </row>
    <row r="11" spans="1:13" ht="16">
      <c r="A11" s="278">
        <v>2007</v>
      </c>
      <c r="B11" s="281">
        <f>B39/$K11</f>
        <v>524.90787753511597</v>
      </c>
      <c r="C11" s="281">
        <f>C39/$K11</f>
        <v>205.44529250188629</v>
      </c>
      <c r="D11" s="281"/>
      <c r="E11" s="281"/>
      <c r="F11" s="281">
        <v>70.216354714679952</v>
      </c>
      <c r="G11" s="281">
        <f>G39/$K11</f>
        <v>595.12423224979591</v>
      </c>
      <c r="H11" s="281">
        <f>H39/K11</f>
        <v>524.90787753511597</v>
      </c>
      <c r="I11" s="281">
        <f>I39/$K11</f>
        <v>730.35317003700231</v>
      </c>
      <c r="K11" s="69">
        <v>0.82459421647952613</v>
      </c>
      <c r="L11" s="284"/>
      <c r="M11" s="389"/>
    </row>
    <row r="12" spans="1:13" ht="16">
      <c r="A12" s="278">
        <v>2008</v>
      </c>
      <c r="B12" s="281">
        <f>B40/$K12</f>
        <v>578.12060518517205</v>
      </c>
      <c r="C12" s="281">
        <f>C40/$K12</f>
        <v>222.0720338238682</v>
      </c>
      <c r="D12" s="281"/>
      <c r="E12" s="281"/>
      <c r="F12" s="281">
        <v>85.070503251808162</v>
      </c>
      <c r="G12" s="281">
        <f>G40/$K12</f>
        <v>663.19110843698024</v>
      </c>
      <c r="H12" s="281">
        <f>H40/K12</f>
        <v>578.12060518517205</v>
      </c>
      <c r="I12" s="281">
        <f>I40/$K12</f>
        <v>800.19263900904025</v>
      </c>
      <c r="K12" s="69">
        <v>0.84165483055935886</v>
      </c>
      <c r="L12" s="284"/>
      <c r="M12" s="389"/>
    </row>
    <row r="13" spans="1:13" ht="16">
      <c r="A13" s="278">
        <v>2009</v>
      </c>
      <c r="B13" s="281">
        <f>B41/$K13</f>
        <v>600.60312956526309</v>
      </c>
      <c r="C13" s="281">
        <f>C41/$K13</f>
        <v>179.83330780514538</v>
      </c>
      <c r="D13" s="281"/>
      <c r="E13" s="281"/>
      <c r="F13" s="281">
        <v>53.497484743144135</v>
      </c>
      <c r="G13" s="281">
        <f>G41/$K13</f>
        <v>654.10061430840733</v>
      </c>
      <c r="H13" s="281">
        <f>H41/K13</f>
        <v>600.60312956526309</v>
      </c>
      <c r="I13" s="281">
        <f>I41/$K13</f>
        <v>780.43643737040861</v>
      </c>
      <c r="K13" s="69">
        <v>0.85147741466177274</v>
      </c>
      <c r="L13" s="284"/>
      <c r="M13" s="389"/>
    </row>
    <row r="14" spans="1:13" ht="16">
      <c r="A14" s="278">
        <v>2010</v>
      </c>
      <c r="B14" s="281">
        <f>B42/$K14</f>
        <v>620.09787939572107</v>
      </c>
      <c r="C14" s="281">
        <f>C42/$K14</f>
        <v>189.82041673674419</v>
      </c>
      <c r="D14" s="281"/>
      <c r="E14" s="281"/>
      <c r="F14" s="281">
        <v>40.980580018604655</v>
      </c>
      <c r="G14" s="281">
        <f>G42/$K14</f>
        <v>661.07845941432572</v>
      </c>
      <c r="H14" s="281">
        <f>H42/K14</f>
        <v>620.09787939572107</v>
      </c>
      <c r="I14" s="281">
        <f>I42/$K14</f>
        <v>809.91829613246512</v>
      </c>
      <c r="K14" s="69">
        <v>0.85894343086456204</v>
      </c>
      <c r="L14" s="284"/>
      <c r="M14" s="389"/>
    </row>
    <row r="15" spans="1:13" ht="16">
      <c r="A15" s="278">
        <v>2011</v>
      </c>
      <c r="B15" s="281">
        <f>B43/$K15</f>
        <v>607.02709199002209</v>
      </c>
      <c r="C15" s="281">
        <f>C43/$K15</f>
        <v>181.18467771618626</v>
      </c>
      <c r="D15" s="281"/>
      <c r="E15" s="281"/>
      <c r="F15" s="281">
        <v>44.957278270509967</v>
      </c>
      <c r="G15" s="281">
        <f>G43/$K15</f>
        <v>651.98437026053205</v>
      </c>
      <c r="H15" s="281">
        <f>H43/K15</f>
        <v>607.02709199002209</v>
      </c>
      <c r="I15" s="281">
        <f>I43/$K15</f>
        <v>788.21176970620843</v>
      </c>
      <c r="K15" s="69">
        <v>0.87638757317399019</v>
      </c>
      <c r="L15" s="284"/>
      <c r="M15" s="389"/>
    </row>
    <row r="16" spans="1:13" ht="16">
      <c r="A16" s="278">
        <v>2012</v>
      </c>
      <c r="B16" s="281">
        <f>B44/$K16</f>
        <v>605.41087614741116</v>
      </c>
      <c r="C16" s="281">
        <f>C44/$K16</f>
        <v>128.95007617844797</v>
      </c>
      <c r="D16" s="281"/>
      <c r="E16" s="281"/>
      <c r="F16" s="281">
        <v>30.589549105181735</v>
      </c>
      <c r="G16" s="281">
        <f>G44/$K16</f>
        <v>636.00042525259278</v>
      </c>
      <c r="H16" s="281">
        <f>H44/K16</f>
        <v>605.41087614741116</v>
      </c>
      <c r="I16" s="281">
        <f>I44/$K16</f>
        <v>734.3609523258591</v>
      </c>
      <c r="K16" s="69">
        <v>0.89246166741880806</v>
      </c>
      <c r="L16" s="284"/>
      <c r="M16" s="389"/>
    </row>
    <row r="17" spans="1:14" ht="16">
      <c r="A17" s="278">
        <v>2013</v>
      </c>
      <c r="B17" s="281">
        <f>B45/$K17</f>
        <v>554.54942247823601</v>
      </c>
      <c r="C17" s="281">
        <f>C45/$K17</f>
        <v>90.449046532310334</v>
      </c>
      <c r="D17" s="281"/>
      <c r="E17" s="281"/>
      <c r="F17" s="281">
        <v>50.576361813622846</v>
      </c>
      <c r="G17" s="281">
        <f>G45/$K17</f>
        <v>605.12578429185885</v>
      </c>
      <c r="H17" s="281">
        <f>H45/K17</f>
        <v>554.54942247823601</v>
      </c>
      <c r="I17" s="281">
        <f>I45/$K17</f>
        <v>644.99846901054639</v>
      </c>
      <c r="K17" s="69">
        <v>0.9075385882666781</v>
      </c>
      <c r="L17" s="284"/>
      <c r="M17" s="389"/>
    </row>
    <row r="18" spans="1:14" ht="16">
      <c r="A18" s="278">
        <v>2014</v>
      </c>
      <c r="B18" s="281">
        <f>B46/$K18</f>
        <v>552.56540416029668</v>
      </c>
      <c r="C18" s="281">
        <f>C46/$K18</f>
        <v>92.155198978949471</v>
      </c>
      <c r="D18" s="281"/>
      <c r="E18" s="281"/>
      <c r="F18" s="281">
        <v>51.513580940390298</v>
      </c>
      <c r="G18" s="281">
        <f>G46/$K18</f>
        <v>604.07898510068696</v>
      </c>
      <c r="H18" s="281">
        <f>H46/K18</f>
        <v>552.56540416029668</v>
      </c>
      <c r="I18" s="281">
        <f>I46/$K18</f>
        <v>644.72060313924612</v>
      </c>
      <c r="K18" s="69">
        <v>0.9240281714268912</v>
      </c>
      <c r="L18" s="284"/>
      <c r="M18" s="389"/>
    </row>
    <row r="19" spans="1:14" ht="16">
      <c r="A19" s="278">
        <v>2015</v>
      </c>
      <c r="B19" s="281">
        <f>B47/$K19</f>
        <v>542.94746524675327</v>
      </c>
      <c r="C19" s="281">
        <f>C47/$K19</f>
        <v>67.469040389610385</v>
      </c>
      <c r="D19" s="281"/>
      <c r="E19" s="281"/>
      <c r="F19" s="281">
        <v>44.483906493506495</v>
      </c>
      <c r="G19" s="281">
        <f>G47/$K19</f>
        <v>587.43137174025969</v>
      </c>
      <c r="H19" s="281">
        <f>H47/K19</f>
        <v>542.94746524675327</v>
      </c>
      <c r="I19" s="281">
        <f>I47/$K19</f>
        <v>610.41650563636358</v>
      </c>
      <c r="K19" s="69">
        <v>0.9351696664966358</v>
      </c>
      <c r="L19" s="284"/>
      <c r="M19" s="389"/>
    </row>
    <row r="20" spans="1:14" ht="16">
      <c r="A20" s="278">
        <v>2016</v>
      </c>
      <c r="B20" s="281">
        <f>B48/$K20</f>
        <v>567.41106352532586</v>
      </c>
      <c r="C20" s="281">
        <f>C48/$K20</f>
        <v>62.305145480221533</v>
      </c>
      <c r="D20" s="281"/>
      <c r="E20" s="281"/>
      <c r="F20" s="281">
        <v>47.03910579671301</v>
      </c>
      <c r="G20" s="281">
        <f>G48/$K20</f>
        <v>614.45016932203885</v>
      </c>
      <c r="H20" s="281">
        <f>H48/K20</f>
        <v>567.41106352532586</v>
      </c>
      <c r="I20" s="281">
        <f>I48/$K20</f>
        <v>629.7162090055474</v>
      </c>
      <c r="K20" s="69">
        <v>0.94602138468179731</v>
      </c>
      <c r="L20" s="284"/>
      <c r="M20" s="389"/>
    </row>
    <row r="21" spans="1:14" ht="16">
      <c r="A21" s="278">
        <v>2017</v>
      </c>
      <c r="B21" s="281">
        <f>B49/$K21</f>
        <v>565.08645702195508</v>
      </c>
      <c r="C21" s="281">
        <f>C49/$K21</f>
        <v>85.727020812435654</v>
      </c>
      <c r="D21" s="281"/>
      <c r="E21" s="281"/>
      <c r="F21" s="281">
        <v>64.536889228418659</v>
      </c>
      <c r="G21" s="281">
        <f>G49/$K21</f>
        <v>629.62334625037386</v>
      </c>
      <c r="H21" s="281">
        <f>H49/K21</f>
        <v>565.08645702195508</v>
      </c>
      <c r="I21" s="281">
        <f>I49/$K21</f>
        <v>650.81347783439082</v>
      </c>
      <c r="K21" s="69">
        <v>0.96224036736890672</v>
      </c>
      <c r="L21" s="284">
        <f>B21</f>
        <v>565.08645702195508</v>
      </c>
      <c r="M21" s="389"/>
    </row>
    <row r="22" spans="1:14" ht="16">
      <c r="A22" s="278">
        <v>2018</v>
      </c>
      <c r="B22" s="281">
        <f>B50/$K22</f>
        <v>540.95920993065477</v>
      </c>
      <c r="C22" s="281">
        <f>C50/$K22</f>
        <v>89.849720563627301</v>
      </c>
      <c r="D22" s="281"/>
      <c r="E22" s="281"/>
      <c r="F22" s="281">
        <v>63.760600980108023</v>
      </c>
      <c r="G22" s="281">
        <f>G50/$K22</f>
        <v>604.7198109107627</v>
      </c>
      <c r="H22" s="281">
        <f>H50/K22</f>
        <v>540.95920993065477</v>
      </c>
      <c r="I22" s="281">
        <f>I50/$K22</f>
        <v>630.80893049428198</v>
      </c>
      <c r="K22" s="69">
        <v>0.9807153483309915</v>
      </c>
      <c r="L22" s="284">
        <f>B22</f>
        <v>540.95920993065477</v>
      </c>
      <c r="M22" s="389"/>
    </row>
    <row r="23" spans="1:14" ht="16">
      <c r="A23" s="278">
        <v>2019</v>
      </c>
      <c r="B23" s="281">
        <f>B51/$K23</f>
        <v>626.06600000000003</v>
      </c>
      <c r="C23" s="281">
        <f>C51/$K23</f>
        <v>69</v>
      </c>
      <c r="D23" s="281"/>
      <c r="E23" s="281"/>
      <c r="F23" s="281">
        <v>46.6</v>
      </c>
      <c r="G23" s="281">
        <f>G51/$K23</f>
        <v>672.66600000000005</v>
      </c>
      <c r="H23" s="281">
        <f>H51/K23</f>
        <v>626.06600000000003</v>
      </c>
      <c r="I23" s="281">
        <f>I51/$K23</f>
        <v>695.06600000000003</v>
      </c>
      <c r="K23" s="69">
        <v>1</v>
      </c>
      <c r="L23" s="284">
        <f>L51/K23</f>
        <v>601.60167881952532</v>
      </c>
      <c r="M23" s="389"/>
    </row>
    <row r="24" spans="1:14" ht="16">
      <c r="A24" s="278">
        <v>2020</v>
      </c>
      <c r="B24" s="281">
        <f>B52/$K24</f>
        <v>624.01934546627683</v>
      </c>
      <c r="C24" s="281"/>
      <c r="D24" s="281">
        <f>D52/$K24</f>
        <v>51.907753762399238</v>
      </c>
      <c r="E24" s="281">
        <f>E52/$K24</f>
        <v>19.587831608452543</v>
      </c>
      <c r="F24" s="281">
        <f>F23*(B25/B24)</f>
        <v>47.033125039044968</v>
      </c>
      <c r="G24" s="281">
        <f>G52/$K24</f>
        <v>671.05247050532182</v>
      </c>
      <c r="H24" s="281">
        <f>H52/K24</f>
        <v>675.92709922867607</v>
      </c>
      <c r="I24" s="281">
        <f>I52/$K24</f>
        <v>695.51493083712865</v>
      </c>
      <c r="K24" s="69">
        <v>1.0210420632455099</v>
      </c>
      <c r="L24" s="284">
        <f>L52/K24</f>
        <v>617.91630061802095</v>
      </c>
      <c r="M24" s="389"/>
    </row>
    <row r="25" spans="1:14" ht="16">
      <c r="A25" s="278">
        <v>2021</v>
      </c>
      <c r="B25" s="281">
        <f>B53/$K25</f>
        <v>629.81931120382819</v>
      </c>
      <c r="C25" s="281"/>
      <c r="D25" s="281">
        <f>D53/$K25</f>
        <v>43.904343526133168</v>
      </c>
      <c r="E25" s="281">
        <f>E53/$K25</f>
        <v>19.172202413158587</v>
      </c>
      <c r="F25" s="281">
        <f t="shared" ref="F25:F26" si="1">F24*(B26/B25)</f>
        <v>46.998409863073533</v>
      </c>
      <c r="G25" s="281">
        <f>G53/$K25</f>
        <v>676.81772106690175</v>
      </c>
      <c r="H25" s="281">
        <f>H53/K25</f>
        <v>673.72365472996137</v>
      </c>
      <c r="I25" s="281">
        <f>I53/$K25</f>
        <v>692.89585714311988</v>
      </c>
      <c r="K25" s="69">
        <v>1.043176968874127</v>
      </c>
      <c r="L25" s="284">
        <f>L53/K25</f>
        <v>635.25058627892258</v>
      </c>
      <c r="M25" s="389"/>
    </row>
    <row r="26" spans="1:14" ht="16">
      <c r="A26" s="278">
        <v>2022</v>
      </c>
      <c r="B26" s="281">
        <f>B54/$K26</f>
        <v>629.35444121697321</v>
      </c>
      <c r="C26" s="281"/>
      <c r="D26" s="281">
        <f>D54/$K26</f>
        <v>42.97439884266867</v>
      </c>
      <c r="E26" s="281">
        <f>E54/$K26</f>
        <v>18.766113031733045</v>
      </c>
      <c r="F26" s="281">
        <f t="shared" si="1"/>
        <v>46.971309017024907</v>
      </c>
      <c r="G26" s="281">
        <f>G54/$K26</f>
        <v>676.32575023399818</v>
      </c>
      <c r="H26" s="281">
        <f>H54/K26</f>
        <v>672.32884005964183</v>
      </c>
      <c r="I26" s="281">
        <f>I54/$K26</f>
        <v>691.09495309137492</v>
      </c>
      <c r="K26" s="69">
        <v>1.065750801254393</v>
      </c>
      <c r="L26" s="284">
        <f>L54/K26</f>
        <v>648.50621649020013</v>
      </c>
      <c r="M26" s="389"/>
    </row>
    <row r="27" spans="1:14" ht="16">
      <c r="A27" s="282">
        <v>2023</v>
      </c>
      <c r="B27" s="281">
        <f>B55/$K27</f>
        <v>628.99153451712675</v>
      </c>
      <c r="C27" s="281"/>
      <c r="D27" s="281">
        <f>D55/$K27</f>
        <v>42.056428334965112</v>
      </c>
      <c r="E27" s="281">
        <f>E55/$K27</f>
        <v>18.365252548019701</v>
      </c>
      <c r="F27" s="281">
        <v>47</v>
      </c>
      <c r="G27" s="281">
        <f>G55/$K27</f>
        <v>675.99153451712675</v>
      </c>
      <c r="H27" s="281">
        <f>H55/K27</f>
        <v>671.04796285209181</v>
      </c>
      <c r="I27" s="281">
        <f>I55/$K27</f>
        <v>689.41321540011154</v>
      </c>
      <c r="K27" s="69">
        <v>1.0890130668067819</v>
      </c>
      <c r="L27" s="284">
        <f>L55/K27</f>
        <v>664.82083828869577</v>
      </c>
      <c r="M27" s="389"/>
    </row>
    <row r="30" spans="1:14" hidden="1"/>
    <row r="31" spans="1:14" ht="31" hidden="1">
      <c r="A31" s="280" t="s">
        <v>565</v>
      </c>
      <c r="B31" s="277" t="s">
        <v>563</v>
      </c>
      <c r="C31" s="277" t="s">
        <v>216</v>
      </c>
      <c r="D31" s="277" t="s">
        <v>560</v>
      </c>
      <c r="E31" s="277" t="s">
        <v>562</v>
      </c>
      <c r="F31" s="277" t="s">
        <v>561</v>
      </c>
      <c r="G31" s="277" t="s">
        <v>591</v>
      </c>
      <c r="H31" s="277" t="s">
        <v>589</v>
      </c>
      <c r="I31" s="277" t="s">
        <v>590</v>
      </c>
      <c r="L31" s="277" t="s">
        <v>588</v>
      </c>
      <c r="M31" s="277" t="s">
        <v>564</v>
      </c>
      <c r="N31" s="277" t="s">
        <v>588</v>
      </c>
    </row>
    <row r="32" spans="1:14" hidden="1">
      <c r="A32" s="278">
        <v>2000</v>
      </c>
      <c r="B32" s="281">
        <v>290.53500000000003</v>
      </c>
      <c r="C32" s="281"/>
      <c r="D32" s="281"/>
      <c r="E32" s="281"/>
      <c r="F32" s="281"/>
      <c r="G32" s="281"/>
      <c r="H32" s="281">
        <f t="shared" ref="H32:H55" si="2">B32+D32</f>
        <v>290.53500000000003</v>
      </c>
      <c r="I32" s="281">
        <f t="shared" ref="I32:I51" si="3">B32+C32</f>
        <v>290.53500000000003</v>
      </c>
      <c r="L32" s="284">
        <f>B32</f>
        <v>290.53500000000003</v>
      </c>
      <c r="M32" s="286">
        <f>K4/$K$22</f>
        <v>0.70730201327117359</v>
      </c>
      <c r="N32" s="284">
        <v>406</v>
      </c>
    </row>
    <row r="33" spans="1:14" hidden="1">
      <c r="A33" s="278">
        <v>2001</v>
      </c>
      <c r="B33" s="281">
        <v>290.654</v>
      </c>
      <c r="C33" s="281">
        <f>'GB_Tab2-1'!C$41/1000</f>
        <v>28.774000000000001</v>
      </c>
      <c r="D33" s="281"/>
      <c r="E33" s="281"/>
      <c r="F33" s="281"/>
      <c r="G33" s="281"/>
      <c r="H33" s="281">
        <f t="shared" si="2"/>
        <v>290.654</v>
      </c>
      <c r="I33" s="281">
        <f t="shared" si="3"/>
        <v>319.428</v>
      </c>
      <c r="L33" s="284">
        <f>B33</f>
        <v>290.654</v>
      </c>
      <c r="M33" s="286">
        <f>K5/$K$22</f>
        <v>0.72429834460121523</v>
      </c>
      <c r="N33" s="284">
        <v>415</v>
      </c>
    </row>
    <row r="34" spans="1:14" hidden="1">
      <c r="A34" s="278">
        <v>2002</v>
      </c>
      <c r="B34" s="281">
        <v>328.762</v>
      </c>
      <c r="C34" s="281">
        <f>'GB_Tab2-1'!D$41/1000</f>
        <v>16.87</v>
      </c>
      <c r="D34" s="281"/>
      <c r="E34" s="281"/>
      <c r="F34" s="281"/>
      <c r="G34" s="281"/>
      <c r="H34" s="281">
        <f t="shared" si="2"/>
        <v>328.762</v>
      </c>
      <c r="I34" s="281">
        <f t="shared" si="3"/>
        <v>345.63200000000001</v>
      </c>
      <c r="L34" s="284">
        <f>B34</f>
        <v>328.762</v>
      </c>
      <c r="M34" s="286">
        <f>K6/$K$22</f>
        <v>0.73596308995606552</v>
      </c>
      <c r="N34" s="284">
        <v>442</v>
      </c>
    </row>
    <row r="35" spans="1:14" hidden="1">
      <c r="A35" s="278">
        <v>2003</v>
      </c>
      <c r="B35" s="281">
        <v>365.26400000000001</v>
      </c>
      <c r="C35" s="281">
        <f>'GB_Tab2-1'!E$41/1000</f>
        <v>72.536000000000001</v>
      </c>
      <c r="D35" s="281"/>
      <c r="E35" s="281"/>
      <c r="F35" s="281"/>
      <c r="G35" s="281"/>
      <c r="H35" s="281">
        <f t="shared" si="2"/>
        <v>365.26400000000001</v>
      </c>
      <c r="I35" s="281">
        <f t="shared" si="3"/>
        <v>437.8</v>
      </c>
      <c r="L35" s="284">
        <f>B35</f>
        <v>365.26400000000001</v>
      </c>
      <c r="M35" s="286">
        <f>K7/$K$22</f>
        <v>0.75004595071042202</v>
      </c>
      <c r="N35" s="284">
        <v>473</v>
      </c>
    </row>
    <row r="36" spans="1:14" hidden="1">
      <c r="A36" s="278">
        <v>2004</v>
      </c>
      <c r="B36" s="281">
        <v>379.92099999999999</v>
      </c>
      <c r="C36" s="281">
        <f>'GB_Tab2-1'!F$41/1000</f>
        <v>91.088999999999999</v>
      </c>
      <c r="D36" s="281"/>
      <c r="E36" s="281"/>
      <c r="F36" s="281"/>
      <c r="G36" s="281"/>
      <c r="H36" s="281">
        <f t="shared" si="2"/>
        <v>379.92099999999999</v>
      </c>
      <c r="I36" s="281">
        <f t="shared" si="3"/>
        <v>471.01</v>
      </c>
      <c r="L36" s="284">
        <f>B36</f>
        <v>379.92099999999999</v>
      </c>
      <c r="M36" s="286">
        <f>K8/$K$22</f>
        <v>0.76860873415460917</v>
      </c>
      <c r="N36" s="284">
        <v>504</v>
      </c>
    </row>
    <row r="37" spans="1:14" hidden="1">
      <c r="A37" s="278">
        <v>2005</v>
      </c>
      <c r="B37" s="281">
        <v>405.07</v>
      </c>
      <c r="C37" s="281">
        <f>'GB_Tab2-1'!G$41/1000</f>
        <v>78.841999999999999</v>
      </c>
      <c r="D37" s="281"/>
      <c r="E37" s="281"/>
      <c r="F37" s="281"/>
      <c r="G37" s="281">
        <f>B37</f>
        <v>405.07</v>
      </c>
      <c r="H37" s="281">
        <f t="shared" si="2"/>
        <v>405.07</v>
      </c>
      <c r="I37" s="281">
        <f t="shared" si="3"/>
        <v>483.91199999999998</v>
      </c>
      <c r="L37" s="284">
        <f>B37</f>
        <v>405.07</v>
      </c>
      <c r="M37" s="286">
        <f>K9/$K$22</f>
        <v>0.79279640598093581</v>
      </c>
      <c r="N37" s="284">
        <v>508</v>
      </c>
    </row>
    <row r="38" spans="1:14" hidden="1">
      <c r="A38" s="278">
        <v>2006</v>
      </c>
      <c r="B38" s="281">
        <v>412.54599999999999</v>
      </c>
      <c r="C38" s="281">
        <f>'GB_Tab2-1'!H$41/1000</f>
        <v>123.916</v>
      </c>
      <c r="D38" s="281"/>
      <c r="E38" s="281"/>
      <c r="F38" s="281">
        <f>F10*K10</f>
        <v>35.895599999999995</v>
      </c>
      <c r="G38" s="281">
        <f t="shared" ref="G38:G55" si="4">B38+F38</f>
        <v>448.44159999999999</v>
      </c>
      <c r="H38" s="281">
        <f t="shared" si="2"/>
        <v>412.54599999999999</v>
      </c>
      <c r="I38" s="281">
        <f t="shared" si="3"/>
        <v>536.46199999999999</v>
      </c>
      <c r="L38" s="284">
        <f>B38</f>
        <v>412.54599999999999</v>
      </c>
      <c r="M38" s="286">
        <f>K10/$K$22</f>
        <v>0.81853749425887701</v>
      </c>
      <c r="N38" s="284">
        <v>503</v>
      </c>
    </row>
    <row r="39" spans="1:14" hidden="1">
      <c r="A39" s="278">
        <v>2007</v>
      </c>
      <c r="B39" s="281">
        <v>432.83600000000001</v>
      </c>
      <c r="C39" s="281">
        <f>'GB_Tab2-1'!I$41/1000</f>
        <v>169.40899999999999</v>
      </c>
      <c r="D39" s="281"/>
      <c r="E39" s="281"/>
      <c r="F39" s="281">
        <f>F11*K11</f>
        <v>57.9</v>
      </c>
      <c r="G39" s="281">
        <f t="shared" si="4"/>
        <v>490.73599999999999</v>
      </c>
      <c r="H39" s="281">
        <f t="shared" si="2"/>
        <v>432.83600000000001</v>
      </c>
      <c r="I39" s="281">
        <f t="shared" si="3"/>
        <v>602.245</v>
      </c>
      <c r="L39" s="284">
        <f>B39</f>
        <v>432.83600000000001</v>
      </c>
      <c r="M39" s="286">
        <f>K11/$K$22</f>
        <v>0.84080892369314231</v>
      </c>
      <c r="N39" s="284">
        <v>518</v>
      </c>
    </row>
    <row r="40" spans="1:14" hidden="1">
      <c r="A40" s="278">
        <v>2008</v>
      </c>
      <c r="B40" s="281">
        <v>486.57799999999997</v>
      </c>
      <c r="C40" s="281">
        <f>'GB_Tab2-1'!J$41/1000</f>
        <v>186.90799999999999</v>
      </c>
      <c r="D40" s="281"/>
      <c r="E40" s="281"/>
      <c r="F40" s="281">
        <f>F12*K12</f>
        <v>71.59999999999998</v>
      </c>
      <c r="G40" s="281">
        <f t="shared" si="4"/>
        <v>558.178</v>
      </c>
      <c r="H40" s="281">
        <f t="shared" si="2"/>
        <v>486.57799999999997</v>
      </c>
      <c r="I40" s="281">
        <f t="shared" si="3"/>
        <v>673.48599999999999</v>
      </c>
      <c r="L40" s="284">
        <f>B40</f>
        <v>486.57799999999997</v>
      </c>
      <c r="M40" s="286">
        <f>K12/$K$22</f>
        <v>0.85820501534080229</v>
      </c>
      <c r="N40" s="284">
        <v>563</v>
      </c>
    </row>
    <row r="41" spans="1:14" hidden="1">
      <c r="A41" s="278">
        <v>2009</v>
      </c>
      <c r="B41" s="281">
        <v>511.4</v>
      </c>
      <c r="C41" s="281">
        <f>'GB_Tab2-1'!K$41/1000</f>
        <v>153.124</v>
      </c>
      <c r="D41" s="281"/>
      <c r="E41" s="281"/>
      <c r="F41" s="281">
        <f>F13*K13</f>
        <v>45.551899999999996</v>
      </c>
      <c r="G41" s="281">
        <f t="shared" si="4"/>
        <v>556.95190000000002</v>
      </c>
      <c r="H41" s="281">
        <f t="shared" si="2"/>
        <v>511.4</v>
      </c>
      <c r="I41" s="281">
        <f t="shared" si="3"/>
        <v>664.524</v>
      </c>
      <c r="L41" s="284">
        <f>B41</f>
        <v>511.4</v>
      </c>
      <c r="M41" s="286">
        <f>K13/$K$22</f>
        <v>0.86822074938547722</v>
      </c>
      <c r="N41" s="284">
        <v>591</v>
      </c>
    </row>
    <row r="42" spans="1:14" hidden="1">
      <c r="A42" s="278">
        <v>2010</v>
      </c>
      <c r="B42" s="281">
        <v>532.62900000000002</v>
      </c>
      <c r="C42" s="281">
        <f>'GB_Tab2-1'!L$41/1000</f>
        <v>163.04499999999999</v>
      </c>
      <c r="D42" s="281"/>
      <c r="E42" s="281"/>
      <c r="F42" s="281">
        <f>F14*K14</f>
        <v>35.200000000000003</v>
      </c>
      <c r="G42" s="281">
        <f t="shared" si="4"/>
        <v>567.82900000000006</v>
      </c>
      <c r="H42" s="281">
        <f t="shared" si="2"/>
        <v>532.62900000000002</v>
      </c>
      <c r="I42" s="281">
        <f t="shared" si="3"/>
        <v>695.67399999999998</v>
      </c>
      <c r="L42" s="284">
        <f>B42</f>
        <v>532.62900000000002</v>
      </c>
      <c r="M42" s="286">
        <f>K14/$K$22</f>
        <v>0.87583357630359893</v>
      </c>
      <c r="N42" s="284">
        <v>607</v>
      </c>
    </row>
    <row r="43" spans="1:14" hidden="1">
      <c r="A43" s="278">
        <v>2011</v>
      </c>
      <c r="B43" s="281">
        <v>531.99099999999999</v>
      </c>
      <c r="C43" s="281">
        <f>'GB_Tab2-1'!M$41/1000</f>
        <v>158.78800000000001</v>
      </c>
      <c r="D43" s="281"/>
      <c r="E43" s="281"/>
      <c r="F43" s="281">
        <f>F15*K15</f>
        <v>39.399999999999991</v>
      </c>
      <c r="G43" s="281">
        <f t="shared" si="4"/>
        <v>571.39099999999996</v>
      </c>
      <c r="H43" s="281">
        <f t="shared" si="2"/>
        <v>531.99099999999999</v>
      </c>
      <c r="I43" s="281">
        <f t="shared" si="3"/>
        <v>690.779</v>
      </c>
      <c r="L43" s="284">
        <f>B43</f>
        <v>531.99099999999999</v>
      </c>
      <c r="M43" s="286">
        <f>K15/$K$22</f>
        <v>0.89362073782718987</v>
      </c>
      <c r="N43" s="284">
        <v>594</v>
      </c>
    </row>
    <row r="44" spans="1:14" hidden="1">
      <c r="A44" s="278">
        <v>2012</v>
      </c>
      <c r="B44" s="281">
        <v>540.30600000000004</v>
      </c>
      <c r="C44" s="281">
        <f>'GB_Tab2-1'!N$41/1000</f>
        <v>115.083</v>
      </c>
      <c r="D44" s="281"/>
      <c r="E44" s="281"/>
      <c r="F44" s="281">
        <f>F16*K16</f>
        <v>27.3</v>
      </c>
      <c r="G44" s="281">
        <f t="shared" si="4"/>
        <v>567.60599999999999</v>
      </c>
      <c r="H44" s="281">
        <f t="shared" si="2"/>
        <v>540.30600000000004</v>
      </c>
      <c r="I44" s="281">
        <f t="shared" si="3"/>
        <v>655.38900000000001</v>
      </c>
      <c r="L44" s="284">
        <f>B44</f>
        <v>540.30600000000004</v>
      </c>
      <c r="M44" s="286">
        <f>K16/$K$22</f>
        <v>0.91001091084953856</v>
      </c>
      <c r="N44" s="284">
        <v>591</v>
      </c>
    </row>
    <row r="45" spans="1:14" hidden="1">
      <c r="A45" s="278">
        <v>2013</v>
      </c>
      <c r="B45" s="281">
        <v>503.27499999999998</v>
      </c>
      <c r="C45" s="281">
        <f>'GB_Tab2-1'!O$41/1000</f>
        <v>82.085999999999999</v>
      </c>
      <c r="D45" s="281"/>
      <c r="E45" s="281"/>
      <c r="F45" s="281">
        <f>F17*K17</f>
        <v>45.900000000000006</v>
      </c>
      <c r="G45" s="281">
        <f t="shared" si="4"/>
        <v>549.17499999999995</v>
      </c>
      <c r="H45" s="281">
        <f t="shared" si="2"/>
        <v>503.27499999999998</v>
      </c>
      <c r="I45" s="281">
        <f t="shared" si="3"/>
        <v>585.36099999999999</v>
      </c>
      <c r="L45" s="284">
        <f>B45</f>
        <v>503.27499999999998</v>
      </c>
      <c r="M45" s="286">
        <f>K17/$K$22</f>
        <v>0.92538430219446688</v>
      </c>
      <c r="N45" s="284">
        <v>544</v>
      </c>
    </row>
    <row r="46" spans="1:14" hidden="1">
      <c r="A46" s="278">
        <v>2014</v>
      </c>
      <c r="B46" s="281">
        <v>510.58600000000001</v>
      </c>
      <c r="C46" s="281">
        <f>'GB_Tab2-1'!P$41/1000</f>
        <v>85.153999999999996</v>
      </c>
      <c r="D46" s="281"/>
      <c r="E46" s="281"/>
      <c r="F46" s="281">
        <f>F18*K18</f>
        <v>47.6</v>
      </c>
      <c r="G46" s="281">
        <f t="shared" si="4"/>
        <v>558.18600000000004</v>
      </c>
      <c r="H46" s="281">
        <f t="shared" si="2"/>
        <v>510.58600000000001</v>
      </c>
      <c r="I46" s="281">
        <f t="shared" si="3"/>
        <v>595.74</v>
      </c>
      <c r="L46" s="284">
        <f>B46</f>
        <v>510.58600000000001</v>
      </c>
      <c r="M46" s="286">
        <f>K18/$K$22</f>
        <v>0.94219813424907428</v>
      </c>
      <c r="N46" s="284">
        <v>527</v>
      </c>
    </row>
    <row r="47" spans="1:14" hidden="1">
      <c r="A47" s="278">
        <v>2015</v>
      </c>
      <c r="B47" s="281">
        <v>507.74799999999999</v>
      </c>
      <c r="C47" s="281">
        <f>'GB_Tab2-1'!$Q41/1000</f>
        <v>63.094999999999999</v>
      </c>
      <c r="D47" s="281"/>
      <c r="E47" s="281"/>
      <c r="F47" s="281">
        <f>F19*K19</f>
        <v>41.6</v>
      </c>
      <c r="G47" s="281">
        <f t="shared" si="4"/>
        <v>549.34799999999996</v>
      </c>
      <c r="H47" s="281">
        <f t="shared" si="2"/>
        <v>507.74799999999999</v>
      </c>
      <c r="I47" s="281">
        <f t="shared" si="3"/>
        <v>570.84299999999996</v>
      </c>
      <c r="L47" s="284">
        <f>B47</f>
        <v>507.74799999999999</v>
      </c>
      <c r="M47" s="286">
        <f>K19/$K$22</f>
        <v>0.95355871414486726</v>
      </c>
      <c r="N47" s="284">
        <v>527</v>
      </c>
    </row>
    <row r="48" spans="1:14" hidden="1">
      <c r="A48" s="278">
        <v>2016</v>
      </c>
      <c r="B48" s="281">
        <v>536.78300000000002</v>
      </c>
      <c r="C48" s="281">
        <f>'GB_Tab2-1'!R$41/1000</f>
        <v>58.942</v>
      </c>
      <c r="D48" s="281"/>
      <c r="E48" s="281"/>
      <c r="F48" s="281">
        <f>F20*K20</f>
        <v>44.5</v>
      </c>
      <c r="G48" s="281">
        <f t="shared" si="4"/>
        <v>581.28300000000002</v>
      </c>
      <c r="H48" s="281">
        <f t="shared" si="2"/>
        <v>536.78300000000002</v>
      </c>
      <c r="I48" s="281">
        <f t="shared" si="3"/>
        <v>595.72500000000002</v>
      </c>
      <c r="L48" s="284">
        <f>B48</f>
        <v>536.78300000000002</v>
      </c>
      <c r="M48" s="286">
        <f>K20/$K$22</f>
        <v>0.9646238190232902</v>
      </c>
      <c r="N48" s="284">
        <v>549</v>
      </c>
    </row>
    <row r="49" spans="1:14" hidden="1">
      <c r="A49" s="278">
        <v>2017</v>
      </c>
      <c r="B49" s="281">
        <v>543.74900000000002</v>
      </c>
      <c r="C49" s="281">
        <f>'GB_Tab2-1'!S$41/1000</f>
        <v>82.49</v>
      </c>
      <c r="D49" s="281"/>
      <c r="E49" s="281"/>
      <c r="F49" s="281">
        <f>F21*K21</f>
        <v>62.100000000000009</v>
      </c>
      <c r="G49" s="281">
        <f t="shared" si="4"/>
        <v>605.84900000000005</v>
      </c>
      <c r="H49" s="281">
        <f t="shared" si="2"/>
        <v>543.74900000000002</v>
      </c>
      <c r="I49" s="281">
        <f t="shared" si="3"/>
        <v>626.23900000000003</v>
      </c>
      <c r="L49" s="284">
        <f>N49*M49</f>
        <v>522.95920185245461</v>
      </c>
      <c r="M49" s="286">
        <f>K21/$K$22</f>
        <v>0.98116172955432379</v>
      </c>
      <c r="N49" s="284">
        <v>533</v>
      </c>
    </row>
    <row r="50" spans="1:14" hidden="1">
      <c r="A50" s="278">
        <v>2018</v>
      </c>
      <c r="B50" s="281">
        <v>530.52700000000004</v>
      </c>
      <c r="C50" s="281">
        <f>'GB_Tab2-1'!T$41/1000</f>
        <v>88.117000000000004</v>
      </c>
      <c r="D50" s="281"/>
      <c r="E50" s="281"/>
      <c r="F50" s="281">
        <f>F22*K22</f>
        <v>62.530999999999999</v>
      </c>
      <c r="G50" s="281">
        <f t="shared" si="4"/>
        <v>593.05799999999999</v>
      </c>
      <c r="H50" s="281">
        <f t="shared" si="2"/>
        <v>530.52700000000004</v>
      </c>
      <c r="I50" s="281">
        <f t="shared" si="3"/>
        <v>618.64400000000001</v>
      </c>
      <c r="L50" s="284">
        <f>N50*M50</f>
        <v>575</v>
      </c>
      <c r="M50" s="286">
        <f>K22/$K$22</f>
        <v>1</v>
      </c>
      <c r="N50" s="284">
        <v>575</v>
      </c>
    </row>
    <row r="51" spans="1:14" hidden="1">
      <c r="A51" s="278">
        <v>2019</v>
      </c>
      <c r="B51" s="281">
        <v>626.06600000000003</v>
      </c>
      <c r="C51" s="281">
        <f>'GB_Tab2-1'!U$41/1000</f>
        <v>69</v>
      </c>
      <c r="D51" s="281"/>
      <c r="E51" s="281"/>
      <c r="F51" s="281">
        <f>F23*K23</f>
        <v>46.6</v>
      </c>
      <c r="G51" s="281">
        <f t="shared" si="4"/>
        <v>672.66600000000005</v>
      </c>
      <c r="H51" s="281">
        <f t="shared" si="2"/>
        <v>626.06600000000003</v>
      </c>
      <c r="I51" s="281">
        <f t="shared" si="3"/>
        <v>695.06600000000003</v>
      </c>
      <c r="L51" s="284">
        <f>N51*M51</f>
        <v>601.60167881952532</v>
      </c>
      <c r="M51" s="286">
        <f>K23/$K$22</f>
        <v>1.0196638624059751</v>
      </c>
      <c r="N51" s="284">
        <v>590</v>
      </c>
    </row>
    <row r="52" spans="1:14" hidden="1">
      <c r="A52" s="278">
        <v>2020</v>
      </c>
      <c r="B52" s="281">
        <f>690.15-D52</f>
        <v>637.15</v>
      </c>
      <c r="C52" s="281"/>
      <c r="D52" s="281">
        <v>53</v>
      </c>
      <c r="E52" s="281">
        <v>20</v>
      </c>
      <c r="F52" s="281">
        <f>F24*K24</f>
        <v>48.022799030750527</v>
      </c>
      <c r="G52" s="281">
        <f t="shared" si="4"/>
        <v>685.17279903075053</v>
      </c>
      <c r="H52" s="281">
        <f t="shared" si="2"/>
        <v>690.15</v>
      </c>
      <c r="I52" s="281">
        <f t="shared" ref="I52:I54" si="5">B52+C52+D52+E52</f>
        <v>710.15</v>
      </c>
      <c r="L52" s="284">
        <f>N52*M52</f>
        <v>630.91853449605685</v>
      </c>
      <c r="M52" s="286">
        <f>K24/$K$22</f>
        <v>1.0411196938878826</v>
      </c>
      <c r="N52" s="284">
        <v>606</v>
      </c>
    </row>
    <row r="53" spans="1:14" hidden="1">
      <c r="A53" s="278">
        <v>2021</v>
      </c>
      <c r="B53" s="281">
        <f>702.813-D53</f>
        <v>657.01300000000003</v>
      </c>
      <c r="C53" s="281"/>
      <c r="D53" s="281">
        <v>45.8</v>
      </c>
      <c r="E53" s="281">
        <v>20</v>
      </c>
      <c r="F53" s="281">
        <f>F25*K25</f>
        <v>49.027658742864922</v>
      </c>
      <c r="G53" s="281">
        <f t="shared" si="4"/>
        <v>706.04065874286493</v>
      </c>
      <c r="H53" s="281">
        <f t="shared" si="2"/>
        <v>702.81299999999999</v>
      </c>
      <c r="I53" s="281">
        <f t="shared" si="5"/>
        <v>722.81299999999999</v>
      </c>
      <c r="L53" s="284">
        <f>N53*M53</f>
        <v>662.67878106995852</v>
      </c>
      <c r="M53" s="286">
        <f>K25/$K$22</f>
        <v>1.0636898572551501</v>
      </c>
      <c r="N53" s="284">
        <v>623</v>
      </c>
    </row>
    <row r="54" spans="1:14" hidden="1">
      <c r="A54" s="278">
        <v>2022</v>
      </c>
      <c r="B54" s="281">
        <f>716.535-D54</f>
        <v>670.73500000000001</v>
      </c>
      <c r="C54" s="281"/>
      <c r="D54" s="281">
        <v>45.8</v>
      </c>
      <c r="E54" s="281">
        <v>20</v>
      </c>
      <c r="F54" s="281">
        <f>F26*K26</f>
        <v>50.059710220861994</v>
      </c>
      <c r="G54" s="281">
        <f t="shared" si="4"/>
        <v>720.79471022086204</v>
      </c>
      <c r="H54" s="281">
        <f t="shared" si="2"/>
        <v>716.53499999999997</v>
      </c>
      <c r="I54" s="281">
        <f t="shared" si="5"/>
        <v>736.53499999999997</v>
      </c>
      <c r="L54" s="284">
        <f>N54*M54</f>
        <v>691.14601984288561</v>
      </c>
      <c r="M54" s="286">
        <f>K26/$K$22</f>
        <v>1.086707578369317</v>
      </c>
      <c r="N54" s="284">
        <v>636</v>
      </c>
    </row>
    <row r="55" spans="1:14" hidden="1">
      <c r="A55" s="282">
        <v>2023</v>
      </c>
      <c r="B55" s="281">
        <f>730.78-D55</f>
        <v>684.98</v>
      </c>
      <c r="C55" s="281"/>
      <c r="D55" s="281">
        <v>45.8</v>
      </c>
      <c r="E55" s="281">
        <v>20</v>
      </c>
      <c r="F55" s="281">
        <f>F27*K27</f>
        <v>51.183614139918745</v>
      </c>
      <c r="G55" s="281">
        <f t="shared" si="4"/>
        <v>736.16361413991876</v>
      </c>
      <c r="H55" s="281">
        <f t="shared" si="2"/>
        <v>730.78</v>
      </c>
      <c r="I55" s="281">
        <f>B55+C55+D55+E55</f>
        <v>750.78</v>
      </c>
      <c r="L55" s="284">
        <f>N55*M55</f>
        <v>723.99857998182813</v>
      </c>
      <c r="M55" s="286">
        <f>K27/$K$22</f>
        <v>1.1104272699107793</v>
      </c>
      <c r="N55" s="285">
        <v>652</v>
      </c>
    </row>
    <row r="56" spans="1:14">
      <c r="A56" s="282"/>
      <c r="B56" s="281"/>
      <c r="C56" s="281"/>
      <c r="D56" s="281"/>
      <c r="E56" s="281"/>
      <c r="F56" s="281"/>
      <c r="G56" s="281"/>
      <c r="H56" s="281"/>
      <c r="I56" s="281"/>
      <c r="K56" s="286"/>
      <c r="L56" s="284"/>
      <c r="N56" s="281"/>
    </row>
    <row r="57" spans="1:14">
      <c r="A57" s="282"/>
      <c r="B57" s="281"/>
      <c r="C57" s="281"/>
      <c r="D57" s="281"/>
      <c r="E57" s="281"/>
      <c r="F57" s="281"/>
      <c r="G57" s="281"/>
      <c r="H57" s="281"/>
      <c r="I57" s="281"/>
      <c r="K57" s="286"/>
      <c r="L57" s="284"/>
      <c r="N57" s="281"/>
    </row>
    <row r="58" spans="1:14">
      <c r="A58" s="282"/>
      <c r="B58" s="281"/>
      <c r="C58" s="281"/>
      <c r="D58" s="281"/>
      <c r="E58" s="281"/>
      <c r="F58" s="281"/>
      <c r="G58" s="281"/>
      <c r="H58" s="281"/>
      <c r="I58" s="281"/>
      <c r="K58" s="286"/>
      <c r="L58" s="284"/>
      <c r="N58" s="281"/>
    </row>
    <row r="59" spans="1:14">
      <c r="A59" s="282"/>
      <c r="B59" s="281"/>
      <c r="C59" s="281"/>
      <c r="D59" s="281"/>
      <c r="E59" s="281"/>
      <c r="F59" s="281"/>
      <c r="G59" s="281"/>
      <c r="H59" s="281"/>
      <c r="I59" s="281"/>
      <c r="K59" s="286"/>
      <c r="L59" s="284"/>
      <c r="N59" s="281"/>
    </row>
    <row r="60" spans="1:14">
      <c r="A60" s="282"/>
      <c r="B60" s="281"/>
      <c r="C60" s="281"/>
      <c r="D60" s="281"/>
      <c r="E60" s="281"/>
      <c r="F60" s="281"/>
      <c r="G60" s="281"/>
      <c r="H60" s="281"/>
      <c r="I60" s="281"/>
      <c r="K60" s="286"/>
      <c r="L60" s="284"/>
    </row>
    <row r="61" spans="1:14">
      <c r="A61" s="282"/>
      <c r="B61" s="281"/>
      <c r="C61" s="281"/>
      <c r="D61" s="281"/>
      <c r="E61" s="281"/>
      <c r="F61" s="281"/>
      <c r="G61" s="281"/>
      <c r="H61" s="281"/>
      <c r="I61" s="281"/>
      <c r="K61" s="286"/>
      <c r="L61" s="284"/>
    </row>
    <row r="62" spans="1:14">
      <c r="A62" s="282"/>
      <c r="B62" s="281"/>
      <c r="C62" s="281"/>
      <c r="D62" s="281"/>
      <c r="E62" s="281"/>
      <c r="F62" s="281"/>
      <c r="G62" s="281"/>
      <c r="H62" s="281"/>
      <c r="I62" s="281"/>
      <c r="K62" s="286"/>
      <c r="L62" s="284"/>
    </row>
  </sheetData>
  <pageMargins left="0.7" right="0.7" top="0.75" bottom="0.75" header="0.3" footer="0.3"/>
  <pageSetup orientation="portrait" horizontalDpi="4294967295" verticalDpi="4294967295"/>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T26"/>
  <sheetViews>
    <sheetView topLeftCell="A3" workbookViewId="0">
      <selection activeCell="P23" sqref="P23"/>
    </sheetView>
  </sheetViews>
  <sheetFormatPr baseColWidth="10" defaultRowHeight="16"/>
  <cols>
    <col min="1" max="1" width="10.83203125" style="155"/>
    <col min="2" max="2" width="64.6640625" style="155" bestFit="1" customWidth="1"/>
    <col min="3" max="14" width="6.6640625" style="155" bestFit="1" customWidth="1"/>
    <col min="15" max="15" width="7" style="155" bestFit="1" customWidth="1"/>
    <col min="16" max="16" width="7" style="155" customWidth="1"/>
    <col min="17" max="17" width="1.6640625" style="155" bestFit="1" customWidth="1"/>
    <col min="18" max="18" width="6.5" style="155" bestFit="1" customWidth="1"/>
    <col min="19" max="16384" width="10.83203125" style="155"/>
  </cols>
  <sheetData>
    <row r="1" spans="1:19">
      <c r="Q1" s="155" t="s">
        <v>35</v>
      </c>
    </row>
    <row r="3" spans="1:19">
      <c r="A3" s="148"/>
      <c r="B3" s="148"/>
      <c r="C3" s="148" t="s">
        <v>369</v>
      </c>
      <c r="D3" s="148" t="s">
        <v>369</v>
      </c>
      <c r="E3" s="148" t="s">
        <v>369</v>
      </c>
      <c r="F3" s="148" t="s">
        <v>369</v>
      </c>
      <c r="G3" s="148" t="s">
        <v>369</v>
      </c>
      <c r="H3" s="148" t="s">
        <v>369</v>
      </c>
      <c r="I3" s="148" t="s">
        <v>369</v>
      </c>
      <c r="J3" s="148" t="s">
        <v>369</v>
      </c>
      <c r="K3" s="148" t="s">
        <v>369</v>
      </c>
      <c r="L3" s="148" t="s">
        <v>369</v>
      </c>
      <c r="M3" s="148" t="s">
        <v>369</v>
      </c>
      <c r="N3" s="148" t="s">
        <v>369</v>
      </c>
      <c r="O3" s="148" t="s">
        <v>369</v>
      </c>
      <c r="P3" s="148"/>
      <c r="Q3" s="148"/>
      <c r="R3" s="148"/>
      <c r="S3" s="148"/>
    </row>
    <row r="4" spans="1:19" s="161" customFormat="1" ht="22" customHeight="1">
      <c r="A4" s="164"/>
      <c r="B4" s="378" t="s">
        <v>587</v>
      </c>
      <c r="C4" s="379">
        <v>2006</v>
      </c>
      <c r="D4" s="379">
        <v>2007</v>
      </c>
      <c r="E4" s="379">
        <v>2008</v>
      </c>
      <c r="F4" s="379">
        <v>2009</v>
      </c>
      <c r="G4" s="379">
        <v>2010</v>
      </c>
      <c r="H4" s="379">
        <v>2011</v>
      </c>
      <c r="I4" s="379">
        <v>2012</v>
      </c>
      <c r="J4" s="379">
        <v>2013</v>
      </c>
      <c r="K4" s="379">
        <v>2014</v>
      </c>
      <c r="L4" s="379">
        <v>2015</v>
      </c>
      <c r="M4" s="379">
        <v>2016</v>
      </c>
      <c r="N4" s="379">
        <v>2017</v>
      </c>
      <c r="O4" s="379" t="s">
        <v>370</v>
      </c>
      <c r="P4" s="379" t="s">
        <v>394</v>
      </c>
      <c r="Q4" s="380"/>
      <c r="R4" s="379" t="s">
        <v>7</v>
      </c>
      <c r="S4" s="164"/>
    </row>
    <row r="5" spans="1:19" s="145" customFormat="1" ht="11">
      <c r="A5" s="165"/>
      <c r="B5" s="156"/>
      <c r="C5" s="157"/>
      <c r="D5" s="157"/>
      <c r="E5" s="157"/>
      <c r="F5" s="157"/>
      <c r="G5" s="157"/>
      <c r="H5" s="157"/>
      <c r="I5" s="157"/>
      <c r="J5" s="157"/>
      <c r="K5" s="157"/>
      <c r="L5" s="157"/>
      <c r="M5" s="157"/>
      <c r="N5" s="157"/>
      <c r="O5" s="157"/>
      <c r="P5" s="157"/>
      <c r="Q5" s="157"/>
      <c r="R5" s="157"/>
      <c r="S5" s="165"/>
    </row>
    <row r="6" spans="1:19" s="144" customFormat="1" ht="19">
      <c r="A6" s="134"/>
      <c r="B6" s="150" t="s">
        <v>586</v>
      </c>
      <c r="C6" s="152"/>
      <c r="D6" s="152"/>
      <c r="E6" s="152"/>
      <c r="F6" s="152"/>
      <c r="G6" s="152"/>
      <c r="H6" s="152"/>
      <c r="I6" s="152"/>
      <c r="J6" s="152"/>
      <c r="K6" s="152"/>
      <c r="L6" s="152"/>
      <c r="M6" s="152"/>
      <c r="N6" s="152"/>
      <c r="O6" s="152"/>
      <c r="P6" s="152"/>
      <c r="Q6" s="152"/>
      <c r="R6" s="152"/>
      <c r="S6" s="169" t="s">
        <v>35</v>
      </c>
    </row>
    <row r="7" spans="1:19">
      <c r="A7" s="148"/>
      <c r="B7" s="162" t="s">
        <v>51</v>
      </c>
      <c r="C7" s="149">
        <f>Funding!C5</f>
        <v>90.334841099871809</v>
      </c>
      <c r="D7" s="149">
        <f>Funding!D5</f>
        <v>107.93187512273775</v>
      </c>
      <c r="E7" s="149">
        <f>Funding!E5</f>
        <v>120.47694175605237</v>
      </c>
      <c r="F7" s="149">
        <f>Funding!F5</f>
        <v>106.32495758676345</v>
      </c>
      <c r="G7" s="149">
        <f>Funding!G5</f>
        <v>130.39275460465117</v>
      </c>
      <c r="H7" s="149">
        <f>Funding!H5</f>
        <v>115.70223392461197</v>
      </c>
      <c r="I7" s="149">
        <f>Funding!I5</f>
        <v>74.737103491414715</v>
      </c>
      <c r="J7" s="149">
        <f>Funding!J5</f>
        <v>30.522118131532736</v>
      </c>
      <c r="K7" s="149">
        <f>Funding!K5</f>
        <v>28.354113878954323</v>
      </c>
      <c r="L7" s="149">
        <f>Funding!L5</f>
        <v>12.724963636363636</v>
      </c>
      <c r="M7" s="149">
        <f>Funding!M5</f>
        <v>9.3021153036196527</v>
      </c>
      <c r="N7" s="149">
        <f>Funding!N5</f>
        <v>14.029758527917098</v>
      </c>
      <c r="O7" s="149">
        <f>Funding!O5</f>
        <v>13.153663825037079</v>
      </c>
      <c r="P7" s="149">
        <f>Funding!P5</f>
        <v>14.7</v>
      </c>
      <c r="Q7" s="149"/>
      <c r="R7" s="149">
        <f>SUM(C7:P7)</f>
        <v>868.68744088952769</v>
      </c>
      <c r="S7" s="148"/>
    </row>
    <row r="8" spans="1:19">
      <c r="A8" s="148"/>
      <c r="B8" s="162" t="s">
        <v>353</v>
      </c>
      <c r="C8" s="149">
        <f>Funding!C8</f>
        <v>0</v>
      </c>
      <c r="D8" s="149">
        <f>Funding!D8</f>
        <v>8.9741109652613424</v>
      </c>
      <c r="E8" s="149">
        <f>Funding!E8</f>
        <v>3.2079659047469566</v>
      </c>
      <c r="F8" s="149">
        <f>Funding!F8</f>
        <v>6.584907483690797</v>
      </c>
      <c r="G8" s="149">
        <f>Funding!G8</f>
        <v>10.710833413953489</v>
      </c>
      <c r="H8" s="149">
        <f>Funding!H8</f>
        <v>13.692572062084256</v>
      </c>
      <c r="I8" s="149">
        <f>Funding!I8</f>
        <v>12.997757128941689</v>
      </c>
      <c r="J8" s="149">
        <f>Funding!J8</f>
        <v>6.1705365175661848</v>
      </c>
      <c r="K8" s="149">
        <f>Funding!K8</f>
        <v>5.4110904349149473</v>
      </c>
      <c r="L8" s="149">
        <f>Funding!L8</f>
        <v>4.3842311688311684</v>
      </c>
      <c r="M8" s="149">
        <f>Funding!M8</f>
        <v>3.8054108060262211</v>
      </c>
      <c r="N8" s="149">
        <f>Funding!N8</f>
        <v>4.3648137642408749</v>
      </c>
      <c r="O8" s="149">
        <f>Funding!O8</f>
        <v>4.996352925789278</v>
      </c>
      <c r="P8" s="149">
        <f>Funding!P8</f>
        <v>5.2</v>
      </c>
      <c r="Q8" s="149"/>
      <c r="R8" s="149">
        <f>SUM(C8:P8)</f>
        <v>90.500582576047194</v>
      </c>
      <c r="S8" s="148"/>
    </row>
    <row r="9" spans="1:19">
      <c r="A9" s="148"/>
      <c r="B9" s="162" t="s">
        <v>355</v>
      </c>
      <c r="C9" s="149">
        <f>Funding!C10</f>
        <v>6.1228103602625596</v>
      </c>
      <c r="D9" s="149">
        <f>Funding!D10</f>
        <v>6.6699473390455921</v>
      </c>
      <c r="E9" s="149">
        <f>Funding!E10</f>
        <v>3.5644065608299518</v>
      </c>
      <c r="F9" s="149">
        <f>Funding!F10</f>
        <v>1.6442009804289568</v>
      </c>
      <c r="G9" s="149">
        <f>Funding!G10</f>
        <v>1.1642210232558141</v>
      </c>
      <c r="H9" s="149">
        <f>Funding!H10</f>
        <v>2.2820953436807092</v>
      </c>
      <c r="I9" s="149">
        <f>Funding!I10</f>
        <v>0</v>
      </c>
      <c r="J9" s="149">
        <f>Funding!J10</f>
        <v>0</v>
      </c>
      <c r="K9" s="149">
        <f>Funding!K10</f>
        <v>0</v>
      </c>
      <c r="L9" s="149">
        <f>Funding!L10</f>
        <v>2.2455818181818183</v>
      </c>
      <c r="M9" s="149">
        <f>Funding!M10</f>
        <v>0.73994099006065406</v>
      </c>
      <c r="N9" s="149">
        <f>Funding!N10</f>
        <v>1.8706344703889464</v>
      </c>
      <c r="O9" s="149">
        <f>Funding!O10</f>
        <v>1.8353949523307551</v>
      </c>
      <c r="P9" s="149">
        <f>Funding!P10</f>
        <v>1.4</v>
      </c>
      <c r="Q9" s="149"/>
      <c r="R9" s="149">
        <f>SUM(C9:P9)</f>
        <v>29.539233838465751</v>
      </c>
      <c r="S9" s="148"/>
    </row>
    <row r="10" spans="1:19">
      <c r="A10" s="148"/>
      <c r="B10" s="162" t="s">
        <v>174</v>
      </c>
      <c r="C10" s="149">
        <f>Funding!C9</f>
        <v>1.4948571610577754</v>
      </c>
      <c r="D10" s="149">
        <f>Funding!D9</f>
        <v>1.6978047772116052</v>
      </c>
      <c r="E10" s="149">
        <f>Funding!E9</f>
        <v>1.6633897283873107</v>
      </c>
      <c r="F10" s="149">
        <f>Funding!F9</f>
        <v>2.0317626401014963</v>
      </c>
      <c r="G10" s="149">
        <f>Funding!G9</f>
        <v>2.2120199441860464</v>
      </c>
      <c r="H10" s="149">
        <f>Funding!H9</f>
        <v>2.2820953436807092</v>
      </c>
      <c r="I10" s="149">
        <f>Funding!I9</f>
        <v>2.3530422388601338</v>
      </c>
      <c r="J10" s="149">
        <f>Funding!J9</f>
        <v>2.3139511940873194</v>
      </c>
      <c r="K10" s="149">
        <f>Funding!K9</f>
        <v>1.8397707478710821</v>
      </c>
      <c r="L10" s="149">
        <f>Funding!L9</f>
        <v>1.8178519480519479</v>
      </c>
      <c r="M10" s="149">
        <f>Funding!M9</f>
        <v>1.4798819801213081</v>
      </c>
      <c r="N10" s="149">
        <f>Funding!N9</f>
        <v>1.4549379214136249</v>
      </c>
      <c r="O10" s="149">
        <f>Funding!O9</f>
        <v>1.3255630211277676</v>
      </c>
      <c r="P10" s="149">
        <f>Funding!P9</f>
        <v>1.1000000000000001</v>
      </c>
      <c r="Q10" s="149"/>
      <c r="R10" s="149">
        <f t="shared" ref="R10:R11" si="0">SUM(C10:P10)</f>
        <v>25.066928646158129</v>
      </c>
      <c r="S10" s="148"/>
    </row>
    <row r="11" spans="1:19">
      <c r="A11" s="148"/>
      <c r="B11" s="162" t="s">
        <v>22</v>
      </c>
      <c r="C11" s="149">
        <f>Funding!C15</f>
        <v>0</v>
      </c>
      <c r="D11" s="149">
        <f>Funding!D15</f>
        <v>0</v>
      </c>
      <c r="E11" s="149">
        <f>Funding!E15</f>
        <v>0</v>
      </c>
      <c r="F11" s="149">
        <f>Funding!F15</f>
        <v>0</v>
      </c>
      <c r="G11" s="149">
        <f>Funding!G15</f>
        <v>1.6299094325581398</v>
      </c>
      <c r="H11" s="149">
        <f>Funding!H15</f>
        <v>2.966723946784922</v>
      </c>
      <c r="I11" s="149">
        <f>Funding!I15</f>
        <v>2.4650918692820447</v>
      </c>
      <c r="J11" s="149">
        <f>Funding!J15</f>
        <v>6.3909128217649771</v>
      </c>
      <c r="K11" s="149">
        <f>Funding!K15</f>
        <v>5.0864250088200507</v>
      </c>
      <c r="L11" s="149">
        <f>Funding!L15</f>
        <v>2.4594467532467532</v>
      </c>
      <c r="M11" s="149">
        <f>Funding!M15</f>
        <v>0</v>
      </c>
      <c r="N11" s="149">
        <f>Funding!N15</f>
        <v>0</v>
      </c>
      <c r="O11" s="149">
        <f>Funding!O15</f>
        <v>0</v>
      </c>
      <c r="P11" s="149">
        <f>Funding!P15</f>
        <v>0</v>
      </c>
      <c r="Q11" s="149"/>
      <c r="R11" s="149">
        <f t="shared" si="0"/>
        <v>20.998509832456886</v>
      </c>
      <c r="S11" s="148"/>
    </row>
    <row r="12" spans="1:19">
      <c r="A12" s="148"/>
      <c r="B12" s="162" t="s">
        <v>367</v>
      </c>
      <c r="C12" s="153">
        <f>Funding!C17</f>
        <v>11.696011570976211</v>
      </c>
      <c r="D12" s="153">
        <f>Funding!D17</f>
        <v>9.9551995829500459</v>
      </c>
      <c r="E12" s="153">
        <f>Funding!E17</f>
        <v>8.0888266220434382</v>
      </c>
      <c r="F12" s="153">
        <f>Funding!F17</f>
        <v>5.7570522900448182</v>
      </c>
      <c r="G12" s="153">
        <f>Funding!G17</f>
        <v>2.7300982995348839</v>
      </c>
      <c r="H12" s="153">
        <f>Funding!H17</f>
        <v>-0.6983211751662971</v>
      </c>
      <c r="I12" s="153">
        <f>Funding!I17</f>
        <v>5.8075323447676528</v>
      </c>
      <c r="J12" s="153">
        <f>Funding!J17</f>
        <v>-7.7285969882516472</v>
      </c>
      <c r="K12" s="153">
        <f>Funding!K17</f>
        <v>-4.9782032001217558E-2</v>
      </c>
      <c r="L12" s="153">
        <f>Funding!L17</f>
        <v>-1.9301310389610389</v>
      </c>
      <c r="M12" s="153">
        <f>Funding!M17</f>
        <v>-0.48413281921111373</v>
      </c>
      <c r="N12" s="153">
        <f>Funding!N17</f>
        <v>-0.53001309994353485</v>
      </c>
      <c r="O12" s="153">
        <f>Funding!O17</f>
        <v>4.7781448592343994</v>
      </c>
      <c r="P12" s="153">
        <f>Funding!P17</f>
        <v>0</v>
      </c>
      <c r="Q12" s="153"/>
      <c r="R12" s="153">
        <f>SUM(C12:P12)</f>
        <v>37.391888416016599</v>
      </c>
      <c r="S12" s="148"/>
    </row>
    <row r="13" spans="1:19" s="143" customFormat="1" ht="19">
      <c r="A13" s="167"/>
      <c r="B13" s="163" t="s">
        <v>4</v>
      </c>
      <c r="C13" s="151">
        <f>SUM(C7:C12)</f>
        <v>109.64852019216836</v>
      </c>
      <c r="D13" s="151">
        <f>SUM(D7:D12)</f>
        <v>135.22893778720635</v>
      </c>
      <c r="E13" s="151">
        <f>SUM(E7:E12)</f>
        <v>137.00153057206001</v>
      </c>
      <c r="F13" s="151">
        <f>SUM(F7:F12)</f>
        <v>122.34288098102951</v>
      </c>
      <c r="G13" s="151">
        <f>SUM(G7:G12)</f>
        <v>148.83983671813954</v>
      </c>
      <c r="H13" s="151">
        <f>SUM(H7:H12)</f>
        <v>136.2273994456763</v>
      </c>
      <c r="I13" s="151">
        <f>SUM(I7:I12)</f>
        <v>98.36052707326624</v>
      </c>
      <c r="J13" s="151">
        <f>SUM(J7:J12)</f>
        <v>37.668921676699568</v>
      </c>
      <c r="K13" s="151">
        <f>SUM(K7:K12)</f>
        <v>40.64161803855918</v>
      </c>
      <c r="L13" s="151">
        <f>SUM(L7:L12)</f>
        <v>21.701944285714283</v>
      </c>
      <c r="M13" s="151">
        <f>SUM(M7:M12)</f>
        <v>14.843216260616723</v>
      </c>
      <c r="N13" s="151">
        <f>SUM(N7:N12)</f>
        <v>21.19013158401701</v>
      </c>
      <c r="O13" s="151">
        <f>SUM(O7:O12)</f>
        <v>26.089119583519278</v>
      </c>
      <c r="P13" s="151">
        <f>SUM(P7:P12)</f>
        <v>22.4</v>
      </c>
      <c r="Q13" s="151"/>
      <c r="R13" s="151">
        <f>SUM(R7:R12)</f>
        <v>1072.1845841986724</v>
      </c>
      <c r="S13" s="168"/>
    </row>
    <row r="14" spans="1:19" s="154" customFormat="1" ht="20">
      <c r="A14" s="166"/>
      <c r="B14" s="158" t="s">
        <v>368</v>
      </c>
      <c r="C14" s="159"/>
      <c r="D14" s="159"/>
      <c r="E14" s="159"/>
      <c r="F14" s="159"/>
      <c r="G14" s="159"/>
      <c r="H14" s="159"/>
      <c r="I14" s="159"/>
      <c r="J14" s="159"/>
      <c r="K14" s="159"/>
      <c r="L14" s="159"/>
      <c r="M14" s="159"/>
      <c r="N14" s="159"/>
      <c r="O14" s="159"/>
      <c r="P14" s="159"/>
      <c r="Q14" s="159"/>
      <c r="R14" s="159"/>
      <c r="S14" s="166"/>
    </row>
    <row r="15" spans="1:19">
      <c r="A15" s="148"/>
      <c r="B15" s="162" t="s">
        <v>26</v>
      </c>
      <c r="C15" s="149">
        <f>Funding!C11</f>
        <v>23.91746543406423</v>
      </c>
      <c r="D15" s="149">
        <f>Funding!D11</f>
        <v>44.021652437700901</v>
      </c>
      <c r="E15" s="149">
        <f>Funding!E11</f>
        <v>60.00084377397085</v>
      </c>
      <c r="F15" s="149">
        <f>Funding!F11</f>
        <v>27.21880768758399</v>
      </c>
      <c r="G15" s="149">
        <f>Funding!G11</f>
        <v>21.770933134883723</v>
      </c>
      <c r="H15" s="149">
        <f>Funding!H11</f>
        <v>24.418420177383588</v>
      </c>
      <c r="I15" s="149">
        <f>Funding!I11</f>
        <v>14.566451954848446</v>
      </c>
      <c r="J15" s="149">
        <f>Funding!J11</f>
        <v>12.230884883032974</v>
      </c>
      <c r="K15" s="149">
        <f>Funding!K11</f>
        <v>9.523519165450308</v>
      </c>
      <c r="L15" s="149">
        <f>Funding!L11</f>
        <v>8.8753948051948051</v>
      </c>
      <c r="M15" s="149">
        <f>Funding!M11</f>
        <v>12.261879263862268</v>
      </c>
      <c r="N15" s="149">
        <f>Funding!N11</f>
        <v>10.496337861626865</v>
      </c>
      <c r="O15" s="149">
        <f>Funding!O11</f>
        <v>9.278941147894372</v>
      </c>
      <c r="P15" s="149">
        <f>Funding!P11</f>
        <v>8.6999999999999993</v>
      </c>
      <c r="Q15" s="149"/>
      <c r="R15" s="149">
        <f>SUM(C15:P15)</f>
        <v>287.28153172749734</v>
      </c>
      <c r="S15" s="148"/>
    </row>
    <row r="16" spans="1:19" s="143" customFormat="1" ht="19">
      <c r="A16" s="167"/>
      <c r="B16" s="162" t="s">
        <v>33</v>
      </c>
      <c r="C16" s="149">
        <f>Funding!C12</f>
        <v>9.0189715383819102</v>
      </c>
      <c r="D16" s="149">
        <f>Funding!D12</f>
        <v>11.278274591477093</v>
      </c>
      <c r="E16" s="149">
        <f>Funding!E12</f>
        <v>13.663558483181481</v>
      </c>
      <c r="F16" s="149">
        <f>Funding!F12</f>
        <v>13.156074144902295</v>
      </c>
      <c r="G16" s="149">
        <f>Funding!G12</f>
        <v>13.039275460465117</v>
      </c>
      <c r="H16" s="149">
        <f>Funding!H12</f>
        <v>14.377200665188468</v>
      </c>
      <c r="I16" s="149">
        <f>Funding!I12</f>
        <v>12.549558607254045</v>
      </c>
      <c r="J16" s="149">
        <f>Funding!J12</f>
        <v>10.247498145243844</v>
      </c>
      <c r="K16" s="149">
        <f>Funding!K12</f>
        <v>19.263481948297212</v>
      </c>
      <c r="L16" s="149">
        <f>Funding!L12</f>
        <v>8.8753948051948051</v>
      </c>
      <c r="M16" s="149">
        <f>Funding!M12</f>
        <v>8.5621743135589963</v>
      </c>
      <c r="N16" s="149">
        <f>Funding!N12</f>
        <v>9.8727930381638842</v>
      </c>
      <c r="O16" s="149">
        <f>Funding!O12</f>
        <v>10.604504169022141</v>
      </c>
      <c r="P16" s="149">
        <f>Funding!P12</f>
        <v>9.9</v>
      </c>
      <c r="Q16" s="149"/>
      <c r="R16" s="149">
        <f>SUM(C16:P16)</f>
        <v>164.40875991033127</v>
      </c>
      <c r="S16" s="167"/>
    </row>
    <row r="17" spans="1:20" ht="18" customHeight="1">
      <c r="A17" s="148"/>
      <c r="B17" s="162" t="s">
        <v>52</v>
      </c>
      <c r="C17" s="149">
        <f>Funding!C6</f>
        <v>1.1497942997136057</v>
      </c>
      <c r="D17" s="149">
        <f>Funding!D6</f>
        <v>1.2127176980082894</v>
      </c>
      <c r="E17" s="149">
        <f>Funding!E6</f>
        <v>2.0198303844703061</v>
      </c>
      <c r="F17" s="149">
        <f>Funding!F6</f>
        <v>1.6794338585810056</v>
      </c>
      <c r="G17" s="149">
        <f>Funding!G6</f>
        <v>1.3970652279069768</v>
      </c>
      <c r="H17" s="149">
        <f>Funding!H6</f>
        <v>1.0269429046563192</v>
      </c>
      <c r="I17" s="149">
        <f>Funding!I6</f>
        <v>0.44819852168764451</v>
      </c>
      <c r="J17" s="149">
        <f>Funding!J6</f>
        <v>26.114592047556894</v>
      </c>
      <c r="K17" s="149">
        <f>Funding!K6</f>
        <v>21.752583548358089</v>
      </c>
      <c r="L17" s="149">
        <f>Funding!L6</f>
        <v>21.600358441558441</v>
      </c>
      <c r="M17" s="149">
        <f>Funding!M6</f>
        <v>15.644466646996687</v>
      </c>
      <c r="N17" s="149">
        <f>Funding!N6</f>
        <v>19.849510213571598</v>
      </c>
      <c r="O17" s="149">
        <f>Funding!O6</f>
        <v>19.577546158194721</v>
      </c>
      <c r="P17" s="149">
        <f>Funding!P6</f>
        <v>20</v>
      </c>
      <c r="Q17" s="149"/>
      <c r="R17" s="149">
        <f>SUM(C17:P17)</f>
        <v>153.4730399512606</v>
      </c>
      <c r="S17" s="148"/>
    </row>
    <row r="18" spans="1:20">
      <c r="A18" s="148"/>
      <c r="B18" s="162" t="s">
        <v>17</v>
      </c>
      <c r="C18" s="149">
        <f>Funding!C7</f>
        <v>4.1332800503247498</v>
      </c>
      <c r="D18" s="149">
        <f>Funding!D7</f>
        <v>5.3359578712364737</v>
      </c>
      <c r="E18" s="149">
        <f>Funding!E7</f>
        <v>4.9901691851619328</v>
      </c>
      <c r="F18" s="149">
        <f>Funding!F7</f>
        <v>4.1105024510723913</v>
      </c>
      <c r="G18" s="149">
        <f>Funding!G7</f>
        <v>2.561286251162791</v>
      </c>
      <c r="H18" s="149">
        <f>Funding!H7</f>
        <v>3.7654573170731704</v>
      </c>
      <c r="I18" s="149">
        <f>Funding!I7</f>
        <v>2.6891911301258666</v>
      </c>
      <c r="J18" s="149">
        <f>Funding!J7</f>
        <v>1.7630104335903387</v>
      </c>
      <c r="K18" s="149">
        <f>Funding!K7</f>
        <v>0.97399627828469049</v>
      </c>
      <c r="L18" s="149">
        <f>Funding!L7</f>
        <v>0.74852727272727271</v>
      </c>
      <c r="M18" s="149">
        <f>Funding!M7</f>
        <v>0.42282342289180236</v>
      </c>
      <c r="N18" s="149">
        <f>Funding!N7</f>
        <v>0.51962068621915181</v>
      </c>
      <c r="O18" s="149">
        <f>Funding!O7</f>
        <v>0.50983193120298753</v>
      </c>
      <c r="P18" s="149">
        <f>Funding!P7</f>
        <v>0.6</v>
      </c>
      <c r="Q18" s="149"/>
      <c r="R18" s="149">
        <f>SUM(C18:P18)</f>
        <v>33.12365428107362</v>
      </c>
      <c r="S18" s="148"/>
    </row>
    <row r="19" spans="1:20">
      <c r="A19" s="148"/>
      <c r="B19" s="162" t="s">
        <v>354</v>
      </c>
      <c r="C19" s="149">
        <f>Funding!C13</f>
        <v>0</v>
      </c>
      <c r="D19" s="149">
        <f>Funding!D13</f>
        <v>0</v>
      </c>
      <c r="E19" s="149">
        <f>Funding!E13</f>
        <v>0</v>
      </c>
      <c r="F19" s="149">
        <f>Funding!F13</f>
        <v>0</v>
      </c>
      <c r="G19" s="149">
        <f>Funding!G13</f>
        <v>0</v>
      </c>
      <c r="H19" s="149">
        <f>Funding!H13</f>
        <v>0</v>
      </c>
      <c r="I19" s="149">
        <f>Funding!I13</f>
        <v>0</v>
      </c>
      <c r="J19" s="149">
        <f>Funding!J13</f>
        <v>0</v>
      </c>
      <c r="K19" s="149">
        <f>Funding!K13</f>
        <v>0</v>
      </c>
      <c r="L19" s="149">
        <f>Funding!L13</f>
        <v>1.9247844155844158</v>
      </c>
      <c r="M19" s="149">
        <f>Funding!M13</f>
        <v>2.0084112587360612</v>
      </c>
      <c r="N19" s="149">
        <f>Funding!N13</f>
        <v>4.5726620387285353</v>
      </c>
      <c r="O19" s="149">
        <f>Funding!O13</f>
        <v>5.8120840157140581</v>
      </c>
      <c r="P19" s="149">
        <f>Funding!P13</f>
        <v>7.4</v>
      </c>
      <c r="Q19" s="149"/>
      <c r="R19" s="149">
        <f t="shared" ref="R19:R21" si="1">SUM(C19:P19)</f>
        <v>21.717941728763073</v>
      </c>
      <c r="S19" s="148"/>
    </row>
    <row r="20" spans="1:20">
      <c r="A20" s="148"/>
      <c r="B20" s="162" t="s">
        <v>331</v>
      </c>
      <c r="C20" s="149">
        <f>Funding!C14</f>
        <v>6.4961509362367398</v>
      </c>
      <c r="D20" s="149">
        <f>Funding!D14</f>
        <v>8.3677521162571971</v>
      </c>
      <c r="E20" s="149">
        <f>Funding!E14</f>
        <v>4.3961014250236072</v>
      </c>
      <c r="F20" s="149">
        <f>Funding!F14</f>
        <v>7.332666601004453</v>
      </c>
      <c r="G20" s="149">
        <f>Funding!G14</f>
        <v>2.2120199441860464</v>
      </c>
      <c r="H20" s="149">
        <f>Funding!H14</f>
        <v>1.3692572062084256</v>
      </c>
      <c r="I20" s="149">
        <f>Funding!I14</f>
        <v>0.33614889126573333</v>
      </c>
      <c r="J20" s="149">
        <f>Funding!J14</f>
        <v>0.22037630419879234</v>
      </c>
      <c r="K20" s="149">
        <f>Funding!K14</f>
        <v>0</v>
      </c>
      <c r="L20" s="149">
        <f>Funding!L14</f>
        <v>0</v>
      </c>
      <c r="M20" s="149">
        <f>Funding!M14</f>
        <v>0</v>
      </c>
      <c r="N20" s="149">
        <f>Funding!N14</f>
        <v>0</v>
      </c>
      <c r="O20" s="149">
        <f>Funding!O14</f>
        <v>0</v>
      </c>
      <c r="P20" s="149">
        <f>Funding!P14</f>
        <v>0</v>
      </c>
      <c r="Q20" s="149"/>
      <c r="R20" s="149">
        <f t="shared" si="1"/>
        <v>30.730473424380992</v>
      </c>
      <c r="S20" s="148"/>
    </row>
    <row r="21" spans="1:20">
      <c r="A21" s="148"/>
      <c r="B21" s="162" t="s">
        <v>395</v>
      </c>
      <c r="C21" s="153">
        <f>Funding!C16</f>
        <v>0</v>
      </c>
      <c r="D21" s="153">
        <f>Funding!D16</f>
        <v>0</v>
      </c>
      <c r="E21" s="153">
        <f>Funding!E16</f>
        <v>0</v>
      </c>
      <c r="F21" s="153">
        <f>Funding!F16</f>
        <v>0</v>
      </c>
      <c r="G21" s="153">
        <f>Funding!G16</f>
        <v>0</v>
      </c>
      <c r="H21" s="153">
        <f>Funding!H16</f>
        <v>0</v>
      </c>
      <c r="I21" s="153">
        <f>Funding!I16</f>
        <v>0</v>
      </c>
      <c r="J21" s="153">
        <f>Funding!J16</f>
        <v>0</v>
      </c>
      <c r="K21" s="153">
        <f>Funding!K16</f>
        <v>0</v>
      </c>
      <c r="L21" s="153">
        <f>Funding!L16</f>
        <v>2.4594467532467532</v>
      </c>
      <c r="M21" s="153">
        <f>Funding!M16</f>
        <v>8.1393508906671954</v>
      </c>
      <c r="N21" s="153">
        <f>Funding!N16</f>
        <v>19.225965390108616</v>
      </c>
      <c r="O21" s="153">
        <f>Funding!O16</f>
        <v>17.742151205863966</v>
      </c>
      <c r="P21" s="153">
        <f>Funding!P16</f>
        <v>0</v>
      </c>
      <c r="Q21" s="153"/>
      <c r="R21" s="153">
        <f t="shared" si="1"/>
        <v>47.566914239886529</v>
      </c>
      <c r="S21" s="148"/>
    </row>
    <row r="22" spans="1:20" s="143" customFormat="1" ht="19">
      <c r="A22" s="167"/>
      <c r="B22" s="163" t="s">
        <v>4</v>
      </c>
      <c r="C22" s="151">
        <f t="shared" ref="C22:Q22" si="2">SUM(C15:C21)</f>
        <v>44.715662258721231</v>
      </c>
      <c r="D22" s="151">
        <f t="shared" si="2"/>
        <v>70.216354714679952</v>
      </c>
      <c r="E22" s="151">
        <f t="shared" si="2"/>
        <v>85.070503251808177</v>
      </c>
      <c r="F22" s="151">
        <f t="shared" si="2"/>
        <v>53.497484743144135</v>
      </c>
      <c r="G22" s="151">
        <f t="shared" si="2"/>
        <v>40.980580018604655</v>
      </c>
      <c r="H22" s="151">
        <f t="shared" si="2"/>
        <v>44.957278270509967</v>
      </c>
      <c r="I22" s="151">
        <f t="shared" si="2"/>
        <v>30.589549105181735</v>
      </c>
      <c r="J22" s="151">
        <f t="shared" si="2"/>
        <v>50.576361813622839</v>
      </c>
      <c r="K22" s="151">
        <f t="shared" si="2"/>
        <v>51.513580940390298</v>
      </c>
      <c r="L22" s="151">
        <f t="shared" si="2"/>
        <v>44.483906493506495</v>
      </c>
      <c r="M22" s="151">
        <f t="shared" si="2"/>
        <v>47.03910579671301</v>
      </c>
      <c r="N22" s="151">
        <f t="shared" si="2"/>
        <v>64.536889228418644</v>
      </c>
      <c r="O22" s="151">
        <f t="shared" si="2"/>
        <v>63.52505862789225</v>
      </c>
      <c r="P22" s="151">
        <f t="shared" si="2"/>
        <v>46.6</v>
      </c>
      <c r="Q22" s="151"/>
      <c r="R22" s="151">
        <f>SUM(R15:R21)</f>
        <v>738.30231526319346</v>
      </c>
      <c r="S22" s="168"/>
    </row>
    <row r="23" spans="1:20" s="147" customFormat="1" ht="19">
      <c r="A23" s="170"/>
      <c r="B23" s="160" t="s">
        <v>7</v>
      </c>
      <c r="C23" s="146">
        <f>C13+C22</f>
        <v>154.36418245088959</v>
      </c>
      <c r="D23" s="146">
        <f>D13+D22</f>
        <v>205.44529250188629</v>
      </c>
      <c r="E23" s="146">
        <f>E13+E22</f>
        <v>222.0720338238682</v>
      </c>
      <c r="F23" s="146">
        <f>F13+F22</f>
        <v>175.84036572417364</v>
      </c>
      <c r="G23" s="146">
        <f>G13+G22</f>
        <v>189.82041673674419</v>
      </c>
      <c r="H23" s="146">
        <f>H13+H22</f>
        <v>181.18467771618626</v>
      </c>
      <c r="I23" s="146">
        <f>I13+I22</f>
        <v>128.95007617844797</v>
      </c>
      <c r="J23" s="146">
        <f>J13+J22</f>
        <v>88.245283490322407</v>
      </c>
      <c r="K23" s="146">
        <f>K13+K22</f>
        <v>92.155198978949471</v>
      </c>
      <c r="L23" s="146">
        <f>L13+L22</f>
        <v>66.185850779220772</v>
      </c>
      <c r="M23" s="146">
        <f>M13+M22</f>
        <v>61.882322057329731</v>
      </c>
      <c r="N23" s="146">
        <f>N13+N22</f>
        <v>85.727020812435654</v>
      </c>
      <c r="O23" s="146">
        <f>O13+O22</f>
        <v>89.614178211411527</v>
      </c>
      <c r="P23" s="146">
        <f>P13+P22</f>
        <v>69</v>
      </c>
      <c r="Q23" s="146"/>
      <c r="R23" s="146">
        <f>R13+R22</f>
        <v>1810.486899461866</v>
      </c>
      <c r="S23" s="171"/>
      <c r="T23" s="252">
        <f>R22/R23</f>
        <v>0.40779213342147919</v>
      </c>
    </row>
    <row r="24" spans="1:20">
      <c r="A24" s="148"/>
      <c r="B24" s="148"/>
      <c r="C24" s="148"/>
      <c r="D24" s="148"/>
      <c r="E24" s="148"/>
      <c r="F24" s="148"/>
      <c r="G24" s="148"/>
      <c r="H24" s="148"/>
      <c r="I24" s="148"/>
      <c r="J24" s="148"/>
      <c r="K24" s="148"/>
      <c r="L24" s="148"/>
      <c r="M24" s="148"/>
      <c r="N24" s="148"/>
      <c r="O24" s="148"/>
      <c r="P24" s="148"/>
      <c r="Q24" s="148"/>
      <c r="R24" s="148"/>
      <c r="S24" s="148"/>
    </row>
    <row r="25" spans="1:20" ht="17">
      <c r="A25" s="148"/>
      <c r="B25" s="376" t="s">
        <v>397</v>
      </c>
      <c r="C25" s="377"/>
      <c r="D25" s="377"/>
      <c r="E25" s="377"/>
      <c r="F25" s="377"/>
      <c r="G25" s="377"/>
      <c r="H25" s="377"/>
      <c r="I25" s="377"/>
      <c r="J25" s="377"/>
      <c r="K25" s="377"/>
      <c r="L25" s="377"/>
      <c r="M25" s="377"/>
      <c r="N25" s="377"/>
      <c r="O25" s="377"/>
      <c r="P25" s="377"/>
      <c r="Q25" s="377"/>
      <c r="R25" s="377"/>
      <c r="S25" s="148"/>
    </row>
    <row r="26" spans="1:20">
      <c r="A26" s="148"/>
      <c r="B26" s="377" t="s">
        <v>390</v>
      </c>
      <c r="C26" s="377"/>
      <c r="D26" s="377"/>
      <c r="E26" s="377"/>
      <c r="F26" s="377"/>
      <c r="G26" s="377"/>
      <c r="H26" s="377"/>
      <c r="I26" s="377"/>
      <c r="J26" s="377"/>
      <c r="K26" s="377"/>
      <c r="L26" s="377"/>
      <c r="M26" s="377"/>
      <c r="N26" s="377"/>
      <c r="O26" s="377"/>
      <c r="P26" s="377"/>
      <c r="Q26" s="377"/>
      <c r="R26" s="377"/>
      <c r="S26" s="148"/>
    </row>
  </sheetData>
  <pageMargins left="0.7" right="0.7" top="0.75" bottom="0.75" header="0.3" footer="0.3"/>
  <pageSetup scale="58" orientation="landscape" horizontalDpi="0" verticalDpi="0" copies="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I52"/>
  <sheetViews>
    <sheetView topLeftCell="A34" zoomScale="90" zoomScaleNormal="90" workbookViewId="0">
      <selection activeCell="C37" sqref="C37:P40"/>
    </sheetView>
  </sheetViews>
  <sheetFormatPr baseColWidth="10" defaultRowHeight="16"/>
  <cols>
    <col min="1" max="1" width="10.83203125" style="56"/>
    <col min="2" max="2" width="53.83203125" style="9" bestFit="1" customWidth="1"/>
    <col min="3" max="4" width="11.6640625" style="9" bestFit="1" customWidth="1"/>
    <col min="5" max="16" width="11.6640625" bestFit="1" customWidth="1"/>
    <col min="17" max="17" width="1.83203125" bestFit="1" customWidth="1"/>
    <col min="18" max="18" width="11.6640625" bestFit="1" customWidth="1"/>
    <col min="19" max="19" width="11.33203125" bestFit="1" customWidth="1"/>
    <col min="20" max="20" width="1.83203125" bestFit="1" customWidth="1"/>
    <col min="21" max="21" width="129.5" customWidth="1"/>
    <col min="35" max="35" width="255.83203125" bestFit="1" customWidth="1"/>
  </cols>
  <sheetData>
    <row r="2" spans="1:35">
      <c r="C2"/>
      <c r="D2"/>
    </row>
    <row r="3" spans="1:35" s="199" customFormat="1">
      <c r="A3" s="271"/>
      <c r="B3" s="272"/>
      <c r="C3" s="271" t="s">
        <v>50</v>
      </c>
      <c r="D3" s="271" t="s">
        <v>50</v>
      </c>
      <c r="E3" s="271" t="s">
        <v>50</v>
      </c>
      <c r="F3" s="271" t="s">
        <v>50</v>
      </c>
      <c r="G3" s="271" t="s">
        <v>50</v>
      </c>
      <c r="H3" s="271" t="s">
        <v>50</v>
      </c>
      <c r="I3" s="271" t="s">
        <v>50</v>
      </c>
      <c r="J3" s="271" t="s">
        <v>50</v>
      </c>
      <c r="K3" s="271" t="s">
        <v>50</v>
      </c>
      <c r="L3" s="271" t="s">
        <v>50</v>
      </c>
      <c r="M3" s="271" t="s">
        <v>50</v>
      </c>
      <c r="N3" s="271" t="s">
        <v>50</v>
      </c>
      <c r="O3" s="271" t="s">
        <v>50</v>
      </c>
      <c r="P3" s="271" t="s">
        <v>50</v>
      </c>
      <c r="Q3" s="271" t="s">
        <v>35</v>
      </c>
      <c r="R3" s="271" t="s">
        <v>50</v>
      </c>
      <c r="S3" s="271"/>
      <c r="T3" s="271" t="s">
        <v>35</v>
      </c>
    </row>
    <row r="4" spans="1:35" s="10" customFormat="1" ht="20">
      <c r="A4" s="15"/>
      <c r="B4" s="14" t="s">
        <v>555</v>
      </c>
      <c r="C4" s="15">
        <v>2006</v>
      </c>
      <c r="D4" s="15">
        <v>2007</v>
      </c>
      <c r="E4" s="15">
        <v>2008</v>
      </c>
      <c r="F4" s="15">
        <v>2009</v>
      </c>
      <c r="G4" s="15">
        <v>2010</v>
      </c>
      <c r="H4" s="15">
        <v>2011</v>
      </c>
      <c r="I4" s="15">
        <v>2012</v>
      </c>
      <c r="J4" s="15">
        <v>2013</v>
      </c>
      <c r="K4" s="15">
        <v>2014</v>
      </c>
      <c r="L4" s="15">
        <v>2015</v>
      </c>
      <c r="M4" s="15">
        <v>2016</v>
      </c>
      <c r="N4" s="15">
        <v>2017</v>
      </c>
      <c r="O4" s="15">
        <v>2018</v>
      </c>
      <c r="P4" s="15">
        <v>2019</v>
      </c>
      <c r="Q4" s="15"/>
      <c r="R4" s="128" t="s">
        <v>7</v>
      </c>
      <c r="S4" s="18"/>
      <c r="T4" s="15"/>
      <c r="AI4" t="s">
        <v>297</v>
      </c>
    </row>
    <row r="5" spans="1:35" ht="19">
      <c r="A5" s="18"/>
      <c r="B5" s="107" t="s">
        <v>51</v>
      </c>
      <c r="C5" s="253">
        <f t="array" ref="C5">SUM(IF(('Summary-Data'!$E$5:$E$214=$B5)*('Summary-Data'!$B$5:$B$214=C$4),'Summary-Data'!$D$5:$D$214))</f>
        <v>90.334841099871809</v>
      </c>
      <c r="D5" s="253">
        <f t="array" ref="D5">SUM(IF(('Summary-Data'!$E$5:$E$214=$B5)*('Summary-Data'!$B$5:$B$214=D$4),'Summary-Data'!$D$5:$D$214))</f>
        <v>107.93187512273775</v>
      </c>
      <c r="E5" s="253">
        <f t="array" ref="E5">SUM(IF(('Summary-Data'!$E$5:$E$214=$B5)*('Summary-Data'!$B$5:$B$214=E$4),'Summary-Data'!$D$5:$D$214))</f>
        <v>120.47694175605237</v>
      </c>
      <c r="F5" s="253">
        <f t="array" ref="F5">SUM(IF(('Summary-Data'!$E$5:$E$214=$B5)*('Summary-Data'!$B$5:$B$214=F$4),'Summary-Data'!$D$5:$D$214))</f>
        <v>106.32495758676345</v>
      </c>
      <c r="G5" s="253">
        <f t="array" ref="G5">SUM(IF(('Summary-Data'!$E$5:$E$214=$B5)*('Summary-Data'!$B$5:$B$214=G$4),'Summary-Data'!$D$5:$D$214))</f>
        <v>130.39275460465117</v>
      </c>
      <c r="H5" s="253">
        <f t="array" ref="H5">SUM(IF(('Summary-Data'!$E$5:$E$214=$B5)*('Summary-Data'!$B$5:$B$214=H$4),'Summary-Data'!$D$5:$D$214))</f>
        <v>115.70223392461197</v>
      </c>
      <c r="I5" s="253">
        <f t="array" ref="I5">SUM(IF(('Summary-Data'!$E$5:$E$214=$B5)*('Summary-Data'!$B$5:$B$214=I$4),'Summary-Data'!$D$5:$D$214))</f>
        <v>74.737103491414715</v>
      </c>
      <c r="J5" s="253">
        <f t="array" ref="J5">SUM(IF(('Summary-Data'!$E$5:$E$214=$B5)*('Summary-Data'!$B$5:$B$214=J$4),'Summary-Data'!$D$5:$D$214))</f>
        <v>30.522118131532736</v>
      </c>
      <c r="K5" s="253">
        <f t="array" ref="K5">SUM(IF(('Summary-Data'!$E$5:$E$214=$B5)*('Summary-Data'!$B$5:$B$214=K$4),'Summary-Data'!$D$5:$D$214))</f>
        <v>28.354113878954323</v>
      </c>
      <c r="L5" s="253">
        <f t="array" ref="L5">SUM(IF(('Summary-Data'!$E$5:$E$214=$B5)*('Summary-Data'!$B$5:$B$214=L$4),'Summary-Data'!$D$5:$D$214))</f>
        <v>12.724963636363636</v>
      </c>
      <c r="M5" s="253">
        <f t="array" ref="M5">SUM(IF(('Summary-Data'!$E$5:$E$214=$B5)*('Summary-Data'!$B$5:$B$214=M$4),'Summary-Data'!$D$5:$D$214))</f>
        <v>9.3021153036196527</v>
      </c>
      <c r="N5" s="253">
        <f t="array" ref="N5">SUM(IF(('Summary-Data'!$E$5:$E$214=$B5)*('Summary-Data'!$B$5:$B$214=N$4),'Summary-Data'!$D$5:$D$214))</f>
        <v>14.029758527917098</v>
      </c>
      <c r="O5" s="253">
        <f t="array" ref="O5">SUM(IF(('Summary-Data'!$E$5:$E$214=$B5)*('Summary-Data'!$B$5:$B$214=O$4),'Summary-Data'!$D$5:$D$214))</f>
        <v>13.153663825037079</v>
      </c>
      <c r="P5" s="253">
        <f t="array" ref="P5">SUM(IF(('Summary-Data'!$E$5:$E$214=$B5)*('Summary-Data'!$B$5:$B$214=P$4),'Summary-Data'!$D$5:$D$214))</f>
        <v>14.7</v>
      </c>
      <c r="Q5" s="253"/>
      <c r="R5" s="255">
        <f t="shared" ref="R5:R17" si="0">SUM(B5:P5)</f>
        <v>868.68744088952769</v>
      </c>
      <c r="S5" s="18"/>
      <c r="T5" s="15"/>
      <c r="AI5" s="56" t="s">
        <v>298</v>
      </c>
    </row>
    <row r="6" spans="1:35" s="56" customFormat="1" ht="19">
      <c r="A6" s="18"/>
      <c r="B6" s="106" t="s">
        <v>52</v>
      </c>
      <c r="C6" s="253">
        <f t="array" ref="C6">SUM(IF(('Summary-Data'!$E$5:$E$214=$B6)*('Summary-Data'!$B$5:$B$214=C$4),'Summary-Data'!$D$5:$D$214))</f>
        <v>1.1497942997136057</v>
      </c>
      <c r="D6" s="253">
        <f t="array" ref="D6">SUM(IF(('Summary-Data'!$E$5:$E$214=$B6)*('Summary-Data'!$B$5:$B$214=D$4),'Summary-Data'!$D$5:$D$214))</f>
        <v>1.2127176980082894</v>
      </c>
      <c r="E6" s="253">
        <f t="array" ref="E6">SUM(IF(('Summary-Data'!$E$5:$E$214=$B6)*('Summary-Data'!$B$5:$B$214=E$4),'Summary-Data'!$D$5:$D$214))</f>
        <v>2.0198303844703061</v>
      </c>
      <c r="F6" s="253">
        <f t="array" ref="F6">SUM(IF(('Summary-Data'!$E$5:$E$214=$B6)*('Summary-Data'!$B$5:$B$214=F$4),'Summary-Data'!$D$5:$D$214))</f>
        <v>1.6794338585810056</v>
      </c>
      <c r="G6" s="253">
        <f t="array" ref="G6">SUM(IF(('Summary-Data'!$E$5:$E$214=$B6)*('Summary-Data'!$B$5:$B$214=G$4),'Summary-Data'!$D$5:$D$214))</f>
        <v>1.3970652279069768</v>
      </c>
      <c r="H6" s="253">
        <f t="array" ref="H6">SUM(IF(('Summary-Data'!$E$5:$E$214=$B6)*('Summary-Data'!$B$5:$B$214=H$4),'Summary-Data'!$D$5:$D$214))</f>
        <v>1.0269429046563192</v>
      </c>
      <c r="I6" s="253">
        <f t="array" ref="I6">SUM(IF(('Summary-Data'!$E$5:$E$214=$B6)*('Summary-Data'!$B$5:$B$214=I$4),'Summary-Data'!$D$5:$D$214))</f>
        <v>0.44819852168764451</v>
      </c>
      <c r="J6" s="253">
        <f t="array" ref="J6">SUM(IF(('Summary-Data'!$E$5:$E$214=$B6)*('Summary-Data'!$B$5:$B$214=J$4),'Summary-Data'!$D$5:$D$214))</f>
        <v>26.114592047556894</v>
      </c>
      <c r="K6" s="253">
        <f t="array" ref="K6">SUM(IF(('Summary-Data'!$E$5:$E$214=$B6)*('Summary-Data'!$B$5:$B$214=K$4),'Summary-Data'!$D$5:$D$214))</f>
        <v>21.752583548358089</v>
      </c>
      <c r="L6" s="253">
        <f t="array" ref="L6">SUM(IF(('Summary-Data'!$E$5:$E$214=$B6)*('Summary-Data'!$B$5:$B$214=L$4),'Summary-Data'!$D$5:$D$214))</f>
        <v>21.600358441558441</v>
      </c>
      <c r="M6" s="253">
        <f t="array" ref="M6">SUM(IF(('Summary-Data'!$E$5:$E$214=$B6)*('Summary-Data'!$B$5:$B$214=M$4),'Summary-Data'!$D$5:$D$214))</f>
        <v>15.644466646996687</v>
      </c>
      <c r="N6" s="253">
        <f t="array" ref="N6">SUM(IF(('Summary-Data'!$E$5:$E$214=$B6)*('Summary-Data'!$B$5:$B$214=N$4),'Summary-Data'!$D$5:$D$214))</f>
        <v>19.849510213571598</v>
      </c>
      <c r="O6" s="253">
        <f t="array" ref="O6">SUM(IF(('Summary-Data'!$E$5:$E$214=$B6)*('Summary-Data'!$B$5:$B$214=O$4),'Summary-Data'!$D$5:$D$214))</f>
        <v>19.577546158194721</v>
      </c>
      <c r="P6" s="253">
        <f t="array" ref="P6">SUM(IF(('Summary-Data'!$E$5:$E$214=$B6)*('Summary-Data'!$B$5:$B$214=P$4),'Summary-Data'!$D$5:$D$214))</f>
        <v>20</v>
      </c>
      <c r="Q6" s="253"/>
      <c r="R6" s="255">
        <f t="shared" si="0"/>
        <v>153.4730399512606</v>
      </c>
      <c r="S6" s="18"/>
      <c r="T6" s="15"/>
      <c r="AI6" s="56" t="s">
        <v>299</v>
      </c>
    </row>
    <row r="7" spans="1:35" s="56" customFormat="1" ht="19">
      <c r="A7" s="18"/>
      <c r="B7" s="106" t="s">
        <v>17</v>
      </c>
      <c r="C7" s="253">
        <f t="array" ref="C7">SUM(IF(('Summary-Data'!$E$5:$E$214=$B7)*('Summary-Data'!$B$5:$B$214=C$4),'Summary-Data'!$D$5:$D$214))</f>
        <v>4.1332800503247498</v>
      </c>
      <c r="D7" s="253">
        <f t="array" ref="D7">SUM(IF(('Summary-Data'!$E$5:$E$214=$B7)*('Summary-Data'!$B$5:$B$214=D$4),'Summary-Data'!$D$5:$D$214))</f>
        <v>5.3359578712364737</v>
      </c>
      <c r="E7" s="253">
        <f t="array" ref="E7">SUM(IF(('Summary-Data'!$E$5:$E$214=$B7)*('Summary-Data'!$B$5:$B$214=E$4),'Summary-Data'!$D$5:$D$214))</f>
        <v>4.9901691851619328</v>
      </c>
      <c r="F7" s="253">
        <f t="array" ref="F7">SUM(IF(('Summary-Data'!$E$5:$E$214=$B7)*('Summary-Data'!$B$5:$B$214=F$4),'Summary-Data'!$D$5:$D$214))</f>
        <v>4.1105024510723913</v>
      </c>
      <c r="G7" s="253">
        <f t="array" ref="G7">SUM(IF(('Summary-Data'!$E$5:$E$214=$B7)*('Summary-Data'!$B$5:$B$214=G$4),'Summary-Data'!$D$5:$D$214))</f>
        <v>2.561286251162791</v>
      </c>
      <c r="H7" s="253">
        <f t="array" ref="H7">SUM(IF(('Summary-Data'!$E$5:$E$214=$B7)*('Summary-Data'!$B$5:$B$214=H$4),'Summary-Data'!$D$5:$D$214))</f>
        <v>3.7654573170731704</v>
      </c>
      <c r="I7" s="253">
        <f t="array" ref="I7">SUM(IF(('Summary-Data'!$E$5:$E$214=$B7)*('Summary-Data'!$B$5:$B$214=I$4),'Summary-Data'!$D$5:$D$214))</f>
        <v>2.6891911301258666</v>
      </c>
      <c r="J7" s="253">
        <f t="array" ref="J7">SUM(IF(('Summary-Data'!$E$5:$E$214=$B7)*('Summary-Data'!$B$5:$B$214=J$4),'Summary-Data'!$D$5:$D$214))</f>
        <v>1.7630104335903387</v>
      </c>
      <c r="K7" s="253">
        <f t="array" ref="K7">SUM(IF(('Summary-Data'!$E$5:$E$214=$B7)*('Summary-Data'!$B$5:$B$214=K$4),'Summary-Data'!$D$5:$D$214))</f>
        <v>0.97399627828469049</v>
      </c>
      <c r="L7" s="253">
        <f t="array" ref="L7">SUM(IF(('Summary-Data'!$E$5:$E$214=$B7)*('Summary-Data'!$B$5:$B$214=L$4),'Summary-Data'!$D$5:$D$214))</f>
        <v>0.74852727272727271</v>
      </c>
      <c r="M7" s="253">
        <f t="array" ref="M7">SUM(IF(('Summary-Data'!$E$5:$E$214=$B7)*('Summary-Data'!$B$5:$B$214=M$4),'Summary-Data'!$D$5:$D$214))</f>
        <v>0.42282342289180236</v>
      </c>
      <c r="N7" s="253">
        <f t="array" ref="N7">SUM(IF(('Summary-Data'!$E$5:$E$214=$B7)*('Summary-Data'!$B$5:$B$214=N$4),'Summary-Data'!$D$5:$D$214))</f>
        <v>0.51962068621915181</v>
      </c>
      <c r="O7" s="253">
        <f t="array" ref="O7">SUM(IF(('Summary-Data'!$E$5:$E$214=$B7)*('Summary-Data'!$B$5:$B$214=O$4),'Summary-Data'!$D$5:$D$214))</f>
        <v>0.50983193120298753</v>
      </c>
      <c r="P7" s="253">
        <f t="array" ref="P7">SUM(IF(('Summary-Data'!$E$5:$E$214=$B7)*('Summary-Data'!$B$5:$B$214=P$4),'Summary-Data'!$D$5:$D$214))</f>
        <v>0.6</v>
      </c>
      <c r="Q7" s="253"/>
      <c r="R7" s="255">
        <f t="shared" si="0"/>
        <v>33.12365428107362</v>
      </c>
      <c r="S7" s="18"/>
      <c r="T7" s="15"/>
      <c r="AI7" s="56" t="s">
        <v>300</v>
      </c>
    </row>
    <row r="8" spans="1:35" s="56" customFormat="1" ht="19">
      <c r="A8" s="18"/>
      <c r="B8" s="138" t="s">
        <v>289</v>
      </c>
      <c r="C8" s="253">
        <f t="array" ref="C8">SUM(IF(('Summary-Data'!$E$5:$E$214=$B8)*('Summary-Data'!$B$5:$B$214=C$4),'Summary-Data'!$D$5:$D$214))</f>
        <v>0</v>
      </c>
      <c r="D8" s="253">
        <f t="array" ref="D8">SUM(IF(('Summary-Data'!$E$5:$E$214=$B8)*('Summary-Data'!$B$5:$B$214=D$4),'Summary-Data'!$D$5:$D$214))</f>
        <v>8.9741109652613424</v>
      </c>
      <c r="E8" s="253">
        <f t="array" ref="E8">SUM(IF(('Summary-Data'!$E$5:$E$214=$B8)*('Summary-Data'!$B$5:$B$214=E$4),'Summary-Data'!$D$5:$D$214))</f>
        <v>3.2079659047469566</v>
      </c>
      <c r="F8" s="253">
        <f t="array" ref="F8">SUM(IF(('Summary-Data'!$E$5:$E$214=$B8)*('Summary-Data'!$B$5:$B$214=F$4),'Summary-Data'!$D$5:$D$214))</f>
        <v>6.584907483690797</v>
      </c>
      <c r="G8" s="253">
        <f t="array" ref="G8">SUM(IF(('Summary-Data'!$E$5:$E$214=$B8)*('Summary-Data'!$B$5:$B$214=G$4),'Summary-Data'!$D$5:$D$214))</f>
        <v>10.710833413953489</v>
      </c>
      <c r="H8" s="253">
        <f t="array" ref="H8">SUM(IF(('Summary-Data'!$E$5:$E$214=$B8)*('Summary-Data'!$B$5:$B$214=H$4),'Summary-Data'!$D$5:$D$214))</f>
        <v>13.692572062084256</v>
      </c>
      <c r="I8" s="253">
        <f t="array" ref="I8">SUM(IF(('Summary-Data'!$E$5:$E$214=$B8)*('Summary-Data'!$B$5:$B$214=I$4),'Summary-Data'!$D$5:$D$214))</f>
        <v>12.997757128941689</v>
      </c>
      <c r="J8" s="253">
        <f t="array" ref="J8">SUM(IF(('Summary-Data'!$E$5:$E$214=$B8)*('Summary-Data'!$B$5:$B$214=J$4),'Summary-Data'!$D$5:$D$214))</f>
        <v>6.1705365175661848</v>
      </c>
      <c r="K8" s="253">
        <f t="array" ref="K8">SUM(IF(('Summary-Data'!$E$5:$E$214=$B8)*('Summary-Data'!$B$5:$B$214=K$4),'Summary-Data'!$D$5:$D$214))</f>
        <v>5.4110904349149473</v>
      </c>
      <c r="L8" s="253">
        <f t="array" ref="L8">SUM(IF(('Summary-Data'!$E$5:$E$214=$B8)*('Summary-Data'!$B$5:$B$214=L$4),'Summary-Data'!$D$5:$D$214))</f>
        <v>4.3842311688311684</v>
      </c>
      <c r="M8" s="253">
        <f t="array" ref="M8">SUM(IF(('Summary-Data'!$E$5:$E$214=$B8)*('Summary-Data'!$B$5:$B$214=M$4),'Summary-Data'!$D$5:$D$214))</f>
        <v>3.8054108060262211</v>
      </c>
      <c r="N8" s="253">
        <f t="array" ref="N8">SUM(IF(('Summary-Data'!$E$5:$E$214=$B8)*('Summary-Data'!$B$5:$B$214=N$4),'Summary-Data'!$D$5:$D$214))</f>
        <v>4.3648137642408749</v>
      </c>
      <c r="O8" s="253">
        <f t="array" ref="O8">SUM(IF(('Summary-Data'!$E$5:$E$214=$B8)*('Summary-Data'!$B$5:$B$214=O$4),'Summary-Data'!$D$5:$D$214))</f>
        <v>4.996352925789278</v>
      </c>
      <c r="P8" s="253">
        <f t="array" ref="P8">SUM(IF(('Summary-Data'!$E$5:$E$214=$B8)*('Summary-Data'!$B$5:$B$214=P$4),'Summary-Data'!$D$5:$D$214))</f>
        <v>5.2</v>
      </c>
      <c r="Q8" s="253"/>
      <c r="R8" s="255">
        <f t="shared" si="0"/>
        <v>90.500582576047194</v>
      </c>
      <c r="S8" s="18"/>
      <c r="T8" s="15"/>
      <c r="AI8" s="56" t="s">
        <v>303</v>
      </c>
    </row>
    <row r="9" spans="1:35" s="56" customFormat="1" ht="19">
      <c r="A9" s="18"/>
      <c r="B9" s="107" t="s">
        <v>24</v>
      </c>
      <c r="C9" s="253">
        <f t="array" ref="C9">SUM(IF(('Summary-Data'!$E$5:$E$214=$B9)*('Summary-Data'!$B$5:$B$214=C$4),'Summary-Data'!$D$5:$D$214))</f>
        <v>1.4948571610577754</v>
      </c>
      <c r="D9" s="253">
        <f t="array" ref="D9">SUM(IF(('Summary-Data'!$E$5:$E$214=$B9)*('Summary-Data'!$B$5:$B$214=D$4),'Summary-Data'!$D$5:$D$214))</f>
        <v>1.6978047772116052</v>
      </c>
      <c r="E9" s="253">
        <f t="array" ref="E9">SUM(IF(('Summary-Data'!$E$5:$E$214=$B9)*('Summary-Data'!$B$5:$B$214=E$4),'Summary-Data'!$D$5:$D$214))</f>
        <v>1.6633897283873107</v>
      </c>
      <c r="F9" s="253">
        <f t="array" ref="F9">SUM(IF(('Summary-Data'!$E$5:$E$214=$B9)*('Summary-Data'!$B$5:$B$214=F$4),'Summary-Data'!$D$5:$D$214))</f>
        <v>2.0317626401014963</v>
      </c>
      <c r="G9" s="253">
        <f t="array" ref="G9">SUM(IF(('Summary-Data'!$E$5:$E$214=$B9)*('Summary-Data'!$B$5:$B$214=G$4),'Summary-Data'!$D$5:$D$214))</f>
        <v>2.2120199441860464</v>
      </c>
      <c r="H9" s="253">
        <f t="array" ref="H9">SUM(IF(('Summary-Data'!$E$5:$E$214=$B9)*('Summary-Data'!$B$5:$B$214=H$4),'Summary-Data'!$D$5:$D$214))</f>
        <v>2.2820953436807092</v>
      </c>
      <c r="I9" s="253">
        <f t="array" ref="I9">SUM(IF(('Summary-Data'!$E$5:$E$214=$B9)*('Summary-Data'!$B$5:$B$214=I$4),'Summary-Data'!$D$5:$D$214))</f>
        <v>2.3530422388601338</v>
      </c>
      <c r="J9" s="253">
        <f t="array" ref="J9">SUM(IF(('Summary-Data'!$E$5:$E$214=$B9)*('Summary-Data'!$B$5:$B$214=J$4),'Summary-Data'!$D$5:$D$214))</f>
        <v>2.3139511940873194</v>
      </c>
      <c r="K9" s="253">
        <f t="array" ref="K9">SUM(IF(('Summary-Data'!$E$5:$E$214=$B9)*('Summary-Data'!$B$5:$B$214=K$4),'Summary-Data'!$D$5:$D$214))</f>
        <v>1.8397707478710821</v>
      </c>
      <c r="L9" s="253">
        <f t="array" ref="L9">SUM(IF(('Summary-Data'!$E$5:$E$214=$B9)*('Summary-Data'!$B$5:$B$214=L$4),'Summary-Data'!$D$5:$D$214))</f>
        <v>1.8178519480519479</v>
      </c>
      <c r="M9" s="253">
        <f t="array" ref="M9">SUM(IF(('Summary-Data'!$E$5:$E$214=$B9)*('Summary-Data'!$B$5:$B$214=M$4),'Summary-Data'!$D$5:$D$214))</f>
        <v>1.4798819801213081</v>
      </c>
      <c r="N9" s="253">
        <f t="array" ref="N9">SUM(IF(('Summary-Data'!$E$5:$E$214=$B9)*('Summary-Data'!$B$5:$B$214=N$4),'Summary-Data'!$D$5:$D$214))</f>
        <v>1.4549379214136249</v>
      </c>
      <c r="O9" s="253">
        <f t="array" ref="O9">SUM(IF(('Summary-Data'!$E$5:$E$214=$B9)*('Summary-Data'!$B$5:$B$214=O$4),'Summary-Data'!$D$5:$D$214))</f>
        <v>1.3255630211277676</v>
      </c>
      <c r="P9" s="253">
        <f t="array" ref="P9">SUM(IF(('Summary-Data'!$E$5:$E$214=$B9)*('Summary-Data'!$B$5:$B$214=P$4),'Summary-Data'!$D$5:$D$214))</f>
        <v>1.1000000000000001</v>
      </c>
      <c r="Q9" s="253"/>
      <c r="R9" s="255">
        <f t="shared" si="0"/>
        <v>25.066928646158129</v>
      </c>
      <c r="S9" s="18"/>
      <c r="T9" s="15"/>
      <c r="AI9" s="56" t="s">
        <v>301</v>
      </c>
    </row>
    <row r="10" spans="1:35" s="56" customFormat="1" ht="19">
      <c r="A10" s="18"/>
      <c r="B10" s="138" t="s">
        <v>49</v>
      </c>
      <c r="C10" s="253">
        <f t="array" ref="C10">SUM(IF(('Summary-Data'!$E$5:$E$214=$B10)*('Summary-Data'!$B$5:$B$214=C$4),'Summary-Data'!$D$5:$D$214))</f>
        <v>6.1228103602625596</v>
      </c>
      <c r="D10" s="253">
        <f t="array" ref="D10">SUM(IF(('Summary-Data'!$E$5:$E$214=$B10)*('Summary-Data'!$B$5:$B$214=D$4),'Summary-Data'!$D$5:$D$214))</f>
        <v>6.6699473390455921</v>
      </c>
      <c r="E10" s="253">
        <f t="array" ref="E10">SUM(IF(('Summary-Data'!$E$5:$E$214=$B10)*('Summary-Data'!$B$5:$B$214=E$4),'Summary-Data'!$D$5:$D$214))</f>
        <v>3.5644065608299518</v>
      </c>
      <c r="F10" s="253">
        <f t="array" ref="F10">SUM(IF(('Summary-Data'!$E$5:$E$214=$B10)*('Summary-Data'!$B$5:$B$214=F$4),'Summary-Data'!$D$5:$D$214))</f>
        <v>1.6442009804289568</v>
      </c>
      <c r="G10" s="253">
        <f t="array" ref="G10">SUM(IF(('Summary-Data'!$E$5:$E$214=$B10)*('Summary-Data'!$B$5:$B$214=G$4),'Summary-Data'!$D$5:$D$214))</f>
        <v>1.1642210232558141</v>
      </c>
      <c r="H10" s="253">
        <f t="array" ref="H10">SUM(IF(('Summary-Data'!$E$5:$E$214=$B10)*('Summary-Data'!$B$5:$B$214=H$4),'Summary-Data'!$D$5:$D$214))</f>
        <v>2.2820953436807092</v>
      </c>
      <c r="I10" s="253">
        <f t="array" ref="I10">SUM(IF(('Summary-Data'!$E$5:$E$214=$B10)*('Summary-Data'!$B$5:$B$214=I$4),'Summary-Data'!$D$5:$D$214))</f>
        <v>0</v>
      </c>
      <c r="J10" s="253">
        <f t="array" ref="J10">SUM(IF(('Summary-Data'!$E$5:$E$214=$B10)*('Summary-Data'!$B$5:$B$214=J$4),'Summary-Data'!$D$5:$D$214))</f>
        <v>0</v>
      </c>
      <c r="K10" s="253">
        <f t="array" ref="K10">SUM(IF(('Summary-Data'!$E$5:$E$214=$B10)*('Summary-Data'!$B$5:$B$214=K$4),'Summary-Data'!$D$5:$D$214))</f>
        <v>0</v>
      </c>
      <c r="L10" s="253">
        <f t="array" ref="L10">SUM(IF(('Summary-Data'!$E$5:$E$214=$B10)*('Summary-Data'!$B$5:$B$214=L$4),'Summary-Data'!$D$5:$D$214))</f>
        <v>2.2455818181818183</v>
      </c>
      <c r="M10" s="253">
        <f t="array" ref="M10">SUM(IF(('Summary-Data'!$E$5:$E$214=$B10)*('Summary-Data'!$B$5:$B$214=M$4),'Summary-Data'!$D$5:$D$214))</f>
        <v>0.73994099006065406</v>
      </c>
      <c r="N10" s="253">
        <f t="array" ref="N10">SUM(IF(('Summary-Data'!$E$5:$E$214=$B10)*('Summary-Data'!$B$5:$B$214=N$4),'Summary-Data'!$D$5:$D$214))</f>
        <v>1.8706344703889464</v>
      </c>
      <c r="O10" s="253">
        <f t="array" ref="O10">SUM(IF(('Summary-Data'!$E$5:$E$214=$B10)*('Summary-Data'!$B$5:$B$214=O$4),'Summary-Data'!$D$5:$D$214))</f>
        <v>1.8353949523307551</v>
      </c>
      <c r="P10" s="253">
        <f t="array" ref="P10">SUM(IF(('Summary-Data'!$E$5:$E$214=$B10)*('Summary-Data'!$B$5:$B$214=P$4),'Summary-Data'!$D$5:$D$214))</f>
        <v>1.4</v>
      </c>
      <c r="Q10" s="253"/>
      <c r="R10" s="255">
        <f t="shared" si="0"/>
        <v>29.539233838465751</v>
      </c>
      <c r="S10" s="18"/>
      <c r="T10" s="15"/>
      <c r="AI10" s="56" t="s">
        <v>304</v>
      </c>
    </row>
    <row r="11" spans="1:35" s="56" customFormat="1" ht="19">
      <c r="A11" s="18"/>
      <c r="B11" s="106" t="s">
        <v>26</v>
      </c>
      <c r="C11" s="253">
        <f t="array" ref="C11">SUM(IF(('Summary-Data'!$E$5:$E$214=$B11)*('Summary-Data'!$B$5:$B$214=C$4),'Summary-Data'!$D$5:$D$214))</f>
        <v>23.91746543406423</v>
      </c>
      <c r="D11" s="253">
        <f t="array" ref="D11">SUM(IF(('Summary-Data'!$E$5:$E$214=$B11)*('Summary-Data'!$B$5:$B$214=D$4),'Summary-Data'!$D$5:$D$214))</f>
        <v>44.021652437700901</v>
      </c>
      <c r="E11" s="253">
        <f t="array" ref="E11">SUM(IF(('Summary-Data'!$E$5:$E$214=$B11)*('Summary-Data'!$B$5:$B$214=E$4),'Summary-Data'!$D$5:$D$214))</f>
        <v>60.00084377397085</v>
      </c>
      <c r="F11" s="253">
        <f t="array" ref="F11">SUM(IF(('Summary-Data'!$E$5:$E$214=$B11)*('Summary-Data'!$B$5:$B$214=F$4),'Summary-Data'!$D$5:$D$214))</f>
        <v>27.21880768758399</v>
      </c>
      <c r="G11" s="253">
        <f t="array" ref="G11">SUM(IF(('Summary-Data'!$E$5:$E$214=$B11)*('Summary-Data'!$B$5:$B$214=G$4),'Summary-Data'!$D$5:$D$214))</f>
        <v>21.770933134883723</v>
      </c>
      <c r="H11" s="253">
        <f t="array" ref="H11">SUM(IF(('Summary-Data'!$E$5:$E$214=$B11)*('Summary-Data'!$B$5:$B$214=H$4),'Summary-Data'!$D$5:$D$214))</f>
        <v>24.418420177383588</v>
      </c>
      <c r="I11" s="253">
        <f t="array" ref="I11">SUM(IF(('Summary-Data'!$E$5:$E$214=$B11)*('Summary-Data'!$B$5:$B$214=I$4),'Summary-Data'!$D$5:$D$214))</f>
        <v>14.566451954848446</v>
      </c>
      <c r="J11" s="253">
        <f t="array" ref="J11">SUM(IF(('Summary-Data'!$E$5:$E$214=$B11)*('Summary-Data'!$B$5:$B$214=J$4),'Summary-Data'!$D$5:$D$214))</f>
        <v>12.230884883032974</v>
      </c>
      <c r="K11" s="253">
        <f t="array" ref="K11">SUM(IF(('Summary-Data'!$E$5:$E$214=$B11)*('Summary-Data'!$B$5:$B$214=K$4),'Summary-Data'!$D$5:$D$214))</f>
        <v>9.523519165450308</v>
      </c>
      <c r="L11" s="253">
        <f t="array" ref="L11">SUM(IF(('Summary-Data'!$E$5:$E$214=$B11)*('Summary-Data'!$B$5:$B$214=L$4),'Summary-Data'!$D$5:$D$214))</f>
        <v>8.8753948051948051</v>
      </c>
      <c r="M11" s="253">
        <f t="array" ref="M11">SUM(IF(('Summary-Data'!$E$5:$E$214=$B11)*('Summary-Data'!$B$5:$B$214=M$4),'Summary-Data'!$D$5:$D$214))</f>
        <v>12.261879263862268</v>
      </c>
      <c r="N11" s="253">
        <f t="array" ref="N11">SUM(IF(('Summary-Data'!$E$5:$E$214=$B11)*('Summary-Data'!$B$5:$B$214=N$4),'Summary-Data'!$D$5:$D$214))</f>
        <v>10.496337861626865</v>
      </c>
      <c r="O11" s="253">
        <f t="array" ref="O11">SUM(IF(('Summary-Data'!$E$5:$E$214=$B11)*('Summary-Data'!$B$5:$B$214=O$4),'Summary-Data'!$D$5:$D$214))</f>
        <v>9.278941147894372</v>
      </c>
      <c r="P11" s="253">
        <f t="array" ref="P11">SUM(IF(('Summary-Data'!$E$5:$E$214=$B11)*('Summary-Data'!$B$5:$B$214=P$4),'Summary-Data'!$D$5:$D$214))</f>
        <v>8.6999999999999993</v>
      </c>
      <c r="Q11" s="253"/>
      <c r="R11" s="255">
        <f t="shared" si="0"/>
        <v>287.28153172749734</v>
      </c>
      <c r="S11" s="18"/>
      <c r="T11" s="15"/>
    </row>
    <row r="12" spans="1:35" s="56" customFormat="1" ht="19">
      <c r="A12" s="18"/>
      <c r="B12" s="106" t="s">
        <v>33</v>
      </c>
      <c r="C12" s="253">
        <f t="array" ref="C12">SUM(IF(('Summary-Data'!$E$5:$E$214=$B12)*('Summary-Data'!$B$5:$B$214=C$4),'Summary-Data'!$D$5:$D$214))</f>
        <v>9.0189715383819102</v>
      </c>
      <c r="D12" s="253">
        <f t="array" ref="D12">SUM(IF(('Summary-Data'!$E$5:$E$214=$B12)*('Summary-Data'!$B$5:$B$214=D$4),'Summary-Data'!$D$5:$D$214))</f>
        <v>11.278274591477093</v>
      </c>
      <c r="E12" s="253">
        <f t="array" ref="E12">SUM(IF(('Summary-Data'!$E$5:$E$214=$B12)*('Summary-Data'!$B$5:$B$214=E$4),'Summary-Data'!$D$5:$D$214))</f>
        <v>13.663558483181481</v>
      </c>
      <c r="F12" s="253">
        <f t="array" ref="F12">SUM(IF(('Summary-Data'!$E$5:$E$214=$B12)*('Summary-Data'!$B$5:$B$214=F$4),'Summary-Data'!$D$5:$D$214))</f>
        <v>13.156074144902295</v>
      </c>
      <c r="G12" s="253">
        <f t="array" ref="G12">SUM(IF(('Summary-Data'!$E$5:$E$214=$B12)*('Summary-Data'!$B$5:$B$214=G$4),'Summary-Data'!$D$5:$D$214))</f>
        <v>13.039275460465117</v>
      </c>
      <c r="H12" s="253">
        <f t="array" ref="H12">SUM(IF(('Summary-Data'!$E$5:$E$214=$B12)*('Summary-Data'!$B$5:$B$214=H$4),'Summary-Data'!$D$5:$D$214))</f>
        <v>14.377200665188468</v>
      </c>
      <c r="I12" s="253">
        <f t="array" ref="I12">SUM(IF(('Summary-Data'!$E$5:$E$214=$B12)*('Summary-Data'!$B$5:$B$214=I$4),'Summary-Data'!$D$5:$D$214))</f>
        <v>12.549558607254045</v>
      </c>
      <c r="J12" s="253">
        <f t="array" ref="J12">SUM(IF(('Summary-Data'!$E$5:$E$214=$B12)*('Summary-Data'!$B$5:$B$214=J$4),'Summary-Data'!$D$5:$D$214))</f>
        <v>10.247498145243844</v>
      </c>
      <c r="K12" s="253">
        <f t="array" ref="K12">SUM(IF(('Summary-Data'!$E$5:$E$214=$B12)*('Summary-Data'!$B$5:$B$214=K$4),'Summary-Data'!$D$5:$D$214))</f>
        <v>19.263481948297212</v>
      </c>
      <c r="L12" s="253">
        <f t="array" ref="L12">SUM(IF(('Summary-Data'!$E$5:$E$214=$B12)*('Summary-Data'!$B$5:$B$214=L$4),'Summary-Data'!$D$5:$D$214))</f>
        <v>8.8753948051948051</v>
      </c>
      <c r="M12" s="253">
        <f t="array" ref="M12">SUM(IF(('Summary-Data'!$E$5:$E$214=$B12)*('Summary-Data'!$B$5:$B$214=M$4),'Summary-Data'!$D$5:$D$214))</f>
        <v>8.5621743135589963</v>
      </c>
      <c r="N12" s="253">
        <f t="array" ref="N12">SUM(IF(('Summary-Data'!$E$5:$E$214=$B12)*('Summary-Data'!$B$5:$B$214=N$4),'Summary-Data'!$D$5:$D$214))</f>
        <v>9.8727930381638842</v>
      </c>
      <c r="O12" s="253">
        <f t="array" ref="O12">SUM(IF(('Summary-Data'!$E$5:$E$214=$B12)*('Summary-Data'!$B$5:$B$214=O$4),'Summary-Data'!$D$5:$D$214))</f>
        <v>10.604504169022141</v>
      </c>
      <c r="P12" s="253">
        <f t="array" ref="P12">SUM(IF(('Summary-Data'!$E$5:$E$214=$B12)*('Summary-Data'!$B$5:$B$214=P$4),'Summary-Data'!$D$5:$D$214))</f>
        <v>9.9</v>
      </c>
      <c r="Q12" s="254"/>
      <c r="R12" s="255">
        <f t="shared" si="0"/>
        <v>164.40875991033127</v>
      </c>
      <c r="S12" s="18"/>
      <c r="T12" s="15"/>
      <c r="AI12" s="56" t="s">
        <v>302</v>
      </c>
    </row>
    <row r="13" spans="1:35" s="56" customFormat="1" ht="19">
      <c r="A13" s="18"/>
      <c r="B13" s="106" t="s">
        <v>332</v>
      </c>
      <c r="C13" s="253">
        <f t="array" ref="C13">SUM(IF(('Summary-Data'!$E$5:$E$214=$B13)*('Summary-Data'!$B$5:$B$214=C$4),'Summary-Data'!$D$5:$D$214))</f>
        <v>0</v>
      </c>
      <c r="D13" s="253">
        <f t="array" ref="D13">SUM(IF(('Summary-Data'!$E$5:$E$214=$B13)*('Summary-Data'!$B$5:$B$214=D$4),'Summary-Data'!$D$5:$D$214))</f>
        <v>0</v>
      </c>
      <c r="E13" s="253">
        <f t="array" ref="E13">SUM(IF(('Summary-Data'!$E$5:$E$214=$B13)*('Summary-Data'!$B$5:$B$214=E$4),'Summary-Data'!$D$5:$D$214))</f>
        <v>0</v>
      </c>
      <c r="F13" s="253">
        <f t="array" ref="F13">SUM(IF(('Summary-Data'!$E$5:$E$214=$B13)*('Summary-Data'!$B$5:$B$214=F$4),'Summary-Data'!$D$5:$D$214))</f>
        <v>0</v>
      </c>
      <c r="G13" s="253">
        <f t="array" ref="G13">SUM(IF(('Summary-Data'!$E$5:$E$214=$B13)*('Summary-Data'!$B$5:$B$214=G$4),'Summary-Data'!$D$5:$D$214))</f>
        <v>0</v>
      </c>
      <c r="H13" s="253">
        <f t="array" ref="H13">SUM(IF(('Summary-Data'!$E$5:$E$214=$B13)*('Summary-Data'!$B$5:$B$214=H$4),'Summary-Data'!$D$5:$D$214))</f>
        <v>0</v>
      </c>
      <c r="I13" s="253">
        <f t="array" ref="I13">SUM(IF(('Summary-Data'!$E$5:$E$214=$B13)*('Summary-Data'!$B$5:$B$214=I$4),'Summary-Data'!$D$5:$D$214))</f>
        <v>0</v>
      </c>
      <c r="J13" s="253">
        <f t="array" ref="J13">SUM(IF(('Summary-Data'!$E$5:$E$214=$B13)*('Summary-Data'!$B$5:$B$214=J$4),'Summary-Data'!$D$5:$D$214))</f>
        <v>0</v>
      </c>
      <c r="K13" s="253">
        <f t="array" ref="K13">SUM(IF(('Summary-Data'!$E$5:$E$214=$B13)*('Summary-Data'!$B$5:$B$214=K$4),'Summary-Data'!$D$5:$D$214))</f>
        <v>0</v>
      </c>
      <c r="L13" s="253">
        <f t="array" ref="L13">SUM(IF(('Summary-Data'!$E$5:$E$214=$B13)*('Summary-Data'!$B$5:$B$214=L$4),'Summary-Data'!$D$5:$D$214))</f>
        <v>1.9247844155844158</v>
      </c>
      <c r="M13" s="253">
        <f t="array" ref="M13">SUM(IF(('Summary-Data'!$E$5:$E$214=$B13)*('Summary-Data'!$B$5:$B$214=M$4),'Summary-Data'!$D$5:$D$214))</f>
        <v>2.0084112587360612</v>
      </c>
      <c r="N13" s="253">
        <f t="array" ref="N13">SUM(IF(('Summary-Data'!$E$5:$E$214=$B13)*('Summary-Data'!$B$5:$B$214=N$4),'Summary-Data'!$D$5:$D$214))</f>
        <v>4.5726620387285353</v>
      </c>
      <c r="O13" s="253">
        <f t="array" ref="O13">SUM(IF(('Summary-Data'!$E$5:$E$214=$B13)*('Summary-Data'!$B$5:$B$214=O$4),'Summary-Data'!$D$5:$D$214))</f>
        <v>5.8120840157140581</v>
      </c>
      <c r="P13" s="253">
        <f t="array" ref="P13">SUM(IF(('Summary-Data'!$E$5:$E$214=$B13)*('Summary-Data'!$B$5:$B$214=P$4),'Summary-Data'!$D$5:$D$214))</f>
        <v>7.4</v>
      </c>
      <c r="Q13" s="253"/>
      <c r="R13" s="255">
        <f t="shared" si="0"/>
        <v>21.717941728763073</v>
      </c>
      <c r="S13" s="18"/>
      <c r="T13" s="15"/>
      <c r="AI13" s="56" t="s">
        <v>305</v>
      </c>
    </row>
    <row r="14" spans="1:35" s="56" customFormat="1" ht="19">
      <c r="A14" s="18"/>
      <c r="B14" s="106" t="s">
        <v>331</v>
      </c>
      <c r="C14" s="253">
        <f t="array" ref="C14">SUM(IF(('Summary-Data'!$E$5:$E$214=$B14)*('Summary-Data'!$B$5:$B$214=C$4),'Summary-Data'!$D$5:$D$214))</f>
        <v>6.4961509362367398</v>
      </c>
      <c r="D14" s="253">
        <f t="array" ref="D14">SUM(IF(('Summary-Data'!$E$5:$E$214=$B14)*('Summary-Data'!$B$5:$B$214=D$4),'Summary-Data'!$D$5:$D$214))</f>
        <v>8.3677521162571971</v>
      </c>
      <c r="E14" s="253">
        <f t="array" ref="E14">SUM(IF(('Summary-Data'!$E$5:$E$214=$B14)*('Summary-Data'!$B$5:$B$214=E$4),'Summary-Data'!$D$5:$D$214))</f>
        <v>4.3961014250236072</v>
      </c>
      <c r="F14" s="253">
        <f t="array" ref="F14">SUM(IF(('Summary-Data'!$E$5:$E$214=$B14)*('Summary-Data'!$B$5:$B$214=F$4),'Summary-Data'!$D$5:$D$214))</f>
        <v>7.332666601004453</v>
      </c>
      <c r="G14" s="253">
        <f t="array" ref="G14">SUM(IF(('Summary-Data'!$E$5:$E$214=$B14)*('Summary-Data'!$B$5:$B$214=G$4),'Summary-Data'!$D$5:$D$214))</f>
        <v>2.2120199441860464</v>
      </c>
      <c r="H14" s="253">
        <f t="array" ref="H14">SUM(IF(('Summary-Data'!$E$5:$E$214=$B14)*('Summary-Data'!$B$5:$B$214=H$4),'Summary-Data'!$D$5:$D$214))</f>
        <v>1.3692572062084256</v>
      </c>
      <c r="I14" s="253">
        <f t="array" ref="I14">SUM(IF(('Summary-Data'!$E$5:$E$214=$B14)*('Summary-Data'!$B$5:$B$214=I$4),'Summary-Data'!$D$5:$D$214))</f>
        <v>0.33614889126573333</v>
      </c>
      <c r="J14" s="253">
        <f t="array" ref="J14">SUM(IF(('Summary-Data'!$E$5:$E$214=$B14)*('Summary-Data'!$B$5:$B$214=J$4),'Summary-Data'!$D$5:$D$214))</f>
        <v>0.22037630419879234</v>
      </c>
      <c r="K14" s="253">
        <f t="array" ref="K14">SUM(IF(('Summary-Data'!$E$5:$E$214=$B14)*('Summary-Data'!$B$5:$B$214=K$4),'Summary-Data'!$D$5:$D$214))</f>
        <v>0</v>
      </c>
      <c r="L14" s="253">
        <f t="array" ref="L14">SUM(IF(('Summary-Data'!$E$5:$E$214=$B14)*('Summary-Data'!$B$5:$B$214=L$4),'Summary-Data'!$D$5:$D$214))</f>
        <v>0</v>
      </c>
      <c r="M14" s="253">
        <f t="array" ref="M14">SUM(IF(('Summary-Data'!$E$5:$E$214=$B14)*('Summary-Data'!$B$5:$B$214=M$4),'Summary-Data'!$D$5:$D$214))</f>
        <v>0</v>
      </c>
      <c r="N14" s="253">
        <f t="array" ref="N14">SUM(IF(('Summary-Data'!$E$5:$E$214=$B14)*('Summary-Data'!$B$5:$B$214=N$4),'Summary-Data'!$D$5:$D$214))</f>
        <v>0</v>
      </c>
      <c r="O14" s="253">
        <f t="array" ref="O14">SUM(IF(('Summary-Data'!$E$5:$E$214=$B14)*('Summary-Data'!$B$5:$B$214=O$4),'Summary-Data'!$D$5:$D$214))</f>
        <v>0</v>
      </c>
      <c r="P14" s="253">
        <f t="array" ref="P14">SUM(IF(('Summary-Data'!$E$5:$E$214=$B14)*('Summary-Data'!$B$5:$B$214=P$4),'Summary-Data'!$D$5:$D$214))</f>
        <v>0</v>
      </c>
      <c r="Q14" s="253"/>
      <c r="R14" s="255">
        <f t="shared" si="0"/>
        <v>30.730473424380992</v>
      </c>
      <c r="S14" s="18"/>
      <c r="T14" s="15"/>
    </row>
    <row r="15" spans="1:35" s="56" customFormat="1" ht="19">
      <c r="A15" s="18"/>
      <c r="B15" s="107" t="s">
        <v>22</v>
      </c>
      <c r="C15" s="253">
        <f t="array" ref="C15">SUM(IF(('Summary-Data'!$E$5:$E$214=$B15)*('Summary-Data'!$B$5:$B$214=C$4),'Summary-Data'!$D$5:$D$214))</f>
        <v>0</v>
      </c>
      <c r="D15" s="253">
        <f t="array" ref="D15">SUM(IF(('Summary-Data'!$E$5:$E$214=$B15)*('Summary-Data'!$B$5:$B$214=D$4),'Summary-Data'!$D$5:$D$214))</f>
        <v>0</v>
      </c>
      <c r="E15" s="253">
        <f t="array" ref="E15">SUM(IF(('Summary-Data'!$E$5:$E$214=$B15)*('Summary-Data'!$B$5:$B$214=E$4),'Summary-Data'!$D$5:$D$214))</f>
        <v>0</v>
      </c>
      <c r="F15" s="253">
        <f t="array" ref="F15">SUM(IF(('Summary-Data'!$E$5:$E$214=$B15)*('Summary-Data'!$B$5:$B$214=F$4),'Summary-Data'!$D$5:$D$214))</f>
        <v>0</v>
      </c>
      <c r="G15" s="253">
        <f t="array" ref="G15">SUM(IF(('Summary-Data'!$E$5:$E$214=$B15)*('Summary-Data'!$B$5:$B$214=G$4),'Summary-Data'!$D$5:$D$214))</f>
        <v>1.6299094325581398</v>
      </c>
      <c r="H15" s="253">
        <f t="array" ref="H15">SUM(IF(('Summary-Data'!$E$5:$E$214=$B15)*('Summary-Data'!$B$5:$B$214=H$4),'Summary-Data'!$D$5:$D$214))</f>
        <v>2.966723946784922</v>
      </c>
      <c r="I15" s="253">
        <f t="array" ref="I15">SUM(IF(('Summary-Data'!$E$5:$E$214=$B15)*('Summary-Data'!$B$5:$B$214=I$4),'Summary-Data'!$D$5:$D$214))</f>
        <v>2.4650918692820447</v>
      </c>
      <c r="J15" s="253">
        <f t="array" ref="J15">SUM(IF(('Summary-Data'!$E$5:$E$214=$B15)*('Summary-Data'!$B$5:$B$214=J$4),'Summary-Data'!$D$5:$D$214))</f>
        <v>6.3909128217649771</v>
      </c>
      <c r="K15" s="253">
        <f t="array" ref="K15">SUM(IF(('Summary-Data'!$E$5:$E$214=$B15)*('Summary-Data'!$B$5:$B$214=K$4),'Summary-Data'!$D$5:$D$214))</f>
        <v>5.0864250088200507</v>
      </c>
      <c r="L15" s="253">
        <f t="array" ref="L15">SUM(IF(('Summary-Data'!$E$5:$E$214=$B15)*('Summary-Data'!$B$5:$B$214=L$4),'Summary-Data'!$D$5:$D$214))</f>
        <v>2.4594467532467532</v>
      </c>
      <c r="M15" s="253">
        <f t="array" ref="M15">SUM(IF(('Summary-Data'!$E$5:$E$214=$B15)*('Summary-Data'!$B$5:$B$214=M$4),'Summary-Data'!$D$5:$D$214))</f>
        <v>0</v>
      </c>
      <c r="N15" s="253">
        <f t="array" ref="N15">SUM(IF(('Summary-Data'!$E$5:$E$214=$B15)*('Summary-Data'!$B$5:$B$214=N$4),'Summary-Data'!$D$5:$D$214))</f>
        <v>0</v>
      </c>
      <c r="O15" s="253">
        <f t="array" ref="O15">SUM(IF(('Summary-Data'!$E$5:$E$214=$B15)*('Summary-Data'!$B$5:$B$214=O$4),'Summary-Data'!$D$5:$D$214))</f>
        <v>0</v>
      </c>
      <c r="P15" s="253">
        <f t="array" ref="P15">SUM(IF(('Summary-Data'!$E$5:$E$214=$B15)*('Summary-Data'!$B$5:$B$214=P$4),'Summary-Data'!$D$5:$D$214))</f>
        <v>0</v>
      </c>
      <c r="Q15" s="253"/>
      <c r="R15" s="255">
        <f t="shared" si="0"/>
        <v>20.998509832456886</v>
      </c>
      <c r="S15" s="18"/>
      <c r="T15" s="15"/>
    </row>
    <row r="16" spans="1:35" s="56" customFormat="1" ht="19">
      <c r="B16" s="106" t="s">
        <v>398</v>
      </c>
      <c r="C16" s="253">
        <f t="array" ref="C16">SUM(IF(('Summary-Data'!$E$5:$E$214=$B16)*('Summary-Data'!$B$5:$B$214=C$4),'Summary-Data'!$D$5:$D$214))</f>
        <v>0</v>
      </c>
      <c r="D16" s="253">
        <f t="array" ref="D16">SUM(IF(('Summary-Data'!$E$5:$E$214=$B16)*('Summary-Data'!$B$5:$B$214=D$4),'Summary-Data'!$D$5:$D$214))</f>
        <v>0</v>
      </c>
      <c r="E16" s="253">
        <f t="array" ref="E16">SUM(IF(('Summary-Data'!$E$5:$E$214=$B16)*('Summary-Data'!$B$5:$B$214=E$4),'Summary-Data'!$D$5:$D$214))</f>
        <v>0</v>
      </c>
      <c r="F16" s="253">
        <f t="array" ref="F16">SUM(IF(('Summary-Data'!$E$5:$E$214=$B16)*('Summary-Data'!$B$5:$B$214=F$4),'Summary-Data'!$D$5:$D$214))</f>
        <v>0</v>
      </c>
      <c r="G16" s="253">
        <f t="array" ref="G16">SUM(IF(('Summary-Data'!$E$5:$E$214=$B16)*('Summary-Data'!$B$5:$B$214=G$4),'Summary-Data'!$D$5:$D$214))</f>
        <v>0</v>
      </c>
      <c r="H16" s="253">
        <f t="array" ref="H16">SUM(IF(('Summary-Data'!$E$5:$E$214=$B16)*('Summary-Data'!$B$5:$B$214=H$4),'Summary-Data'!$D$5:$D$214))</f>
        <v>0</v>
      </c>
      <c r="I16" s="253">
        <f t="array" ref="I16">SUM(IF(('Summary-Data'!$E$5:$E$214=$B16)*('Summary-Data'!$B$5:$B$214=I$4),'Summary-Data'!$D$5:$D$214))</f>
        <v>0</v>
      </c>
      <c r="J16" s="253">
        <f t="array" ref="J16">SUM(IF(('Summary-Data'!$E$5:$E$214=$B16)*('Summary-Data'!$B$5:$B$214=J$4),'Summary-Data'!$D$5:$D$214))</f>
        <v>0</v>
      </c>
      <c r="K16" s="253">
        <f t="array" ref="K16">SUM(IF(('Summary-Data'!$E$5:$E$214=$B16)*('Summary-Data'!$B$5:$B$214=K$4),'Summary-Data'!$D$5:$D$214))</f>
        <v>0</v>
      </c>
      <c r="L16" s="253">
        <f t="array" ref="L16">SUM(IF(('Summary-Data'!$E$5:$E$214=$B16)*('Summary-Data'!$B$5:$B$214=L$4),'Summary-Data'!$D$5:$D$214))</f>
        <v>2.4594467532467532</v>
      </c>
      <c r="M16" s="253">
        <f t="array" ref="M16">SUM(IF(('Summary-Data'!$E$5:$E$214=$B16)*('Summary-Data'!$B$5:$B$214=M$4),'Summary-Data'!$D$5:$D$214))</f>
        <v>8.1393508906671954</v>
      </c>
      <c r="N16" s="253">
        <f t="array" ref="N16">SUM(IF(('Summary-Data'!$E$5:$E$214=$B16)*('Summary-Data'!$B$5:$B$214=N$4),'Summary-Data'!$D$5:$D$214))</f>
        <v>19.225965390108616</v>
      </c>
      <c r="O16" s="253">
        <f t="array" ref="O16">SUM(IF(('Summary-Data'!$E$5:$E$214=$B16)*('Summary-Data'!$B$5:$B$214=O$4),'Summary-Data'!$D$5:$D$214))</f>
        <v>17.742151205863966</v>
      </c>
      <c r="P16" s="253">
        <f t="array" ref="P16">SUM(IF(('Summary-Data'!$E$5:$E$214=$B16)*('Summary-Data'!$B$5:$B$214=P$4),'Summary-Data'!$D$5:$D$214))</f>
        <v>0</v>
      </c>
      <c r="Q16" s="253"/>
      <c r="R16" s="255">
        <f t="shared" si="0"/>
        <v>47.566914239886529</v>
      </c>
      <c r="S16" s="18"/>
      <c r="T16" s="15"/>
    </row>
    <row r="17" spans="1:35" s="56" customFormat="1" ht="19">
      <c r="A17" s="18"/>
      <c r="B17" s="138" t="s">
        <v>330</v>
      </c>
      <c r="C17" s="253">
        <f t="array" ref="C17">SUM(IF(('Summary-Data'!$E$5:$E$214=$B17)*('Summary-Data'!$B$5:$B$214=C$4),'Summary-Data'!$D$5:$D$214))</f>
        <v>11.696011570976211</v>
      </c>
      <c r="D17" s="253">
        <f t="array" ref="D17">SUM(IF(('Summary-Data'!$E$5:$E$214=$B17)*('Summary-Data'!$B$5:$B$214=D$4),'Summary-Data'!$D$5:$D$214))</f>
        <v>9.9551995829500459</v>
      </c>
      <c r="E17" s="253">
        <f t="array" ref="E17">SUM(IF(('Summary-Data'!$E$5:$E$214=$B17)*('Summary-Data'!$B$5:$B$214=E$4),'Summary-Data'!$D$5:$D$214))</f>
        <v>8.0888266220434382</v>
      </c>
      <c r="F17" s="253">
        <f t="array" ref="F17">SUM(IF(('Summary-Data'!$E$5:$E$214=$B17)*('Summary-Data'!$B$5:$B$214=F$4),'Summary-Data'!$D$5:$D$214))</f>
        <v>5.7570522900448182</v>
      </c>
      <c r="G17" s="253">
        <f t="array" ref="G17">SUM(IF(('Summary-Data'!$E$5:$E$214=$B17)*('Summary-Data'!$B$5:$B$214=G$4),'Summary-Data'!$D$5:$D$214))</f>
        <v>2.7300982995348839</v>
      </c>
      <c r="H17" s="253">
        <f t="array" ref="H17">SUM(IF(('Summary-Data'!$E$5:$E$214=$B17)*('Summary-Data'!$B$5:$B$214=H$4),'Summary-Data'!$D$5:$D$214))</f>
        <v>-0.6983211751662971</v>
      </c>
      <c r="I17" s="253">
        <f t="array" ref="I17">SUM(IF(('Summary-Data'!$E$5:$E$214=$B17)*('Summary-Data'!$B$5:$B$214=I$4),'Summary-Data'!$D$5:$D$214))</f>
        <v>5.8075323447676528</v>
      </c>
      <c r="J17" s="253">
        <f t="array" ref="J17">SUM(IF(('Summary-Data'!$E$5:$E$214=$B17)*('Summary-Data'!$B$5:$B$214=J$4),'Summary-Data'!$D$5:$D$214))</f>
        <v>-7.7285969882516472</v>
      </c>
      <c r="K17" s="253">
        <f t="array" ref="K17">SUM(IF(('Summary-Data'!$E$5:$E$214=$B17)*('Summary-Data'!$B$5:$B$214=K$4),'Summary-Data'!$D$5:$D$214))</f>
        <v>-4.9782032001217558E-2</v>
      </c>
      <c r="L17" s="253">
        <f t="array" ref="L17">SUM(IF(('Summary-Data'!$E$5:$E$214=$B17)*('Summary-Data'!$B$5:$B$214=L$4),'Summary-Data'!$D$5:$D$214))</f>
        <v>-1.9301310389610389</v>
      </c>
      <c r="M17" s="253">
        <f t="array" ref="M17">SUM(IF(('Summary-Data'!$E$5:$E$214=$B17)*('Summary-Data'!$B$5:$B$214=M$4),'Summary-Data'!$D$5:$D$214))</f>
        <v>-0.48413281921111373</v>
      </c>
      <c r="N17" s="253">
        <f t="array" ref="N17">SUM(IF(('Summary-Data'!$E$5:$E$214=$B17)*('Summary-Data'!$B$5:$B$214=N$4),'Summary-Data'!$D$5:$D$214))</f>
        <v>-0.53001309994353485</v>
      </c>
      <c r="O17" s="253">
        <f t="array" ref="O17">SUM(IF(('Summary-Data'!$E$5:$E$214=$B17)*('Summary-Data'!$B$5:$B$214=O$4),'Summary-Data'!$D$5:$D$214))</f>
        <v>4.7781448592343994</v>
      </c>
      <c r="P17" s="253">
        <f t="array" ref="P17">SUM(IF(('Summary-Data'!$E$5:$E$214=$B17)*('Summary-Data'!$B$5:$B$214=P$4),'Summary-Data'!$D$5:$D$214))</f>
        <v>0</v>
      </c>
      <c r="Q17" s="253"/>
      <c r="R17" s="255">
        <f t="shared" si="0"/>
        <v>37.391888416016599</v>
      </c>
      <c r="S17" s="18"/>
      <c r="T17" s="15"/>
      <c r="AI17"/>
    </row>
    <row r="18" spans="1:35" ht="19">
      <c r="A18" s="18"/>
      <c r="B18" s="16"/>
      <c r="C18" s="253"/>
      <c r="D18" s="253"/>
      <c r="E18" s="253"/>
      <c r="F18" s="253"/>
      <c r="G18" s="253"/>
      <c r="H18" s="253"/>
      <c r="I18" s="253"/>
      <c r="J18" s="253"/>
      <c r="K18" s="253"/>
      <c r="L18" s="253"/>
      <c r="M18" s="253"/>
      <c r="N18" s="253"/>
      <c r="O18" s="253"/>
      <c r="P18" s="253"/>
      <c r="Q18" s="253"/>
      <c r="R18" s="255"/>
      <c r="S18" s="18"/>
      <c r="T18" s="15"/>
      <c r="AI18" s="74"/>
    </row>
    <row r="19" spans="1:35" ht="19">
      <c r="A19" s="18"/>
      <c r="B19" s="21" t="s">
        <v>7</v>
      </c>
      <c r="C19" s="255">
        <f t="shared" ref="C19:O19" si="1">SUM(C5:C17)</f>
        <v>154.36418245088959</v>
      </c>
      <c r="D19" s="255">
        <f t="shared" si="1"/>
        <v>205.44529250188634</v>
      </c>
      <c r="E19" s="255">
        <f t="shared" si="1"/>
        <v>222.07203382386817</v>
      </c>
      <c r="F19" s="255">
        <f t="shared" si="1"/>
        <v>175.84036572417367</v>
      </c>
      <c r="G19" s="255">
        <f t="shared" si="1"/>
        <v>189.82041673674419</v>
      </c>
      <c r="H19" s="255">
        <f t="shared" si="1"/>
        <v>181.18467771618626</v>
      </c>
      <c r="I19" s="255">
        <f t="shared" si="1"/>
        <v>128.95007617844797</v>
      </c>
      <c r="J19" s="255">
        <f t="shared" si="1"/>
        <v>88.245283490322407</v>
      </c>
      <c r="K19" s="255">
        <f t="shared" si="1"/>
        <v>92.155198978949471</v>
      </c>
      <c r="L19" s="255">
        <f t="shared" si="1"/>
        <v>66.185850779220786</v>
      </c>
      <c r="M19" s="255">
        <f t="shared" si="1"/>
        <v>61.882322057329738</v>
      </c>
      <c r="N19" s="255">
        <f t="shared" si="1"/>
        <v>85.727020812435654</v>
      </c>
      <c r="O19" s="255">
        <f t="shared" si="1"/>
        <v>89.614178211411527</v>
      </c>
      <c r="P19" s="255">
        <f t="shared" ref="P19" si="2">SUM(P5:P17)</f>
        <v>69</v>
      </c>
      <c r="Q19" s="255"/>
      <c r="R19" s="255">
        <f>SUM(B19:P19)</f>
        <v>1810.486899461866</v>
      </c>
      <c r="S19" s="18"/>
      <c r="T19" s="131"/>
    </row>
    <row r="20" spans="1:35" s="129" customFormat="1">
      <c r="A20" s="134"/>
      <c r="B20" s="77" t="s">
        <v>295</v>
      </c>
      <c r="C20" s="256">
        <f>'GB_Tab2-1'!H41/1000/pgdp!BF3</f>
        <v>154.36393330802943</v>
      </c>
      <c r="D20" s="256">
        <f>'GB_Tab2-1'!I41/1000/pgdp!BG3</f>
        <v>205.44529250188629</v>
      </c>
      <c r="E20" s="256">
        <f>'GB_Tab2-1'!J41/1000/pgdp!BH3</f>
        <v>222.0720338238682</v>
      </c>
      <c r="F20" s="256">
        <f>'GB_Tab2-1'!K41/1000/pgdp!BI3</f>
        <v>179.83330780514538</v>
      </c>
      <c r="G20" s="256">
        <f>'GB_Tab2-1'!L41/1000/pgdp!BJ3</f>
        <v>189.82041673674419</v>
      </c>
      <c r="H20" s="256">
        <f>'GB_Tab2-1'!M41/1000/pgdp!BK3</f>
        <v>181.18467771618626</v>
      </c>
      <c r="I20" s="256">
        <f>'GB_Tab2-1'!N41/1000/pgdp!BL3</f>
        <v>128.95007617844797</v>
      </c>
      <c r="J20" s="256">
        <f>'GB_Tab2-1'!O41/1000/pgdp!BM3</f>
        <v>90.449046532310334</v>
      </c>
      <c r="K20" s="256">
        <f>'GB_Tab2-1'!P41/1000/pgdp!BN3</f>
        <v>92.155198978949471</v>
      </c>
      <c r="L20" s="256">
        <f>'GB_Tab2-1'!Q41/1000/pgdp!BO3</f>
        <v>67.469040389610385</v>
      </c>
      <c r="M20" s="256">
        <f>'GB_Tab2-1'!R41/1000/pgdp!BP3</f>
        <v>62.305145480221533</v>
      </c>
      <c r="N20" s="256">
        <f>'GB_Tab2-1'!S41/1000/pgdp!BQ3</f>
        <v>85.727020812435654</v>
      </c>
      <c r="O20" s="256">
        <f>'GB_Tab2-1'!T41/1000/pgdp!BR3</f>
        <v>89.849720563627301</v>
      </c>
      <c r="P20" s="256">
        <f>'GB_Tab2-1'!U41/1000/pgdp!BS3</f>
        <v>69</v>
      </c>
      <c r="Q20" s="256"/>
      <c r="R20" s="256">
        <f>SUM(C20:O20)</f>
        <v>1749.6249108274624</v>
      </c>
      <c r="S20" s="18"/>
      <c r="T20" s="132"/>
      <c r="U20" s="130"/>
    </row>
    <row r="21" spans="1:35" s="129" customFormat="1">
      <c r="A21" s="134"/>
      <c r="B21" s="76"/>
      <c r="C21" s="257">
        <f>C19-C20</f>
        <v>2.4914286015587095E-4</v>
      </c>
      <c r="D21" s="257">
        <f t="shared" ref="D21:N21" si="3">D19-D20</f>
        <v>0</v>
      </c>
      <c r="E21" s="257">
        <f t="shared" si="3"/>
        <v>0</v>
      </c>
      <c r="F21" s="257">
        <f t="shared" si="3"/>
        <v>-3.9929420809717158</v>
      </c>
      <c r="G21" s="257">
        <f t="shared" si="3"/>
        <v>0</v>
      </c>
      <c r="H21" s="257">
        <f t="shared" si="3"/>
        <v>0</v>
      </c>
      <c r="I21" s="257">
        <f t="shared" si="3"/>
        <v>0</v>
      </c>
      <c r="J21" s="257">
        <f t="shared" si="3"/>
        <v>-2.2037630419879264</v>
      </c>
      <c r="K21" s="257">
        <f t="shared" si="3"/>
        <v>0</v>
      </c>
      <c r="L21" s="257">
        <f t="shared" si="3"/>
        <v>-1.2831896103895986</v>
      </c>
      <c r="M21" s="257">
        <f t="shared" si="3"/>
        <v>-0.42282342289179553</v>
      </c>
      <c r="N21" s="257">
        <f t="shared" si="3"/>
        <v>0</v>
      </c>
      <c r="O21" s="257">
        <f t="shared" ref="O21:P21" si="4">O19-O20</f>
        <v>-0.23554235221577358</v>
      </c>
      <c r="P21" s="257">
        <f t="shared" si="4"/>
        <v>0</v>
      </c>
      <c r="Q21" s="257"/>
      <c r="R21" s="257">
        <f>SUM(C21:O21)</f>
        <v>-8.1380113655966539</v>
      </c>
      <c r="S21" s="18"/>
      <c r="T21" s="76"/>
      <c r="U21" s="130"/>
    </row>
    <row r="22" spans="1:35" s="129" customFormat="1">
      <c r="A22" s="134"/>
      <c r="B22" s="76"/>
      <c r="C22" s="257"/>
      <c r="D22" s="257"/>
      <c r="E22" s="257"/>
      <c r="F22" s="257"/>
      <c r="G22" s="257"/>
      <c r="H22" s="257"/>
      <c r="I22" s="257"/>
      <c r="J22" s="257"/>
      <c r="K22" s="257"/>
      <c r="L22" s="257"/>
      <c r="M22" s="257"/>
      <c r="N22" s="257"/>
      <c r="O22" s="257"/>
      <c r="P22" s="257"/>
      <c r="Q22" s="257"/>
      <c r="R22" s="257"/>
      <c r="S22" s="18"/>
      <c r="T22" s="76"/>
      <c r="U22" s="130"/>
    </row>
    <row r="23" spans="1:35" ht="19">
      <c r="A23" s="18"/>
      <c r="B23" s="22" t="s">
        <v>335</v>
      </c>
      <c r="C23" s="258">
        <f>C6+C11+C12+C14+C16+C13+C7</f>
        <v>44.715662258721231</v>
      </c>
      <c r="D23" s="258">
        <f t="shared" ref="D23:O23" si="5">D6+D11+D12+D14+D16+D13+D7</f>
        <v>70.216354714679952</v>
      </c>
      <c r="E23" s="258">
        <f t="shared" si="5"/>
        <v>85.070503251808162</v>
      </c>
      <c r="F23" s="258">
        <f t="shared" si="5"/>
        <v>53.497484743144135</v>
      </c>
      <c r="G23" s="258">
        <f t="shared" si="5"/>
        <v>40.980580018604655</v>
      </c>
      <c r="H23" s="258">
        <f t="shared" si="5"/>
        <v>44.957278270509967</v>
      </c>
      <c r="I23" s="258">
        <f t="shared" si="5"/>
        <v>30.589549105181735</v>
      </c>
      <c r="J23" s="258">
        <f t="shared" si="5"/>
        <v>50.576361813622846</v>
      </c>
      <c r="K23" s="258">
        <f t="shared" si="5"/>
        <v>51.513580940390298</v>
      </c>
      <c r="L23" s="258">
        <f t="shared" si="5"/>
        <v>44.483906493506495</v>
      </c>
      <c r="M23" s="258">
        <f t="shared" si="5"/>
        <v>47.03910579671301</v>
      </c>
      <c r="N23" s="258">
        <f t="shared" si="5"/>
        <v>64.536889228418659</v>
      </c>
      <c r="O23" s="258">
        <f t="shared" si="5"/>
        <v>63.52505862789225</v>
      </c>
      <c r="P23" s="258">
        <f t="shared" ref="P23" si="6">P6+P11+P12+P14+P16+P13+P7</f>
        <v>46.6</v>
      </c>
      <c r="Q23" s="258"/>
      <c r="R23" s="258">
        <f>SUM(C23:P23)</f>
        <v>738.30231526319335</v>
      </c>
      <c r="S23" s="18"/>
      <c r="T23" s="131"/>
      <c r="U23" s="74"/>
    </row>
    <row r="24" spans="1:35" s="79" customFormat="1">
      <c r="A24" s="135"/>
      <c r="B24" s="80" t="s">
        <v>296</v>
      </c>
      <c r="C24" s="259">
        <f t="shared" ref="C24:N24" si="7">C23/C19</f>
        <v>0.28967641034828373</v>
      </c>
      <c r="D24" s="259">
        <f t="shared" si="7"/>
        <v>0.34177641093448391</v>
      </c>
      <c r="E24" s="259">
        <f t="shared" si="7"/>
        <v>0.38307616581419734</v>
      </c>
      <c r="F24" s="259">
        <f t="shared" si="7"/>
        <v>0.30423893013883535</v>
      </c>
      <c r="G24" s="259">
        <f t="shared" si="7"/>
        <v>0.21589131834769543</v>
      </c>
      <c r="H24" s="259">
        <f t="shared" si="7"/>
        <v>0.24812958158047202</v>
      </c>
      <c r="I24" s="259">
        <f t="shared" si="7"/>
        <v>0.23722009332394881</v>
      </c>
      <c r="J24" s="259">
        <f t="shared" si="7"/>
        <v>0.57313388107784147</v>
      </c>
      <c r="K24" s="259">
        <f t="shared" si="7"/>
        <v>0.55898724663550747</v>
      </c>
      <c r="L24" s="259">
        <f t="shared" si="7"/>
        <v>0.67210598594393722</v>
      </c>
      <c r="M24" s="259">
        <f t="shared" si="7"/>
        <v>0.76013802056643087</v>
      </c>
      <c r="N24" s="259">
        <f t="shared" si="7"/>
        <v>0.75281852345738887</v>
      </c>
      <c r="O24" s="259">
        <f t="shared" ref="O24:R24" si="8">O23/O19</f>
        <v>0.70887285802061761</v>
      </c>
      <c r="P24" s="259">
        <f t="shared" ref="P24" si="9">P23/P19</f>
        <v>0.67536231884057973</v>
      </c>
      <c r="Q24" s="259"/>
      <c r="R24" s="259">
        <f t="shared" si="8"/>
        <v>0.40779213342147913</v>
      </c>
      <c r="S24" s="18"/>
      <c r="T24" s="133"/>
      <c r="U24" s="78"/>
    </row>
    <row r="25" spans="1:35" ht="19">
      <c r="A25" s="18"/>
      <c r="B25" s="136" t="s">
        <v>336</v>
      </c>
      <c r="C25" s="260">
        <f>C6+C11+C12+C14+C16+C13+C7+C5+C9+C15</f>
        <v>136.54536051965081</v>
      </c>
      <c r="D25" s="260">
        <f t="shared" ref="D25:O25" si="10">D6+D11+D12+D14+D16+D13+D7+D5+D9+D15</f>
        <v>179.84603461462933</v>
      </c>
      <c r="E25" s="260">
        <f t="shared" si="10"/>
        <v>207.21083473624782</v>
      </c>
      <c r="F25" s="260">
        <f t="shared" si="10"/>
        <v>161.85420497000908</v>
      </c>
      <c r="G25" s="260">
        <f t="shared" si="10"/>
        <v>175.21526400000002</v>
      </c>
      <c r="H25" s="260">
        <f t="shared" si="10"/>
        <v>165.90833148558758</v>
      </c>
      <c r="I25" s="260">
        <f t="shared" si="10"/>
        <v>110.14478670473864</v>
      </c>
      <c r="J25" s="260">
        <f t="shared" si="10"/>
        <v>89.803343961007883</v>
      </c>
      <c r="K25" s="260">
        <f t="shared" si="10"/>
        <v>86.79389057603575</v>
      </c>
      <c r="L25" s="260">
        <f t="shared" si="10"/>
        <v>61.486168831168833</v>
      </c>
      <c r="M25" s="260">
        <f t="shared" si="10"/>
        <v>57.821103080453966</v>
      </c>
      <c r="N25" s="260">
        <f t="shared" si="10"/>
        <v>80.021585677749385</v>
      </c>
      <c r="O25" s="260">
        <f t="shared" si="10"/>
        <v>78.004285474057085</v>
      </c>
      <c r="P25" s="260">
        <f t="shared" ref="P25" si="11">P6+P11+P12+P14+P16+P13+P7+P5+P9+P15</f>
        <v>62.4</v>
      </c>
      <c r="Q25" s="260"/>
      <c r="R25" s="260">
        <f>SUM(C25:P25)</f>
        <v>1653.055194631336</v>
      </c>
      <c r="S25" s="18"/>
      <c r="T25" s="131"/>
      <c r="U25" s="74"/>
    </row>
    <row r="26" spans="1:35" s="79" customFormat="1">
      <c r="A26" s="135"/>
      <c r="B26" s="137"/>
      <c r="C26" s="261">
        <f>C25/C19</f>
        <v>0.88456634402927137</v>
      </c>
      <c r="D26" s="261">
        <f t="shared" ref="D26:R26" si="12">D25/D19</f>
        <v>0.87539623042459358</v>
      </c>
      <c r="E26" s="261">
        <f t="shared" si="12"/>
        <v>0.93307937594966506</v>
      </c>
      <c r="F26" s="261">
        <f t="shared" si="12"/>
        <v>0.92046103466309026</v>
      </c>
      <c r="G26" s="261">
        <f t="shared" si="12"/>
        <v>0.92305805145818642</v>
      </c>
      <c r="H26" s="261">
        <f t="shared" si="12"/>
        <v>0.91568632390356952</v>
      </c>
      <c r="I26" s="261">
        <f t="shared" si="12"/>
        <v>0.85416612358037247</v>
      </c>
      <c r="J26" s="261">
        <f t="shared" si="12"/>
        <v>1.0176560197787381</v>
      </c>
      <c r="K26" s="261">
        <f t="shared" si="12"/>
        <v>0.94182305000352307</v>
      </c>
      <c r="L26" s="261">
        <f t="shared" si="12"/>
        <v>0.9289926488407787</v>
      </c>
      <c r="M26" s="261">
        <f t="shared" si="12"/>
        <v>0.93437190393221947</v>
      </c>
      <c r="N26" s="261">
        <f t="shared" si="12"/>
        <v>0.93344647836101369</v>
      </c>
      <c r="O26" s="261">
        <f t="shared" si="12"/>
        <v>0.87044580479257205</v>
      </c>
      <c r="P26" s="261">
        <f t="shared" ref="P26" si="13">P25/P19</f>
        <v>0.90434782608695652</v>
      </c>
      <c r="Q26" s="261"/>
      <c r="R26" s="261">
        <f t="shared" si="12"/>
        <v>0.9130445490230702</v>
      </c>
      <c r="S26" s="18"/>
      <c r="T26" s="133"/>
      <c r="U26" s="78"/>
    </row>
    <row r="27" spans="1:35" s="79" customFormat="1">
      <c r="A27" s="135"/>
      <c r="B27" s="137"/>
      <c r="C27" s="261"/>
      <c r="D27" s="261"/>
      <c r="E27" s="261"/>
      <c r="F27" s="261"/>
      <c r="G27" s="261"/>
      <c r="H27" s="261"/>
      <c r="I27" s="261"/>
      <c r="J27" s="261"/>
      <c r="K27" s="261"/>
      <c r="L27" s="261"/>
      <c r="M27" s="261"/>
      <c r="N27" s="261"/>
      <c r="O27" s="261"/>
      <c r="P27" s="261"/>
      <c r="Q27" s="261"/>
      <c r="R27" s="261"/>
      <c r="S27" s="18"/>
      <c r="T27" s="133"/>
      <c r="U27" s="78"/>
    </row>
    <row r="28" spans="1:35" ht="19">
      <c r="A28" s="18"/>
      <c r="B28" s="139" t="s">
        <v>357</v>
      </c>
      <c r="C28" s="262">
        <f>C8+C10+C17</f>
        <v>17.818821931238769</v>
      </c>
      <c r="D28" s="262">
        <f t="shared" ref="D28:O28" si="14">D8+D10+D17</f>
        <v>25.599257887256982</v>
      </c>
      <c r="E28" s="262">
        <f t="shared" si="14"/>
        <v>14.861199087620346</v>
      </c>
      <c r="F28" s="262">
        <f t="shared" si="14"/>
        <v>13.986160754164572</v>
      </c>
      <c r="G28" s="262">
        <f t="shared" si="14"/>
        <v>14.605152736744188</v>
      </c>
      <c r="H28" s="262">
        <f t="shared" si="14"/>
        <v>15.276346230598667</v>
      </c>
      <c r="I28" s="262">
        <f t="shared" si="14"/>
        <v>18.805289473709344</v>
      </c>
      <c r="J28" s="262">
        <f t="shared" si="14"/>
        <v>-1.5580604706854624</v>
      </c>
      <c r="K28" s="262">
        <f t="shared" si="14"/>
        <v>5.3613084029137301</v>
      </c>
      <c r="L28" s="262">
        <f t="shared" si="14"/>
        <v>4.6996819480519472</v>
      </c>
      <c r="M28" s="262">
        <f t="shared" si="14"/>
        <v>4.0612189768757609</v>
      </c>
      <c r="N28" s="262">
        <f t="shared" si="14"/>
        <v>5.7054351346862866</v>
      </c>
      <c r="O28" s="262">
        <f t="shared" si="14"/>
        <v>11.609892737354432</v>
      </c>
      <c r="P28" s="262">
        <f t="shared" ref="P28" si="15">P8+P10+P17</f>
        <v>6.6</v>
      </c>
      <c r="Q28" s="262"/>
      <c r="R28" s="262">
        <f>SUM(C28:P28)</f>
        <v>157.43170483052958</v>
      </c>
      <c r="S28" s="18"/>
      <c r="T28" s="131"/>
      <c r="U28" s="74"/>
    </row>
    <row r="29" spans="1:35" s="79" customFormat="1">
      <c r="A29" s="135"/>
      <c r="B29" s="140"/>
      <c r="C29" s="263">
        <f t="shared" ref="C29:O29" si="16">C28/C19</f>
        <v>0.1154336559707286</v>
      </c>
      <c r="D29" s="263">
        <f t="shared" si="16"/>
        <v>0.12460376957540624</v>
      </c>
      <c r="E29" s="263">
        <f t="shared" si="16"/>
        <v>6.6920624050334943E-2</v>
      </c>
      <c r="F29" s="263">
        <f t="shared" si="16"/>
        <v>7.9538965336909698E-2</v>
      </c>
      <c r="G29" s="263">
        <f t="shared" si="16"/>
        <v>7.6941948541813618E-2</v>
      </c>
      <c r="H29" s="263">
        <f t="shared" si="16"/>
        <v>8.4313676096430451E-2</v>
      </c>
      <c r="I29" s="263">
        <f t="shared" si="16"/>
        <v>0.14583387641962758</v>
      </c>
      <c r="J29" s="263">
        <f t="shared" si="16"/>
        <v>-1.7656019778737864E-2</v>
      </c>
      <c r="K29" s="263">
        <f t="shared" si="16"/>
        <v>5.8176949996476983E-2</v>
      </c>
      <c r="L29" s="263">
        <f t="shared" si="16"/>
        <v>7.1007351159221244E-2</v>
      </c>
      <c r="M29" s="263">
        <f t="shared" si="16"/>
        <v>6.5628096067780375E-2</v>
      </c>
      <c r="N29" s="263">
        <f t="shared" si="16"/>
        <v>6.6553521638986549E-2</v>
      </c>
      <c r="O29" s="263">
        <f t="shared" si="16"/>
        <v>0.12955419520742781</v>
      </c>
      <c r="P29" s="263">
        <f t="shared" ref="P29" si="17">P28/P19</f>
        <v>9.5652173913043467E-2</v>
      </c>
      <c r="Q29" s="263"/>
      <c r="R29" s="263">
        <f>R28/R19</f>
        <v>8.695545097692961E-2</v>
      </c>
      <c r="S29" s="18"/>
      <c r="T29" s="133"/>
      <c r="U29" s="78"/>
    </row>
    <row r="30" spans="1:35" ht="19">
      <c r="A30" s="18"/>
      <c r="B30" s="21" t="s">
        <v>338</v>
      </c>
      <c r="C30" s="255">
        <f>'GB_Tab2-1'!H41/1000/pgdp!BF3</f>
        <v>154.36393330802943</v>
      </c>
      <c r="D30" s="255">
        <f>'GB_Tab2-1'!I41/1000/pgdp!BG3</f>
        <v>205.44529250188629</v>
      </c>
      <c r="E30" s="255">
        <f>'GB_Tab2-1'!J41/1000/pgdp!BH3</f>
        <v>222.0720338238682</v>
      </c>
      <c r="F30" s="255">
        <f>'GB_Tab2-1'!K41/1000/pgdp!BI3</f>
        <v>179.83330780514538</v>
      </c>
      <c r="G30" s="255">
        <f>'GB_Tab2-1'!L41/1000/pgdp!BJ3</f>
        <v>189.82041673674419</v>
      </c>
      <c r="H30" s="255">
        <f>'GB_Tab2-1'!M41/1000/pgdp!BK3</f>
        <v>181.18467771618626</v>
      </c>
      <c r="I30" s="255">
        <f>'GB_Tab2-1'!N41/1000/pgdp!BL3</f>
        <v>128.95007617844797</v>
      </c>
      <c r="J30" s="255">
        <f>'GB_Tab2-1'!O41/1000/pgdp!BM3</f>
        <v>90.449046532310334</v>
      </c>
      <c r="K30" s="255">
        <f>'GB_Tab2-1'!P41/1000/pgdp!BN3</f>
        <v>92.155198978949471</v>
      </c>
      <c r="L30" s="255">
        <f>'GB_Tab2-1'!Q41/1000/pgdp!BO3</f>
        <v>67.469040389610385</v>
      </c>
      <c r="M30" s="255">
        <f>'GB_Tab2-1'!R41/1000/pgdp!BP3</f>
        <v>62.305145480221533</v>
      </c>
      <c r="N30" s="255">
        <f>'GB_Tab2-1'!S41/1000/pgdp!BQ3</f>
        <v>85.727020812435654</v>
      </c>
      <c r="O30" s="255">
        <f>'GB_Tab2-1'!T41/1000/pgdp!BR3</f>
        <v>89.849720563627301</v>
      </c>
      <c r="P30" s="255">
        <f>'GB_Tab2-1'!U41/1000/pgdp!BS3</f>
        <v>69</v>
      </c>
      <c r="Q30" s="255"/>
      <c r="R30" s="255">
        <f>SUM(C30:P30)</f>
        <v>1818.6249108274624</v>
      </c>
      <c r="S30" s="18"/>
      <c r="T30" s="131"/>
      <c r="U30" s="74"/>
    </row>
    <row r="31" spans="1:35" s="79" customFormat="1">
      <c r="A31" s="135"/>
      <c r="B31" s="77" t="s">
        <v>349</v>
      </c>
      <c r="C31" s="256">
        <f>C23/C30</f>
        <v>0.28967687788501884</v>
      </c>
      <c r="D31" s="256">
        <f t="shared" ref="D31:O31" si="18">D23/D30</f>
        <v>0.34177641093448402</v>
      </c>
      <c r="E31" s="256">
        <f t="shared" si="18"/>
        <v>0.38307616581419729</v>
      </c>
      <c r="F31" s="256">
        <f t="shared" si="18"/>
        <v>0.29748373866931377</v>
      </c>
      <c r="G31" s="256">
        <f t="shared" si="18"/>
        <v>0.21589131834769543</v>
      </c>
      <c r="H31" s="256">
        <f t="shared" si="18"/>
        <v>0.24812958158047202</v>
      </c>
      <c r="I31" s="256">
        <f t="shared" si="18"/>
        <v>0.23722009332394881</v>
      </c>
      <c r="J31" s="256">
        <f t="shared" si="18"/>
        <v>0.55916965134127627</v>
      </c>
      <c r="K31" s="256">
        <f t="shared" si="18"/>
        <v>0.55898724663550747</v>
      </c>
      <c r="L31" s="256">
        <f t="shared" si="18"/>
        <v>0.65932324272921794</v>
      </c>
      <c r="M31" s="256">
        <f t="shared" si="18"/>
        <v>0.75497947134471177</v>
      </c>
      <c r="N31" s="256">
        <f t="shared" si="18"/>
        <v>0.75281852345738887</v>
      </c>
      <c r="O31" s="256">
        <f t="shared" si="18"/>
        <v>0.70701453748992826</v>
      </c>
      <c r="P31" s="256">
        <f t="shared" ref="P31" si="19">P23/P30</f>
        <v>0.67536231884057973</v>
      </c>
      <c r="Q31" s="256"/>
      <c r="R31" s="256">
        <f t="shared" ref="R31" si="20">R23/R30</f>
        <v>0.40596733876655777</v>
      </c>
      <c r="S31" s="18"/>
      <c r="T31" s="133"/>
      <c r="U31" s="78"/>
    </row>
    <row r="32" spans="1:35" s="79" customFormat="1">
      <c r="A32" s="135"/>
      <c r="B32" s="77" t="s">
        <v>350</v>
      </c>
      <c r="C32" s="256">
        <f>C25/C30</f>
        <v>0.88456777171632384</v>
      </c>
      <c r="D32" s="256">
        <f t="shared" ref="D32:O32" si="21">D25/D30</f>
        <v>0.87539623042459391</v>
      </c>
      <c r="E32" s="256">
        <f t="shared" si="21"/>
        <v>0.93307937594966495</v>
      </c>
      <c r="F32" s="256">
        <f t="shared" si="21"/>
        <v>0.90002351035761863</v>
      </c>
      <c r="G32" s="256">
        <f t="shared" si="21"/>
        <v>0.92305805145818642</v>
      </c>
      <c r="H32" s="256">
        <f t="shared" si="21"/>
        <v>0.91568632390356952</v>
      </c>
      <c r="I32" s="256">
        <f t="shared" si="21"/>
        <v>0.85416612358037247</v>
      </c>
      <c r="J32" s="256">
        <f t="shared" si="21"/>
        <v>0.9928611456277564</v>
      </c>
      <c r="K32" s="256">
        <f t="shared" si="21"/>
        <v>0.94182305000352307</v>
      </c>
      <c r="L32" s="256">
        <f t="shared" si="21"/>
        <v>0.91132419367620265</v>
      </c>
      <c r="M32" s="256">
        <f t="shared" si="21"/>
        <v>0.92803094567540967</v>
      </c>
      <c r="N32" s="256">
        <f t="shared" si="21"/>
        <v>0.93344647836101369</v>
      </c>
      <c r="O32" s="256">
        <f t="shared" si="21"/>
        <v>0.86816391842663732</v>
      </c>
      <c r="P32" s="256">
        <f t="shared" ref="P32" si="22">P25/P30</f>
        <v>0.90434782608695652</v>
      </c>
      <c r="Q32" s="256"/>
      <c r="R32" s="256">
        <f t="shared" ref="R32" si="23">R25/R30</f>
        <v>0.90895884290906737</v>
      </c>
      <c r="S32" s="18"/>
      <c r="T32" s="133"/>
      <c r="U32" s="78"/>
    </row>
    <row r="33" spans="1:21" s="79" customFormat="1">
      <c r="A33" s="135"/>
      <c r="B33" s="77" t="s">
        <v>337</v>
      </c>
      <c r="C33" s="256">
        <f>C28/C30</f>
        <v>0.11543384228025434</v>
      </c>
      <c r="D33" s="256">
        <f t="shared" ref="D33:O33" si="24">D28/D30</f>
        <v>0.12460376957540628</v>
      </c>
      <c r="E33" s="256">
        <f t="shared" si="24"/>
        <v>6.6920624050334929E-2</v>
      </c>
      <c r="F33" s="256">
        <f t="shared" si="24"/>
        <v>7.7772916068023307E-2</v>
      </c>
      <c r="G33" s="256">
        <f t="shared" si="24"/>
        <v>7.6941948541813618E-2</v>
      </c>
      <c r="H33" s="256">
        <f t="shared" si="24"/>
        <v>8.4313676096430451E-2</v>
      </c>
      <c r="I33" s="256">
        <f t="shared" si="24"/>
        <v>0.14583387641962758</v>
      </c>
      <c r="J33" s="256">
        <f t="shared" si="24"/>
        <v>-1.7225836318007951E-2</v>
      </c>
      <c r="K33" s="256">
        <f t="shared" si="24"/>
        <v>5.8176949996476983E-2</v>
      </c>
      <c r="L33" s="256">
        <f t="shared" si="24"/>
        <v>6.9656866629685385E-2</v>
      </c>
      <c r="M33" s="256">
        <f t="shared" si="24"/>
        <v>6.5182721997896223E-2</v>
      </c>
      <c r="N33" s="256">
        <f t="shared" si="24"/>
        <v>6.6553521638986549E-2</v>
      </c>
      <c r="O33" s="256">
        <f t="shared" si="24"/>
        <v>0.12921456699615286</v>
      </c>
      <c r="P33" s="256">
        <f t="shared" ref="P33" si="25">P28/P30</f>
        <v>9.5652173913043467E-2</v>
      </c>
      <c r="Q33" s="256"/>
      <c r="R33" s="256">
        <f t="shared" ref="R33" si="26">R28/R30</f>
        <v>8.6566341356722754E-2</v>
      </c>
      <c r="S33" s="18"/>
      <c r="T33" s="133"/>
      <c r="U33" s="78"/>
    </row>
    <row r="34" spans="1:21" s="79" customFormat="1">
      <c r="A34" s="135"/>
      <c r="B34" s="77"/>
      <c r="C34" s="256"/>
      <c r="D34" s="256"/>
      <c r="E34" s="256"/>
      <c r="F34" s="256"/>
      <c r="G34" s="256"/>
      <c r="H34" s="256"/>
      <c r="I34" s="256"/>
      <c r="J34" s="256"/>
      <c r="K34" s="256"/>
      <c r="L34" s="256"/>
      <c r="M34" s="256"/>
      <c r="N34" s="256"/>
      <c r="O34" s="256"/>
      <c r="P34" s="256"/>
      <c r="Q34" s="256"/>
      <c r="R34" s="256"/>
      <c r="S34" s="18"/>
      <c r="T34" s="133"/>
      <c r="U34" s="78"/>
    </row>
    <row r="35" spans="1:21">
      <c r="B35" s="16"/>
      <c r="C35" s="264"/>
      <c r="D35" s="264"/>
      <c r="E35" s="253"/>
      <c r="F35" s="253"/>
      <c r="G35" s="253"/>
      <c r="H35" s="253"/>
      <c r="I35" s="253"/>
      <c r="J35" s="253"/>
      <c r="K35" s="253"/>
      <c r="L35" s="253"/>
      <c r="M35" s="253"/>
      <c r="N35" s="253"/>
      <c r="O35" s="253"/>
      <c r="P35" s="253"/>
      <c r="Q35" s="253"/>
      <c r="R35" s="253"/>
      <c r="S35" s="18"/>
    </row>
    <row r="36" spans="1:21" ht="19">
      <c r="B36" s="16"/>
      <c r="C36" s="265">
        <v>2006</v>
      </c>
      <c r="D36" s="265">
        <v>2007</v>
      </c>
      <c r="E36" s="265">
        <v>2008</v>
      </c>
      <c r="F36" s="265">
        <v>2009</v>
      </c>
      <c r="G36" s="265">
        <v>2010</v>
      </c>
      <c r="H36" s="265">
        <v>2011</v>
      </c>
      <c r="I36" s="265">
        <v>2012</v>
      </c>
      <c r="J36" s="265">
        <v>2013</v>
      </c>
      <c r="K36" s="265">
        <v>2014</v>
      </c>
      <c r="L36" s="265">
        <v>2015</v>
      </c>
      <c r="M36" s="265">
        <v>2016</v>
      </c>
      <c r="N36" s="265">
        <v>2017</v>
      </c>
      <c r="O36" s="265">
        <v>2018</v>
      </c>
      <c r="P36" s="265">
        <v>2019</v>
      </c>
      <c r="Q36" s="265"/>
      <c r="S36" s="265" t="s">
        <v>7</v>
      </c>
    </row>
    <row r="37" spans="1:21">
      <c r="B37" s="106" t="s">
        <v>358</v>
      </c>
      <c r="C37" s="266">
        <f t="shared" ref="C37:P37" si="27">C6+C7+C12+C13</f>
        <v>14.302045888420267</v>
      </c>
      <c r="D37" s="266">
        <f t="shared" si="27"/>
        <v>17.826950160721857</v>
      </c>
      <c r="E37" s="266">
        <f t="shared" si="27"/>
        <v>20.673558052813718</v>
      </c>
      <c r="F37" s="266">
        <f t="shared" si="27"/>
        <v>18.94601045455569</v>
      </c>
      <c r="G37" s="266">
        <f t="shared" si="27"/>
        <v>16.997626939534886</v>
      </c>
      <c r="H37" s="266">
        <f t="shared" si="27"/>
        <v>19.169600886917959</v>
      </c>
      <c r="I37" s="266">
        <f t="shared" si="27"/>
        <v>15.686948259067556</v>
      </c>
      <c r="J37" s="266">
        <f t="shared" si="27"/>
        <v>38.125100626391074</v>
      </c>
      <c r="K37" s="266">
        <f t="shared" si="27"/>
        <v>41.990061774939988</v>
      </c>
      <c r="L37" s="266">
        <f t="shared" si="27"/>
        <v>33.149064935064935</v>
      </c>
      <c r="M37" s="266">
        <f t="shared" si="27"/>
        <v>26.637875642183545</v>
      </c>
      <c r="N37" s="266">
        <f t="shared" si="27"/>
        <v>34.814585976683169</v>
      </c>
      <c r="O37" s="266">
        <f t="shared" si="27"/>
        <v>36.503966274133909</v>
      </c>
      <c r="P37" s="266">
        <f t="shared" si="27"/>
        <v>37.9</v>
      </c>
      <c r="Q37" s="266">
        <v>30</v>
      </c>
      <c r="R37">
        <v>30</v>
      </c>
      <c r="S37" s="266">
        <f>R6+R7+R12+R13</f>
        <v>372.72339587142858</v>
      </c>
    </row>
    <row r="38" spans="1:21">
      <c r="B38" s="106" t="s">
        <v>359</v>
      </c>
      <c r="C38" s="266">
        <f t="shared" ref="C38:P38" si="28">C14+C11</f>
        <v>30.413616370300971</v>
      </c>
      <c r="D38" s="266">
        <f t="shared" si="28"/>
        <v>52.389404553958101</v>
      </c>
      <c r="E38" s="266">
        <f t="shared" si="28"/>
        <v>64.396945198994459</v>
      </c>
      <c r="F38" s="266">
        <f t="shared" si="28"/>
        <v>34.551474288588444</v>
      </c>
      <c r="G38" s="266">
        <f t="shared" si="28"/>
        <v>23.98295307906977</v>
      </c>
      <c r="H38" s="266">
        <f t="shared" si="28"/>
        <v>25.787677383592012</v>
      </c>
      <c r="I38" s="266">
        <f t="shared" si="28"/>
        <v>14.902600846114179</v>
      </c>
      <c r="J38" s="266">
        <f t="shared" si="28"/>
        <v>12.451261187231767</v>
      </c>
      <c r="K38" s="266">
        <f t="shared" si="28"/>
        <v>9.523519165450308</v>
      </c>
      <c r="L38" s="266">
        <f t="shared" si="28"/>
        <v>8.8753948051948051</v>
      </c>
      <c r="M38" s="266">
        <f t="shared" si="28"/>
        <v>12.261879263862268</v>
      </c>
      <c r="N38" s="266">
        <f t="shared" si="28"/>
        <v>10.496337861626865</v>
      </c>
      <c r="O38" s="266">
        <f t="shared" si="28"/>
        <v>9.278941147894372</v>
      </c>
      <c r="P38" s="266">
        <f t="shared" si="28"/>
        <v>8.6999999999999993</v>
      </c>
      <c r="Q38" s="266">
        <v>20</v>
      </c>
      <c r="R38">
        <v>20</v>
      </c>
      <c r="S38" s="266">
        <f>R14+R11</f>
        <v>318.01200515187833</v>
      </c>
    </row>
    <row r="39" spans="1:21">
      <c r="B39" s="106" t="s">
        <v>360</v>
      </c>
      <c r="C39" s="266">
        <f t="shared" ref="C39:P39" si="29">C16</f>
        <v>0</v>
      </c>
      <c r="D39" s="266">
        <f t="shared" si="29"/>
        <v>0</v>
      </c>
      <c r="E39" s="266">
        <f t="shared" si="29"/>
        <v>0</v>
      </c>
      <c r="F39" s="266">
        <f t="shared" si="29"/>
        <v>0</v>
      </c>
      <c r="G39" s="266">
        <f t="shared" si="29"/>
        <v>0</v>
      </c>
      <c r="H39" s="266">
        <f t="shared" si="29"/>
        <v>0</v>
      </c>
      <c r="I39" s="266">
        <f t="shared" si="29"/>
        <v>0</v>
      </c>
      <c r="J39" s="266">
        <f t="shared" si="29"/>
        <v>0</v>
      </c>
      <c r="K39" s="266">
        <f t="shared" si="29"/>
        <v>0</v>
      </c>
      <c r="L39" s="266">
        <f t="shared" si="29"/>
        <v>2.4594467532467532</v>
      </c>
      <c r="M39" s="266">
        <f t="shared" si="29"/>
        <v>8.1393508906671954</v>
      </c>
      <c r="N39" s="266">
        <f t="shared" si="29"/>
        <v>19.225965390108616</v>
      </c>
      <c r="O39" s="266">
        <f t="shared" si="29"/>
        <v>17.742151205863966</v>
      </c>
      <c r="P39" s="266">
        <f t="shared" si="29"/>
        <v>0</v>
      </c>
      <c r="Q39" s="266">
        <v>20</v>
      </c>
      <c r="R39">
        <v>20</v>
      </c>
      <c r="S39" s="266">
        <f>R16</f>
        <v>47.566914239886529</v>
      </c>
    </row>
    <row r="40" spans="1:21">
      <c r="B40" s="12" t="s">
        <v>365</v>
      </c>
      <c r="C40" s="266">
        <f>SUM(C37:C39)</f>
        <v>44.715662258721238</v>
      </c>
      <c r="D40" s="266">
        <f t="shared" ref="D40:O40" si="30">SUM(D37:D39)</f>
        <v>70.216354714679966</v>
      </c>
      <c r="E40" s="266">
        <f t="shared" si="30"/>
        <v>85.070503251808177</v>
      </c>
      <c r="F40" s="266">
        <f t="shared" si="30"/>
        <v>53.497484743144135</v>
      </c>
      <c r="G40" s="266">
        <f t="shared" si="30"/>
        <v>40.980580018604655</v>
      </c>
      <c r="H40" s="266">
        <f t="shared" si="30"/>
        <v>44.957278270509974</v>
      </c>
      <c r="I40" s="266">
        <f t="shared" si="30"/>
        <v>30.589549105181735</v>
      </c>
      <c r="J40" s="266">
        <f t="shared" si="30"/>
        <v>50.576361813622839</v>
      </c>
      <c r="K40" s="266">
        <f t="shared" si="30"/>
        <v>51.513580940390298</v>
      </c>
      <c r="L40" s="266">
        <f t="shared" si="30"/>
        <v>44.483906493506495</v>
      </c>
      <c r="M40" s="266">
        <f t="shared" si="30"/>
        <v>47.03910579671301</v>
      </c>
      <c r="N40" s="266">
        <f t="shared" si="30"/>
        <v>64.536889228418644</v>
      </c>
      <c r="O40" s="266">
        <f t="shared" si="30"/>
        <v>63.52505862789225</v>
      </c>
      <c r="P40" s="266">
        <f t="shared" ref="P40" si="31">SUM(P37:P39)</f>
        <v>46.599999999999994</v>
      </c>
      <c r="Q40" s="266"/>
      <c r="S40" s="266">
        <f>SUM(S37:S39)</f>
        <v>738.30231526319335</v>
      </c>
    </row>
    <row r="41" spans="1:21">
      <c r="C41" s="267"/>
      <c r="D41" s="267"/>
      <c r="E41" s="66"/>
      <c r="F41" s="66"/>
      <c r="G41" s="66"/>
      <c r="H41" s="66"/>
      <c r="I41" s="66"/>
      <c r="J41" s="66"/>
      <c r="K41" s="66"/>
      <c r="L41" s="66"/>
      <c r="M41" s="66"/>
      <c r="N41" s="66"/>
      <c r="O41" s="66"/>
      <c r="P41" s="66"/>
      <c r="Q41" s="66"/>
      <c r="S41" s="66"/>
    </row>
    <row r="42" spans="1:21">
      <c r="B42" s="141" t="s">
        <v>361</v>
      </c>
      <c r="C42" s="268">
        <f t="shared" ref="C42:P42" si="32">C5+C9+C15</f>
        <v>91.82969826092959</v>
      </c>
      <c r="D42" s="268">
        <f t="shared" si="32"/>
        <v>109.62967989994935</v>
      </c>
      <c r="E42" s="268">
        <f t="shared" si="32"/>
        <v>122.14033148443968</v>
      </c>
      <c r="F42" s="268">
        <f t="shared" si="32"/>
        <v>108.35672022686494</v>
      </c>
      <c r="G42" s="268">
        <f t="shared" si="32"/>
        <v>134.23468398139536</v>
      </c>
      <c r="H42" s="268">
        <f t="shared" si="32"/>
        <v>120.95105321507761</v>
      </c>
      <c r="I42" s="268">
        <f t="shared" si="32"/>
        <v>79.555237599556904</v>
      </c>
      <c r="J42" s="268">
        <f t="shared" si="32"/>
        <v>39.22698214738503</v>
      </c>
      <c r="K42" s="268">
        <f t="shared" si="32"/>
        <v>35.280309635645452</v>
      </c>
      <c r="L42" s="268">
        <f t="shared" si="32"/>
        <v>17.002262337662337</v>
      </c>
      <c r="M42" s="268">
        <f t="shared" si="32"/>
        <v>10.78199728374096</v>
      </c>
      <c r="N42" s="268">
        <f t="shared" si="32"/>
        <v>15.484696449330723</v>
      </c>
      <c r="O42" s="268">
        <f t="shared" si="32"/>
        <v>14.479226846164845</v>
      </c>
      <c r="P42" s="268">
        <f t="shared" si="32"/>
        <v>15.799999999999999</v>
      </c>
      <c r="Q42" s="268"/>
      <c r="S42" s="268">
        <f>R5+R9+R15</f>
        <v>914.75287936814266</v>
      </c>
    </row>
    <row r="43" spans="1:21">
      <c r="B43" s="142" t="s">
        <v>362</v>
      </c>
      <c r="C43" s="269">
        <f t="shared" ref="C43:P43" si="33">C8+C10</f>
        <v>6.1228103602625596</v>
      </c>
      <c r="D43" s="269">
        <f t="shared" si="33"/>
        <v>15.644058304306935</v>
      </c>
      <c r="E43" s="269">
        <f t="shared" si="33"/>
        <v>6.7723724655769084</v>
      </c>
      <c r="F43" s="269">
        <f t="shared" si="33"/>
        <v>8.2291084641197543</v>
      </c>
      <c r="G43" s="269">
        <f t="shared" si="33"/>
        <v>11.875054437209304</v>
      </c>
      <c r="H43" s="269">
        <f t="shared" si="33"/>
        <v>15.974667405764965</v>
      </c>
      <c r="I43" s="269">
        <f t="shared" si="33"/>
        <v>12.997757128941689</v>
      </c>
      <c r="J43" s="269">
        <f t="shared" si="33"/>
        <v>6.1705365175661848</v>
      </c>
      <c r="K43" s="269">
        <f t="shared" si="33"/>
        <v>5.4110904349149473</v>
      </c>
      <c r="L43" s="269">
        <f t="shared" si="33"/>
        <v>6.6298129870129863</v>
      </c>
      <c r="M43" s="269">
        <f t="shared" si="33"/>
        <v>4.5453517960868748</v>
      </c>
      <c r="N43" s="269">
        <f t="shared" si="33"/>
        <v>6.2354482346298212</v>
      </c>
      <c r="O43" s="269">
        <f t="shared" si="33"/>
        <v>6.8317478781200336</v>
      </c>
      <c r="P43" s="269">
        <f t="shared" si="33"/>
        <v>6.6</v>
      </c>
      <c r="Q43" s="269"/>
      <c r="S43" s="269">
        <f>R8+R10</f>
        <v>120.03981641451294</v>
      </c>
    </row>
    <row r="44" spans="1:21">
      <c r="B44" s="142" t="s">
        <v>363</v>
      </c>
      <c r="C44" s="269">
        <f t="shared" ref="C44:P44" si="34">C17</f>
        <v>11.696011570976211</v>
      </c>
      <c r="D44" s="269">
        <f t="shared" si="34"/>
        <v>9.9551995829500459</v>
      </c>
      <c r="E44" s="269">
        <f t="shared" si="34"/>
        <v>8.0888266220434382</v>
      </c>
      <c r="F44" s="269">
        <f t="shared" si="34"/>
        <v>5.7570522900448182</v>
      </c>
      <c r="G44" s="269">
        <f t="shared" si="34"/>
        <v>2.7300982995348839</v>
      </c>
      <c r="H44" s="269">
        <f t="shared" si="34"/>
        <v>-0.6983211751662971</v>
      </c>
      <c r="I44" s="269">
        <f t="shared" si="34"/>
        <v>5.8075323447676528</v>
      </c>
      <c r="J44" s="269">
        <f t="shared" si="34"/>
        <v>-7.7285969882516472</v>
      </c>
      <c r="K44" s="269">
        <f t="shared" si="34"/>
        <v>-4.9782032001217558E-2</v>
      </c>
      <c r="L44" s="269">
        <f t="shared" si="34"/>
        <v>-1.9301310389610389</v>
      </c>
      <c r="M44" s="269">
        <f t="shared" si="34"/>
        <v>-0.48413281921111373</v>
      </c>
      <c r="N44" s="269">
        <f t="shared" si="34"/>
        <v>-0.53001309994353485</v>
      </c>
      <c r="O44" s="269">
        <f t="shared" si="34"/>
        <v>4.7781448592343994</v>
      </c>
      <c r="P44" s="269">
        <f t="shared" si="34"/>
        <v>0</v>
      </c>
      <c r="Q44" s="269"/>
      <c r="S44" s="269">
        <f>R17</f>
        <v>37.391888416016599</v>
      </c>
    </row>
    <row r="45" spans="1:21">
      <c r="B45" s="141" t="s">
        <v>364</v>
      </c>
      <c r="C45" s="268">
        <f>SUM(C42:C44)</f>
        <v>109.64852019216836</v>
      </c>
      <c r="D45" s="268">
        <f t="shared" ref="D45:O45" si="35">SUM(D42:D44)</f>
        <v>135.22893778720635</v>
      </c>
      <c r="E45" s="268">
        <f t="shared" si="35"/>
        <v>137.00153057206003</v>
      </c>
      <c r="F45" s="268">
        <f t="shared" si="35"/>
        <v>122.34288098102951</v>
      </c>
      <c r="G45" s="268">
        <f t="shared" si="35"/>
        <v>148.83983671813957</v>
      </c>
      <c r="H45" s="268">
        <f t="shared" si="35"/>
        <v>136.2273994456763</v>
      </c>
      <c r="I45" s="268">
        <f t="shared" si="35"/>
        <v>98.36052707326624</v>
      </c>
      <c r="J45" s="268">
        <f t="shared" si="35"/>
        <v>37.668921676699568</v>
      </c>
      <c r="K45" s="268">
        <f t="shared" si="35"/>
        <v>40.64161803855918</v>
      </c>
      <c r="L45" s="268">
        <f t="shared" si="35"/>
        <v>21.701944285714283</v>
      </c>
      <c r="M45" s="268">
        <f t="shared" si="35"/>
        <v>14.843216260616721</v>
      </c>
      <c r="N45" s="268">
        <f t="shared" si="35"/>
        <v>21.19013158401701</v>
      </c>
      <c r="O45" s="268">
        <f t="shared" si="35"/>
        <v>26.089119583519278</v>
      </c>
      <c r="P45" s="268">
        <f t="shared" ref="P45" si="36">SUM(P42:P44)</f>
        <v>22.4</v>
      </c>
      <c r="Q45" s="268"/>
      <c r="S45" s="268">
        <f>SUM(S42:S44)</f>
        <v>1072.1845841986722</v>
      </c>
    </row>
    <row r="46" spans="1:21">
      <c r="C46" s="267"/>
      <c r="D46" s="267"/>
      <c r="E46" s="66"/>
      <c r="F46" s="66"/>
      <c r="G46" s="66"/>
      <c r="H46" s="66"/>
      <c r="I46" s="66"/>
      <c r="J46" s="66"/>
      <c r="K46" s="66"/>
      <c r="L46" s="66"/>
      <c r="M46" s="66"/>
      <c r="N46" s="66"/>
      <c r="O46" s="66"/>
      <c r="P46" s="66"/>
      <c r="Q46" s="66"/>
      <c r="S46" s="66"/>
    </row>
    <row r="47" spans="1:21">
      <c r="B47" s="9" t="s">
        <v>226</v>
      </c>
      <c r="C47" s="267">
        <f>C45+C40</f>
        <v>154.36418245088959</v>
      </c>
      <c r="D47" s="267">
        <f t="shared" ref="D47:O47" si="37">D45+D40</f>
        <v>205.44529250188631</v>
      </c>
      <c r="E47" s="267">
        <f t="shared" si="37"/>
        <v>222.0720338238682</v>
      </c>
      <c r="F47" s="267">
        <f t="shared" si="37"/>
        <v>175.84036572417364</v>
      </c>
      <c r="G47" s="267">
        <f t="shared" si="37"/>
        <v>189.82041673674422</v>
      </c>
      <c r="H47" s="267">
        <f t="shared" si="37"/>
        <v>181.18467771618629</v>
      </c>
      <c r="I47" s="267">
        <f t="shared" si="37"/>
        <v>128.95007617844797</v>
      </c>
      <c r="J47" s="267">
        <f t="shared" si="37"/>
        <v>88.245283490322407</v>
      </c>
      <c r="K47" s="267">
        <f t="shared" si="37"/>
        <v>92.155198978949471</v>
      </c>
      <c r="L47" s="267">
        <f t="shared" si="37"/>
        <v>66.185850779220772</v>
      </c>
      <c r="M47" s="267">
        <f t="shared" si="37"/>
        <v>61.882322057329731</v>
      </c>
      <c r="N47" s="267">
        <f t="shared" si="37"/>
        <v>85.727020812435654</v>
      </c>
      <c r="O47" s="267">
        <f t="shared" si="37"/>
        <v>89.614178211411527</v>
      </c>
      <c r="P47" s="267">
        <f t="shared" ref="P47" si="38">P45+P40</f>
        <v>69</v>
      </c>
      <c r="Q47" s="267"/>
      <c r="S47" s="267">
        <f>S45+S40</f>
        <v>1810.4868994618655</v>
      </c>
    </row>
    <row r="48" spans="1:21">
      <c r="C48" s="267"/>
      <c r="D48" s="267"/>
      <c r="E48" s="267"/>
      <c r="F48" s="267"/>
      <c r="G48" s="267"/>
      <c r="H48" s="267"/>
      <c r="I48" s="267"/>
      <c r="J48" s="267"/>
      <c r="K48" s="267"/>
      <c r="L48" s="267"/>
      <c r="M48" s="267"/>
      <c r="N48" s="267"/>
      <c r="O48" s="267"/>
      <c r="P48" s="267"/>
      <c r="Q48" s="267"/>
      <c r="S48" s="267"/>
    </row>
    <row r="49" spans="2:21">
      <c r="B49" s="9" t="s">
        <v>366</v>
      </c>
      <c r="C49" s="267">
        <f>C40+C42</f>
        <v>136.54536051965084</v>
      </c>
      <c r="D49" s="267">
        <f t="shared" ref="D49:O49" si="39">D40+D42</f>
        <v>179.84603461462933</v>
      </c>
      <c r="E49" s="267">
        <f t="shared" si="39"/>
        <v>207.21083473624788</v>
      </c>
      <c r="F49" s="267">
        <f t="shared" si="39"/>
        <v>161.85420497000908</v>
      </c>
      <c r="G49" s="267">
        <f t="shared" si="39"/>
        <v>175.21526400000002</v>
      </c>
      <c r="H49" s="267">
        <f t="shared" si="39"/>
        <v>165.90833148558758</v>
      </c>
      <c r="I49" s="267">
        <f t="shared" si="39"/>
        <v>110.14478670473864</v>
      </c>
      <c r="J49" s="267">
        <f t="shared" si="39"/>
        <v>89.803343961007869</v>
      </c>
      <c r="K49" s="267">
        <f t="shared" si="39"/>
        <v>86.79389057603575</v>
      </c>
      <c r="L49" s="267">
        <f t="shared" si="39"/>
        <v>61.486168831168833</v>
      </c>
      <c r="M49" s="267">
        <f t="shared" si="39"/>
        <v>57.821103080453966</v>
      </c>
      <c r="N49" s="267">
        <f t="shared" si="39"/>
        <v>80.021585677749371</v>
      </c>
      <c r="O49" s="267">
        <f t="shared" si="39"/>
        <v>78.004285474057099</v>
      </c>
      <c r="P49" s="267">
        <f t="shared" ref="P49" si="40">P40+P42</f>
        <v>62.399999999999991</v>
      </c>
      <c r="Q49" s="267"/>
      <c r="S49" s="267">
        <f>S40+S42</f>
        <v>1653.055194631336</v>
      </c>
    </row>
    <row r="50" spans="2:21">
      <c r="B50" s="142" t="s">
        <v>356</v>
      </c>
      <c r="C50" s="269">
        <f>C43+C44</f>
        <v>17.818821931238769</v>
      </c>
      <c r="D50" s="269">
        <f t="shared" ref="D50:O50" si="41">D43+D44</f>
        <v>25.599257887256982</v>
      </c>
      <c r="E50" s="269">
        <f t="shared" si="41"/>
        <v>14.861199087620346</v>
      </c>
      <c r="F50" s="269">
        <f t="shared" si="41"/>
        <v>13.986160754164572</v>
      </c>
      <c r="G50" s="269">
        <f t="shared" si="41"/>
        <v>14.605152736744188</v>
      </c>
      <c r="H50" s="269">
        <f t="shared" si="41"/>
        <v>15.276346230598667</v>
      </c>
      <c r="I50" s="269">
        <f t="shared" si="41"/>
        <v>18.805289473709344</v>
      </c>
      <c r="J50" s="269">
        <f t="shared" si="41"/>
        <v>-1.5580604706854624</v>
      </c>
      <c r="K50" s="269">
        <f t="shared" si="41"/>
        <v>5.3613084029137301</v>
      </c>
      <c r="L50" s="269">
        <f t="shared" si="41"/>
        <v>4.6996819480519472</v>
      </c>
      <c r="M50" s="269">
        <f t="shared" si="41"/>
        <v>4.0612189768757609</v>
      </c>
      <c r="N50" s="269">
        <f t="shared" si="41"/>
        <v>5.7054351346862866</v>
      </c>
      <c r="O50" s="269">
        <f t="shared" si="41"/>
        <v>11.609892737354432</v>
      </c>
      <c r="P50" s="269">
        <f t="shared" ref="P50" si="42">P43+P44</f>
        <v>6.6</v>
      </c>
      <c r="Q50" s="269"/>
      <c r="S50" s="269">
        <f>S43+S44</f>
        <v>157.43170483052955</v>
      </c>
    </row>
    <row r="51" spans="2:21" ht="409.6">
      <c r="C51" s="267"/>
      <c r="D51" s="267"/>
      <c r="E51" s="66"/>
      <c r="F51" s="66"/>
      <c r="G51" s="66"/>
      <c r="H51" s="66"/>
      <c r="I51" s="66"/>
      <c r="J51" s="66"/>
      <c r="K51" s="66"/>
      <c r="L51" s="66"/>
      <c r="M51" s="66"/>
      <c r="N51" s="66"/>
      <c r="O51" s="66"/>
      <c r="P51" s="66"/>
      <c r="Q51" s="66"/>
      <c r="R51" s="66"/>
      <c r="U51" s="62" t="s">
        <v>546</v>
      </c>
    </row>
    <row r="52" spans="2:21" ht="409.6">
      <c r="C52" s="267"/>
      <c r="D52" s="267"/>
      <c r="E52" s="66"/>
      <c r="F52" s="66"/>
      <c r="G52" s="66"/>
      <c r="H52" s="66"/>
      <c r="I52" s="66"/>
      <c r="J52" s="66"/>
      <c r="K52" s="66"/>
      <c r="L52" s="66"/>
      <c r="M52" s="66"/>
      <c r="N52" s="66"/>
      <c r="O52" s="66"/>
      <c r="P52" s="66"/>
      <c r="Q52" s="66"/>
      <c r="R52" s="66"/>
      <c r="U52" s="62" t="s">
        <v>547</v>
      </c>
    </row>
  </sheetData>
  <conditionalFormatting sqref="C22">
    <cfRule type="colorScale" priority="4">
      <colorScale>
        <cfvo type="min"/>
        <cfvo type="percentile" val="50"/>
        <cfvo type="max"/>
        <color rgb="FF5A8AC6"/>
        <color rgb="FFFCFCFF"/>
        <color rgb="FFF8696B"/>
      </colorScale>
    </cfRule>
  </conditionalFormatting>
  <conditionalFormatting sqref="D22:R22">
    <cfRule type="colorScale" priority="1">
      <colorScale>
        <cfvo type="min"/>
        <cfvo type="percentile" val="50"/>
        <cfvo type="max"/>
        <color rgb="FF5A8AC6"/>
        <color rgb="FFFCFCFF"/>
        <color rgb="FFF8696B"/>
      </colorScale>
    </cfRule>
  </conditionalFormatting>
  <pageMargins left="0.7" right="0.7" top="0.75" bottom="0.75" header="0.3" footer="0.3"/>
  <pageSetup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1AB7F-52D3-FC45-8324-8E4314257370}">
  <dimension ref="A1:R21"/>
  <sheetViews>
    <sheetView zoomScale="90" zoomScaleNormal="90" workbookViewId="0">
      <selection activeCell="C6" sqref="C6:P6"/>
    </sheetView>
  </sheetViews>
  <sheetFormatPr baseColWidth="10" defaultRowHeight="16"/>
  <cols>
    <col min="1" max="1" width="10.83203125" style="56"/>
    <col min="2" max="2" width="52.5" style="9" bestFit="1" customWidth="1"/>
    <col min="3" max="3" width="16.83203125" style="9" bestFit="1" customWidth="1"/>
    <col min="4" max="4" width="11.33203125" style="9" customWidth="1"/>
    <col min="5" max="6" width="11.33203125" customWidth="1"/>
    <col min="7" max="14" width="11.5" customWidth="1"/>
    <col min="15" max="15" width="12.33203125" customWidth="1"/>
    <col min="16" max="16" width="11.33203125" bestFit="1" customWidth="1"/>
    <col min="17" max="17" width="4.6640625" bestFit="1" customWidth="1"/>
    <col min="18" max="18" width="11.33203125" bestFit="1" customWidth="1"/>
  </cols>
  <sheetData>
    <row r="1" spans="1:18" s="79" customFormat="1" ht="11">
      <c r="A1" s="135"/>
      <c r="B1" s="77"/>
      <c r="C1" s="75"/>
      <c r="D1" s="75"/>
      <c r="E1" s="75"/>
      <c r="F1" s="75"/>
      <c r="G1" s="75"/>
      <c r="H1" s="75"/>
      <c r="I1" s="75"/>
      <c r="J1" s="75"/>
      <c r="K1" s="75"/>
      <c r="L1" s="75"/>
      <c r="M1" s="75"/>
      <c r="N1" s="75"/>
      <c r="O1" s="75"/>
      <c r="P1" s="75"/>
      <c r="Q1" s="75"/>
      <c r="R1" s="75"/>
    </row>
    <row r="2" spans="1:18">
      <c r="A2" s="18"/>
      <c r="B2" s="25"/>
      <c r="C2" s="25"/>
      <c r="D2" s="25"/>
      <c r="E2" s="26"/>
      <c r="F2" s="26"/>
      <c r="G2" s="26"/>
      <c r="H2" s="26"/>
      <c r="I2" s="26"/>
      <c r="J2" s="26"/>
      <c r="K2" s="26"/>
      <c r="L2" s="26"/>
      <c r="M2" s="26"/>
      <c r="N2" s="26"/>
      <c r="O2" s="26"/>
      <c r="P2" s="26"/>
      <c r="Q2" s="26"/>
      <c r="R2" s="26"/>
    </row>
    <row r="3" spans="1:18" ht="19">
      <c r="A3" s="18"/>
      <c r="B3" s="14" t="s">
        <v>37</v>
      </c>
      <c r="C3" s="15">
        <v>2006</v>
      </c>
      <c r="D3" s="15">
        <v>2007</v>
      </c>
      <c r="E3" s="15">
        <v>2008</v>
      </c>
      <c r="F3" s="15">
        <v>2009</v>
      </c>
      <c r="G3" s="15">
        <v>2010</v>
      </c>
      <c r="H3" s="15">
        <v>2011</v>
      </c>
      <c r="I3" s="15">
        <v>2012</v>
      </c>
      <c r="J3" s="15">
        <v>2013</v>
      </c>
      <c r="K3" s="15">
        <v>2014</v>
      </c>
      <c r="L3" s="15">
        <v>2015</v>
      </c>
      <c r="M3" s="15">
        <v>2016</v>
      </c>
      <c r="N3" s="15">
        <v>2017</v>
      </c>
      <c r="O3" s="15">
        <v>2018</v>
      </c>
      <c r="P3" s="15">
        <v>2019</v>
      </c>
      <c r="Q3" s="15"/>
      <c r="R3" s="15"/>
    </row>
    <row r="4" spans="1:18">
      <c r="A4" s="18"/>
      <c r="B4" s="16" t="s">
        <v>351</v>
      </c>
      <c r="C4" s="19">
        <v>20241.666666666668</v>
      </c>
      <c r="D4" s="19">
        <v>23153.833333333332</v>
      </c>
      <c r="E4" s="19">
        <v>30076.666666666668</v>
      </c>
      <c r="F4" s="19">
        <v>44300</v>
      </c>
      <c r="G4" s="19">
        <v>84000</v>
      </c>
      <c r="H4" s="19">
        <v>98345</v>
      </c>
      <c r="I4" s="20">
        <v>89446</v>
      </c>
      <c r="J4" s="20">
        <v>62763</v>
      </c>
      <c r="K4" s="20">
        <v>34813</v>
      </c>
      <c r="L4" s="20">
        <v>10012</v>
      </c>
      <c r="M4" s="102">
        <v>9737</v>
      </c>
      <c r="N4" s="20">
        <v>8674</v>
      </c>
      <c r="O4" s="20">
        <v>11958</v>
      </c>
      <c r="P4" s="20">
        <v>11958</v>
      </c>
      <c r="Q4" s="20"/>
      <c r="R4" s="20"/>
    </row>
    <row r="5" spans="1:18">
      <c r="A5" s="18"/>
      <c r="B5" s="16" t="s">
        <v>352</v>
      </c>
      <c r="C5" s="19">
        <v>138836.9</v>
      </c>
      <c r="D5" s="19">
        <v>145065.5</v>
      </c>
      <c r="E5" s="19">
        <v>156533.83333333334</v>
      </c>
      <c r="F5" s="19">
        <v>140700</v>
      </c>
      <c r="G5" s="19">
        <v>96000</v>
      </c>
      <c r="H5" s="19">
        <v>46568</v>
      </c>
      <c r="I5" s="20">
        <v>9176</v>
      </c>
      <c r="J5" s="20" t="s">
        <v>585</v>
      </c>
      <c r="K5" s="20" t="s">
        <v>585</v>
      </c>
      <c r="L5" s="20">
        <v>3180</v>
      </c>
      <c r="M5" s="102">
        <v>3550</v>
      </c>
      <c r="N5" s="20">
        <v>5765</v>
      </c>
      <c r="O5" s="20">
        <v>5765</v>
      </c>
      <c r="P5" s="20">
        <v>5765</v>
      </c>
      <c r="Q5" s="20"/>
      <c r="R5" s="20"/>
    </row>
    <row r="6" spans="1:18" ht="19">
      <c r="A6" s="18"/>
      <c r="B6" s="21" t="s">
        <v>328</v>
      </c>
      <c r="C6" s="27">
        <f t="shared" ref="C6:O6" si="0">SUM(C4:C5)</f>
        <v>159078.56666666665</v>
      </c>
      <c r="D6" s="27">
        <f t="shared" si="0"/>
        <v>168219.33333333334</v>
      </c>
      <c r="E6" s="27">
        <f t="shared" si="0"/>
        <v>186610.5</v>
      </c>
      <c r="F6" s="27">
        <f t="shared" si="0"/>
        <v>185000</v>
      </c>
      <c r="G6" s="27">
        <f t="shared" si="0"/>
        <v>180000</v>
      </c>
      <c r="H6" s="27">
        <f t="shared" si="0"/>
        <v>144913</v>
      </c>
      <c r="I6" s="27">
        <f t="shared" si="0"/>
        <v>98622</v>
      </c>
      <c r="J6" s="27">
        <f t="shared" si="0"/>
        <v>62763</v>
      </c>
      <c r="K6" s="27">
        <f t="shared" si="0"/>
        <v>34813</v>
      </c>
      <c r="L6" s="27">
        <f t="shared" si="0"/>
        <v>13192</v>
      </c>
      <c r="M6" s="27">
        <f t="shared" si="0"/>
        <v>13287</v>
      </c>
      <c r="N6" s="27">
        <f t="shared" si="0"/>
        <v>14439</v>
      </c>
      <c r="O6" s="27">
        <f t="shared" si="0"/>
        <v>17723</v>
      </c>
      <c r="P6" s="27">
        <f t="shared" ref="P6" si="1">SUM(P4:P5)</f>
        <v>17723</v>
      </c>
      <c r="Q6" s="27"/>
      <c r="R6" s="27"/>
    </row>
    <row r="7" spans="1:18" s="24" customFormat="1">
      <c r="A7" s="34"/>
      <c r="B7" s="16" t="s">
        <v>13</v>
      </c>
      <c r="C7" s="16"/>
      <c r="D7" s="16"/>
      <c r="E7" s="18"/>
      <c r="F7" s="19">
        <v>48200</v>
      </c>
      <c r="G7" s="19">
        <v>62500</v>
      </c>
      <c r="H7" s="19">
        <v>70889</v>
      </c>
      <c r="I7" s="20">
        <v>68240</v>
      </c>
      <c r="J7" s="20">
        <v>64417</v>
      </c>
      <c r="K7" s="20">
        <v>59738</v>
      </c>
      <c r="L7" s="20">
        <v>55958</v>
      </c>
      <c r="M7" s="102">
        <v>55831</v>
      </c>
      <c r="N7" s="20">
        <v>62486</v>
      </c>
      <c r="O7" s="20">
        <v>56310</v>
      </c>
      <c r="P7" s="20">
        <v>59463</v>
      </c>
      <c r="Q7" s="20"/>
      <c r="R7" s="20"/>
    </row>
    <row r="8" spans="1:18" s="24" customFormat="1">
      <c r="A8" s="34"/>
      <c r="B8" s="16" t="s">
        <v>28</v>
      </c>
      <c r="C8" s="16"/>
      <c r="D8" s="16"/>
      <c r="E8" s="18"/>
      <c r="F8" s="19">
        <v>63800</v>
      </c>
      <c r="G8" s="19">
        <v>51000</v>
      </c>
      <c r="H8" s="19">
        <v>48206</v>
      </c>
      <c r="I8" s="20">
        <v>37568</v>
      </c>
      <c r="J8" s="20">
        <v>26139</v>
      </c>
      <c r="K8" s="20">
        <v>20367</v>
      </c>
      <c r="L8" s="20">
        <v>16020</v>
      </c>
      <c r="M8" s="102">
        <v>15991</v>
      </c>
      <c r="N8" s="20">
        <v>13085</v>
      </c>
      <c r="O8" s="20">
        <v>16611</v>
      </c>
      <c r="P8" s="20">
        <v>16611</v>
      </c>
      <c r="Q8" s="20"/>
      <c r="R8" s="20"/>
    </row>
    <row r="9" spans="1:18" s="24" customFormat="1" ht="19">
      <c r="A9" s="34"/>
      <c r="B9" s="21" t="s">
        <v>165</v>
      </c>
      <c r="C9" s="21"/>
      <c r="D9" s="21"/>
      <c r="E9" s="15"/>
      <c r="F9" s="27">
        <f>F7+F8</f>
        <v>112000</v>
      </c>
      <c r="G9" s="27">
        <f t="shared" ref="G9:I9" si="2">G7+G8</f>
        <v>113500</v>
      </c>
      <c r="H9" s="27">
        <f t="shared" si="2"/>
        <v>119095</v>
      </c>
      <c r="I9" s="27">
        <f t="shared" si="2"/>
        <v>105808</v>
      </c>
      <c r="J9" s="27">
        <f>J7+J8</f>
        <v>90556</v>
      </c>
      <c r="K9" s="27">
        <f t="shared" ref="K9:P9" si="3">K7+K8</f>
        <v>80105</v>
      </c>
      <c r="L9" s="27">
        <f t="shared" si="3"/>
        <v>71978</v>
      </c>
      <c r="M9" s="27">
        <f t="shared" si="3"/>
        <v>71822</v>
      </c>
      <c r="N9" s="27">
        <f t="shared" si="3"/>
        <v>75571</v>
      </c>
      <c r="O9" s="27">
        <f t="shared" si="3"/>
        <v>72921</v>
      </c>
      <c r="P9" s="27">
        <f t="shared" si="3"/>
        <v>76074</v>
      </c>
      <c r="Q9" s="27"/>
      <c r="R9" s="27"/>
    </row>
    <row r="10" spans="1:18">
      <c r="A10" s="18"/>
      <c r="B10" s="29" t="s">
        <v>39</v>
      </c>
      <c r="C10" s="29"/>
      <c r="D10" s="29"/>
      <c r="E10" s="30"/>
      <c r="F10" s="31">
        <f t="shared" ref="F10:P10" si="4">F6/F13/1000</f>
        <v>8.1698300101261723E-2</v>
      </c>
      <c r="G10" s="31">
        <f t="shared" si="4"/>
        <v>7.893684350858482E-2</v>
      </c>
      <c r="H10" s="31">
        <f t="shared" si="4"/>
        <v>6.3752751262952337E-2</v>
      </c>
      <c r="I10" s="31">
        <f t="shared" si="4"/>
        <v>4.4028818603338835E-2</v>
      </c>
      <c r="J10" s="31">
        <f t="shared" si="4"/>
        <v>2.8309929291708235E-2</v>
      </c>
      <c r="K10" s="31">
        <f t="shared" si="4"/>
        <v>1.6097588945271066E-2</v>
      </c>
      <c r="L10" s="31">
        <f t="shared" si="4"/>
        <v>6.1842176814621607E-3</v>
      </c>
      <c r="M10" s="31">
        <f t="shared" si="4"/>
        <v>6.2902996733418546E-3</v>
      </c>
      <c r="N10" s="31">
        <f t="shared" si="4"/>
        <v>6.9314963275886902E-3</v>
      </c>
      <c r="O10" s="31">
        <f t="shared" si="4"/>
        <v>8.5079928952042621E-3</v>
      </c>
      <c r="P10" s="31">
        <f t="shared" si="4"/>
        <v>8.5079928952042621E-3</v>
      </c>
      <c r="Q10" s="31"/>
      <c r="R10" s="31"/>
    </row>
    <row r="11" spans="1:18">
      <c r="A11" s="18"/>
      <c r="B11" s="29" t="s">
        <v>40</v>
      </c>
      <c r="C11" s="29"/>
      <c r="D11" s="29"/>
      <c r="E11" s="30"/>
      <c r="F11" s="31">
        <f t="shared" ref="F11:P11" si="5">F6/F14/1000</f>
        <v>0.13041559573139183</v>
      </c>
      <c r="G11" s="31">
        <f t="shared" si="5"/>
        <v>0.12578748204907808</v>
      </c>
      <c r="H11" s="31">
        <f t="shared" si="5"/>
        <v>0.10168526986982786</v>
      </c>
      <c r="I11" s="31">
        <f t="shared" si="5"/>
        <v>7.0463310808203922E-2</v>
      </c>
      <c r="J11" s="31">
        <f t="shared" si="5"/>
        <v>4.5403282103961017E-2</v>
      </c>
      <c r="K11" s="31">
        <f t="shared" si="5"/>
        <v>2.6013940656561884E-2</v>
      </c>
      <c r="L11" s="31">
        <f t="shared" si="5"/>
        <v>1.0038733439362001E-2</v>
      </c>
      <c r="M11" s="31">
        <f t="shared" si="5"/>
        <v>1.0210558672097135E-2</v>
      </c>
      <c r="N11" s="31">
        <f t="shared" si="5"/>
        <v>1.1263749122396442E-2</v>
      </c>
      <c r="O11" s="31">
        <f t="shared" si="5"/>
        <v>1.3825571417427256E-2</v>
      </c>
      <c r="P11" s="31">
        <f t="shared" si="5"/>
        <v>1.3825571417427256E-2</v>
      </c>
      <c r="Q11" s="31"/>
      <c r="R11" s="31"/>
    </row>
    <row r="12" spans="1:18">
      <c r="A12" s="18"/>
      <c r="B12" s="73"/>
      <c r="C12" s="103">
        <f>C6+C9</f>
        <v>159078.56666666665</v>
      </c>
      <c r="D12" s="103">
        <f t="shared" ref="D12:P12" si="6">D6+D9</f>
        <v>168219.33333333334</v>
      </c>
      <c r="E12" s="103">
        <f t="shared" si="6"/>
        <v>186610.5</v>
      </c>
      <c r="F12" s="103">
        <f t="shared" si="6"/>
        <v>297000</v>
      </c>
      <c r="G12" s="103">
        <f t="shared" si="6"/>
        <v>293500</v>
      </c>
      <c r="H12" s="103">
        <f t="shared" si="6"/>
        <v>264008</v>
      </c>
      <c r="I12" s="103">
        <f t="shared" si="6"/>
        <v>204430</v>
      </c>
      <c r="J12" s="103">
        <f t="shared" si="6"/>
        <v>153319</v>
      </c>
      <c r="K12" s="103">
        <f t="shared" si="6"/>
        <v>114918</v>
      </c>
      <c r="L12" s="103">
        <f t="shared" si="6"/>
        <v>85170</v>
      </c>
      <c r="M12" s="103">
        <f t="shared" si="6"/>
        <v>85109</v>
      </c>
      <c r="N12" s="103">
        <f t="shared" si="6"/>
        <v>90010</v>
      </c>
      <c r="O12" s="103">
        <f t="shared" si="6"/>
        <v>90644</v>
      </c>
      <c r="P12" s="103">
        <f t="shared" si="6"/>
        <v>93797</v>
      </c>
      <c r="Q12" s="34"/>
      <c r="R12" s="34"/>
    </row>
    <row r="13" spans="1:18">
      <c r="A13" s="18"/>
      <c r="B13" s="16" t="s">
        <v>38</v>
      </c>
      <c r="C13" s="16"/>
      <c r="D13" s="16"/>
      <c r="E13" s="19">
        <v>2240.0349999999999</v>
      </c>
      <c r="F13" s="19">
        <v>2264.4290000000001</v>
      </c>
      <c r="G13" s="19">
        <v>2280.3040000000001</v>
      </c>
      <c r="H13" s="19">
        <v>2273.047</v>
      </c>
      <c r="I13" s="19">
        <v>2239.942</v>
      </c>
      <c r="J13" s="19">
        <v>2216.9960000000001</v>
      </c>
      <c r="K13" s="19">
        <v>2162.6219999999998</v>
      </c>
      <c r="L13" s="19">
        <v>2133.172</v>
      </c>
      <c r="M13" s="19">
        <v>2112.3000000000002</v>
      </c>
      <c r="N13" s="19">
        <v>2083.1</v>
      </c>
      <c r="O13" s="19">
        <v>2083.1</v>
      </c>
      <c r="P13" s="19">
        <v>2083.1</v>
      </c>
      <c r="Q13" s="18"/>
      <c r="R13" s="18"/>
    </row>
    <row r="14" spans="1:18">
      <c r="A14" s="18"/>
      <c r="B14" s="16" t="s">
        <v>41</v>
      </c>
      <c r="C14" s="16"/>
      <c r="D14" s="16"/>
      <c r="E14" s="19">
        <v>1401.7570000000001</v>
      </c>
      <c r="F14" s="19">
        <v>1418.5419999999999</v>
      </c>
      <c r="G14" s="19">
        <v>1430.9849999999999</v>
      </c>
      <c r="H14" s="19">
        <v>1425.1130000000001</v>
      </c>
      <c r="I14" s="19">
        <v>1399.6220000000001</v>
      </c>
      <c r="J14" s="19">
        <v>1382.345</v>
      </c>
      <c r="K14" s="19">
        <v>1338.2439999999999</v>
      </c>
      <c r="L14" s="19">
        <v>1314.11</v>
      </c>
      <c r="M14" s="19">
        <v>1301.3</v>
      </c>
      <c r="N14" s="19">
        <v>1281.9000000000001</v>
      </c>
      <c r="O14" s="19">
        <v>1281.9000000000001</v>
      </c>
      <c r="P14" s="19">
        <v>1281.9000000000001</v>
      </c>
      <c r="Q14" s="18"/>
      <c r="R14" s="18"/>
    </row>
    <row r="15" spans="1:18">
      <c r="A15" s="18"/>
      <c r="B15" s="16"/>
      <c r="C15" s="16"/>
      <c r="D15" s="16"/>
      <c r="E15" s="18"/>
      <c r="F15" s="18"/>
      <c r="G15" s="18"/>
      <c r="H15" s="18"/>
      <c r="I15" s="18"/>
      <c r="J15" s="18"/>
      <c r="K15" s="18"/>
      <c r="L15" s="18"/>
      <c r="M15" s="18"/>
      <c r="N15" s="18"/>
      <c r="O15" s="18"/>
      <c r="P15" s="18"/>
      <c r="Q15" s="18"/>
      <c r="R15" s="18"/>
    </row>
    <row r="16" spans="1:18" ht="19">
      <c r="A16" s="18"/>
      <c r="B16" s="14"/>
      <c r="C16" s="15"/>
      <c r="D16" s="15">
        <v>2007</v>
      </c>
      <c r="E16" s="15">
        <v>2008</v>
      </c>
      <c r="F16" s="15">
        <v>2009</v>
      </c>
      <c r="G16" s="15">
        <v>2010</v>
      </c>
      <c r="H16" s="15">
        <v>2011</v>
      </c>
      <c r="I16" s="15">
        <v>2012</v>
      </c>
      <c r="J16" s="15">
        <v>2013</v>
      </c>
      <c r="K16" s="15">
        <v>2014</v>
      </c>
      <c r="L16" s="15">
        <v>2015</v>
      </c>
      <c r="M16" s="15">
        <v>2016</v>
      </c>
      <c r="N16" s="15">
        <v>2017</v>
      </c>
      <c r="O16" s="15">
        <v>2018</v>
      </c>
      <c r="P16" s="15"/>
      <c r="Q16" s="15"/>
      <c r="R16" s="15"/>
    </row>
    <row r="17" spans="2:18">
      <c r="B17" s="19" t="s">
        <v>329</v>
      </c>
      <c r="C17" s="19"/>
      <c r="D17" s="19">
        <v>352517.33333333337</v>
      </c>
      <c r="E17" s="19">
        <v>395906.25</v>
      </c>
      <c r="F17" s="19">
        <v>505029.5</v>
      </c>
      <c r="G17" s="19">
        <v>480171.25</v>
      </c>
      <c r="H17" s="19">
        <v>419870.5</v>
      </c>
      <c r="I17" s="19">
        <v>330731.75</v>
      </c>
      <c r="J17" s="19">
        <v>252236</v>
      </c>
      <c r="K17" s="19">
        <v>188480.5</v>
      </c>
      <c r="L17" s="19">
        <v>127532.75</v>
      </c>
      <c r="M17" s="19">
        <v>115564</v>
      </c>
      <c r="N17" s="19">
        <v>90010</v>
      </c>
      <c r="O17" s="19">
        <v>87134</v>
      </c>
      <c r="P17" s="19"/>
      <c r="Q17" s="19"/>
      <c r="R17" s="19"/>
    </row>
    <row r="18" spans="2:18">
      <c r="B18" s="19"/>
      <c r="C18" s="19"/>
      <c r="D18" s="19"/>
      <c r="E18" s="19"/>
      <c r="F18" s="19"/>
      <c r="G18" s="19"/>
      <c r="H18" s="19"/>
      <c r="I18" s="19"/>
      <c r="J18" s="19"/>
      <c r="K18" s="19"/>
      <c r="L18" s="19"/>
      <c r="M18" s="19"/>
      <c r="N18" s="19"/>
      <c r="O18" s="19"/>
      <c r="P18" s="19"/>
      <c r="Q18" s="19"/>
      <c r="R18" s="19"/>
    </row>
    <row r="20" spans="2:18" ht="258" customHeight="1"/>
    <row r="21" spans="2:18" ht="240" customHeight="1"/>
  </sheetData>
  <pageMargins left="0.7" right="0.7" top="0.75" bottom="0.75" header="0.3" footer="0.3"/>
  <pageSetup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T31"/>
  <sheetViews>
    <sheetView workbookViewId="0">
      <selection activeCell="O15" sqref="O15"/>
    </sheetView>
  </sheetViews>
  <sheetFormatPr baseColWidth="10" defaultRowHeight="16"/>
  <cols>
    <col min="2" max="2" width="52.5" bestFit="1" customWidth="1"/>
    <col min="3" max="16" width="13.1640625" customWidth="1"/>
    <col min="17" max="17" width="1.6640625" bestFit="1" customWidth="1"/>
    <col min="18" max="18" width="9" bestFit="1" customWidth="1"/>
    <col min="19" max="19" width="7.1640625" bestFit="1" customWidth="1"/>
  </cols>
  <sheetData>
    <row r="1" spans="2:20">
      <c r="Q1" t="s">
        <v>35</v>
      </c>
    </row>
    <row r="2" spans="2:20">
      <c r="B2" t="s">
        <v>396</v>
      </c>
    </row>
    <row r="3" spans="2:20" ht="19">
      <c r="B3" s="10" t="s">
        <v>553</v>
      </c>
      <c r="C3" s="10">
        <v>2006</v>
      </c>
      <c r="D3" s="10">
        <v>2007</v>
      </c>
      <c r="E3" s="10">
        <v>2008</v>
      </c>
      <c r="F3" s="10">
        <v>2009</v>
      </c>
      <c r="G3" s="10">
        <v>2010</v>
      </c>
      <c r="H3" s="10">
        <v>2011</v>
      </c>
      <c r="I3" s="10">
        <v>2012</v>
      </c>
      <c r="J3" s="10">
        <v>2013</v>
      </c>
      <c r="K3" s="10">
        <v>2014</v>
      </c>
      <c r="L3" s="10">
        <v>2015</v>
      </c>
      <c r="M3" s="10">
        <v>2016</v>
      </c>
      <c r="N3" s="10">
        <v>2017</v>
      </c>
      <c r="O3" s="10">
        <v>2018</v>
      </c>
      <c r="P3" s="10">
        <v>2019</v>
      </c>
      <c r="Q3" s="10"/>
      <c r="R3" s="10" t="s">
        <v>333</v>
      </c>
      <c r="S3" s="10" t="s">
        <v>7</v>
      </c>
      <c r="T3" s="10" t="s">
        <v>293</v>
      </c>
    </row>
    <row r="4" spans="2:20">
      <c r="B4" t="s">
        <v>51</v>
      </c>
      <c r="C4" s="104">
        <f t="array" ref="C4">SUM(IF(('Summary-Data'!$E$5:$E$214=$B4)*('Summary-Data'!$B$5:$B$214=C$3),'Summary-Data'!$C$5:$C$214))</f>
        <v>72.516500000000008</v>
      </c>
      <c r="D4" s="104">
        <f t="array" ref="D4">SUM(IF(('Summary-Data'!$E$5:$E$214=$B4)*('Summary-Data'!$B$5:$B$214=D$3),'Summary-Data'!$C$5:$C$214))</f>
        <v>89</v>
      </c>
      <c r="E4" s="104">
        <f t="array" ref="E4">SUM(IF(('Summary-Data'!$E$5:$E$214=$B4)*('Summary-Data'!$B$5:$B$214=E$3),'Summary-Data'!$C$5:$C$214))</f>
        <v>101.4</v>
      </c>
      <c r="F4" s="104">
        <f t="array" ref="F4">SUM(IF(('Summary-Data'!$E$5:$E$214=$B4)*('Summary-Data'!$B$5:$B$214=F$3),'Summary-Data'!$C$5:$C$214))</f>
        <v>90.533299999999983</v>
      </c>
      <c r="G4" s="104">
        <f t="array" ref="G4">SUM(IF(('Summary-Data'!$E$5:$E$214=$B4)*('Summary-Data'!$B$5:$B$214=G$3),'Summary-Data'!$C$5:$C$214))</f>
        <v>112</v>
      </c>
      <c r="H4" s="104">
        <f t="array" ref="H4">SUM(IF(('Summary-Data'!$E$5:$E$214=$B4)*('Summary-Data'!$B$5:$B$214=H$3),'Summary-Data'!$C$5:$C$214))</f>
        <v>101.4</v>
      </c>
      <c r="I4" s="104">
        <f t="array" ref="I4">SUM(IF(('Summary-Data'!$E$5:$E$214=$B4)*('Summary-Data'!$B$5:$B$214=I$3),'Summary-Data'!$C$5:$C$214))</f>
        <v>66.7</v>
      </c>
      <c r="J4" s="104">
        <f t="array" ref="J4">SUM(IF(('Summary-Data'!$E$5:$E$214=$B4)*('Summary-Data'!$B$5:$B$214=J$3),'Summary-Data'!$C$5:$C$214))</f>
        <v>27.7</v>
      </c>
      <c r="K4" s="104">
        <f t="array" ref="K4">SUM(IF(('Summary-Data'!$E$5:$E$214=$B4)*('Summary-Data'!$B$5:$B$214=K$3),'Summary-Data'!$C$5:$C$214))</f>
        <v>26.2</v>
      </c>
      <c r="L4" s="104">
        <f t="array" ref="L4">SUM(IF(('Summary-Data'!$E$5:$E$214=$B4)*('Summary-Data'!$B$5:$B$214=L$3),'Summary-Data'!$C$5:$C$214))</f>
        <v>11.9</v>
      </c>
      <c r="M4" s="104">
        <f t="array" ref="M4">SUM(IF(('Summary-Data'!$E$5:$E$214=$B4)*('Summary-Data'!$B$5:$B$214=M$3),'Summary-Data'!$C$5:$C$214))</f>
        <v>8.8000000000000007</v>
      </c>
      <c r="N4" s="104">
        <f t="array" ref="N4">SUM(IF(('Summary-Data'!$E$5:$E$214=$B4)*('Summary-Data'!$B$5:$B$214=N$3),'Summary-Data'!$C$5:$C$214))</f>
        <v>13.5</v>
      </c>
      <c r="O4" s="104">
        <f t="array" ref="O4">SUM(IF(('Summary-Data'!$E$5:$E$214=$B4)*('Summary-Data'!$B$5:$B$214=O$3),'Summary-Data'!$C$5:$C$214))</f>
        <v>12.9</v>
      </c>
      <c r="P4" s="104">
        <f t="array" ref="P4">SUM(IF(('Summary-Data'!$E$5:$E$214=$B4)*('Summary-Data'!$B$5:$B$214=P$3),'Summary-Data'!$C$5:$C$214))</f>
        <v>14.7</v>
      </c>
      <c r="Q4" s="104"/>
      <c r="R4" s="104">
        <f>AVERAGE(C4:P4)</f>
        <v>53.517842857142867</v>
      </c>
      <c r="S4" s="104">
        <f>SUM(C4:P4)</f>
        <v>749.24980000000016</v>
      </c>
      <c r="T4" s="69">
        <f t="shared" ref="T4:T6" si="0">S4/S$17</f>
        <v>0.47065608502102146</v>
      </c>
    </row>
    <row r="5" spans="2:20">
      <c r="B5" t="s">
        <v>52</v>
      </c>
      <c r="C5" s="104">
        <f t="array" ref="C5">SUM(IF(('Summary-Data'!$E$5:$E$214=$B5)*('Summary-Data'!$B$5:$B$214=C$3),'Summary-Data'!$C$5:$C$214))</f>
        <v>0.92300000000000004</v>
      </c>
      <c r="D5" s="104">
        <f t="array" ref="D5">SUM(IF(('Summary-Data'!$E$5:$E$214=$B5)*('Summary-Data'!$B$5:$B$214=D$3),'Summary-Data'!$C$5:$C$214))</f>
        <v>1</v>
      </c>
      <c r="E5" s="104">
        <f t="array" ref="E5">SUM(IF(('Summary-Data'!$E$5:$E$214=$B5)*('Summary-Data'!$B$5:$B$214=E$3),'Summary-Data'!$C$5:$C$214))</f>
        <v>1.7</v>
      </c>
      <c r="F5" s="104">
        <f t="array" ref="F5">SUM(IF(('Summary-Data'!$E$5:$E$214=$B5)*('Summary-Data'!$B$5:$B$214=F$3),'Summary-Data'!$C$5:$C$214))</f>
        <v>1.43</v>
      </c>
      <c r="G5" s="104">
        <f t="array" ref="G5">SUM(IF(('Summary-Data'!$E$5:$E$214=$B5)*('Summary-Data'!$B$5:$B$214=G$3),'Summary-Data'!$C$5:$C$214))</f>
        <v>1.2</v>
      </c>
      <c r="H5" s="104">
        <f t="array" ref="H5">SUM(IF(('Summary-Data'!$E$5:$E$214=$B5)*('Summary-Data'!$B$5:$B$214=H$3),'Summary-Data'!$C$5:$C$214))</f>
        <v>0.9</v>
      </c>
      <c r="I5" s="104">
        <f t="array" ref="I5">SUM(IF(('Summary-Data'!$E$5:$E$214=$B5)*('Summary-Data'!$B$5:$B$214=I$3),'Summary-Data'!$C$5:$C$214))</f>
        <v>0.4</v>
      </c>
      <c r="J5" s="104">
        <f t="array" ref="J5">SUM(IF(('Summary-Data'!$E$5:$E$214=$B5)*('Summary-Data'!$B$5:$B$214=J$3),'Summary-Data'!$C$5:$C$214))</f>
        <v>23.7</v>
      </c>
      <c r="K5" s="104">
        <f t="array" ref="K5">SUM(IF(('Summary-Data'!$E$5:$E$214=$B5)*('Summary-Data'!$B$5:$B$214=K$3),'Summary-Data'!$C$5:$C$214))</f>
        <v>20.099999999999998</v>
      </c>
      <c r="L5" s="104">
        <f t="array" ref="L5">SUM(IF(('Summary-Data'!$E$5:$E$214=$B5)*('Summary-Data'!$B$5:$B$214=L$3),'Summary-Data'!$C$5:$C$214))</f>
        <v>20.200000000000003</v>
      </c>
      <c r="M5" s="104">
        <f t="array" ref="M5">SUM(IF(('Summary-Data'!$E$5:$E$214=$B5)*('Summary-Data'!$B$5:$B$214=M$3),'Summary-Data'!$C$5:$C$214))</f>
        <v>14.8</v>
      </c>
      <c r="N5" s="104">
        <f t="array" ref="N5">SUM(IF(('Summary-Data'!$E$5:$E$214=$B5)*('Summary-Data'!$B$5:$B$214=N$3),'Summary-Data'!$C$5:$C$214))</f>
        <v>19.100000000000001</v>
      </c>
      <c r="O5" s="104">
        <f t="array" ref="O5">SUM(IF(('Summary-Data'!$E$5:$E$214=$B5)*('Summary-Data'!$B$5:$B$214=O$3),'Summary-Data'!$C$5:$C$214))</f>
        <v>19.2</v>
      </c>
      <c r="P5" s="104">
        <f t="array" ref="P5">SUM(IF(('Summary-Data'!$E$5:$E$214=$B5)*('Summary-Data'!$B$5:$B$214=P$3),'Summary-Data'!$C$5:$C$214))</f>
        <v>20</v>
      </c>
      <c r="Q5" s="104"/>
      <c r="R5" s="104">
        <f t="shared" ref="R5:R16" si="1">AVERAGE(C5:P5)</f>
        <v>10.332357142857145</v>
      </c>
      <c r="S5" s="104">
        <f t="shared" ref="S5:S16" si="2">SUM(C5:P5)</f>
        <v>144.65300000000002</v>
      </c>
      <c r="T5" s="69">
        <f t="shared" si="0"/>
        <v>9.086664376359635E-2</v>
      </c>
    </row>
    <row r="6" spans="2:20">
      <c r="B6" t="s">
        <v>17</v>
      </c>
      <c r="C6" s="104">
        <f t="array" ref="C6">SUM(IF(('Summary-Data'!$E$5:$E$214=$B6)*('Summary-Data'!$B$5:$B$214=C$3),'Summary-Data'!$C$5:$C$214))</f>
        <v>3.3180000000000001</v>
      </c>
      <c r="D6" s="104">
        <f t="array" ref="D6">SUM(IF(('Summary-Data'!$E$5:$E$214=$B6)*('Summary-Data'!$B$5:$B$214=D$3),'Summary-Data'!$C$5:$C$214))</f>
        <v>4.4000000000000004</v>
      </c>
      <c r="E6" s="104">
        <f t="array" ref="E6">SUM(IF(('Summary-Data'!$E$5:$E$214=$B6)*('Summary-Data'!$B$5:$B$214=E$3),'Summary-Data'!$C$5:$C$214))</f>
        <v>4.2</v>
      </c>
      <c r="F6" s="104">
        <f t="array" ref="F6">SUM(IF(('Summary-Data'!$E$5:$E$214=$B6)*('Summary-Data'!$B$5:$B$214=F$3),'Summary-Data'!$C$5:$C$214))</f>
        <v>3.5</v>
      </c>
      <c r="G6" s="104">
        <f t="array" ref="G6">SUM(IF(('Summary-Data'!$E$5:$E$214=$B6)*('Summary-Data'!$B$5:$B$214=G$3),'Summary-Data'!$C$5:$C$214))</f>
        <v>2.2000000000000002</v>
      </c>
      <c r="H6" s="104">
        <f t="array" ref="H6">SUM(IF(('Summary-Data'!$E$5:$E$214=$B6)*('Summary-Data'!$B$5:$B$214=H$3),'Summary-Data'!$C$5:$C$214))</f>
        <v>3.3</v>
      </c>
      <c r="I6" s="104">
        <f t="array" ref="I6">SUM(IF(('Summary-Data'!$E$5:$E$214=$B6)*('Summary-Data'!$B$5:$B$214=I$3),'Summary-Data'!$C$5:$C$214))</f>
        <v>2.4</v>
      </c>
      <c r="J6" s="104">
        <f t="array" ref="J6">SUM(IF(('Summary-Data'!$E$5:$E$214=$B6)*('Summary-Data'!$B$5:$B$214=J$3),'Summary-Data'!$C$5:$C$214))</f>
        <v>1.6</v>
      </c>
      <c r="K6" s="104">
        <f t="array" ref="K6">SUM(IF(('Summary-Data'!$E$5:$E$214=$B6)*('Summary-Data'!$B$5:$B$214=K$3),'Summary-Data'!$C$5:$C$214))</f>
        <v>0.9</v>
      </c>
      <c r="L6" s="104">
        <f t="array" ref="L6">SUM(IF(('Summary-Data'!$E$5:$E$214=$B6)*('Summary-Data'!$B$5:$B$214=L$3),'Summary-Data'!$C$5:$C$214))</f>
        <v>0.7</v>
      </c>
      <c r="M6" s="104">
        <f t="array" ref="M6">SUM(IF(('Summary-Data'!$E$5:$E$214=$B6)*('Summary-Data'!$B$5:$B$214=M$3),'Summary-Data'!$C$5:$C$214))</f>
        <v>0.4</v>
      </c>
      <c r="N6" s="104">
        <f t="array" ref="N6">SUM(IF(('Summary-Data'!$E$5:$E$214=$B6)*('Summary-Data'!$B$5:$B$214=N$3),'Summary-Data'!$C$5:$C$214))</f>
        <v>0.5</v>
      </c>
      <c r="O6" s="104">
        <f t="array" ref="O6">SUM(IF(('Summary-Data'!$E$5:$E$214=$B6)*('Summary-Data'!$B$5:$B$214=O$3),'Summary-Data'!$C$5:$C$214))</f>
        <v>0.5</v>
      </c>
      <c r="P6" s="104">
        <f t="array" ref="P6">SUM(IF(('Summary-Data'!$E$5:$E$214=$B6)*('Summary-Data'!$B$5:$B$214=P$3),'Summary-Data'!$C$5:$C$214))</f>
        <v>0.6</v>
      </c>
      <c r="Q6" s="104"/>
      <c r="R6" s="104">
        <f t="shared" si="1"/>
        <v>2.0369999999999999</v>
      </c>
      <c r="S6" s="104">
        <f t="shared" si="2"/>
        <v>28.517999999999997</v>
      </c>
      <c r="T6" s="69">
        <f t="shared" si="0"/>
        <v>1.7914145899844733E-2</v>
      </c>
    </row>
    <row r="7" spans="2:20">
      <c r="B7" t="s">
        <v>289</v>
      </c>
      <c r="C7" s="104">
        <f t="array" ref="C7">SUM(IF(('Summary-Data'!$E$5:$E$214=$B7)*('Summary-Data'!$B$5:$B$214=C$3),'Summary-Data'!$C$5:$C$214))</f>
        <v>0</v>
      </c>
      <c r="D7" s="104">
        <f t="array" ref="D7">SUM(IF(('Summary-Data'!$E$5:$E$214=$B7)*('Summary-Data'!$B$5:$B$214=D$3),'Summary-Data'!$C$5:$C$214))</f>
        <v>7.4</v>
      </c>
      <c r="E7" s="104">
        <f t="array" ref="E7">SUM(IF(('Summary-Data'!$E$5:$E$214=$B7)*('Summary-Data'!$B$5:$B$214=E$3),'Summary-Data'!$C$5:$C$214))</f>
        <v>2.7</v>
      </c>
      <c r="F7" s="104">
        <f t="array" ref="F7">SUM(IF(('Summary-Data'!$E$5:$E$214=$B7)*('Summary-Data'!$B$5:$B$214=F$3),'Summary-Data'!$C$5:$C$214))</f>
        <v>5.6068999999999996</v>
      </c>
      <c r="G7" s="104">
        <f t="array" ref="G7">SUM(IF(('Summary-Data'!$E$5:$E$214=$B7)*('Summary-Data'!$B$5:$B$214=G$3),'Summary-Data'!$C$5:$C$214))</f>
        <v>9.1999999999999993</v>
      </c>
      <c r="H7" s="104">
        <f t="array" ref="H7">SUM(IF(('Summary-Data'!$E$5:$E$214=$B7)*('Summary-Data'!$B$5:$B$214=H$3),'Summary-Data'!$C$5:$C$214))</f>
        <v>12</v>
      </c>
      <c r="I7" s="104">
        <f t="array" ref="I7">SUM(IF(('Summary-Data'!$E$5:$E$214=$B7)*('Summary-Data'!$B$5:$B$214=I$3),'Summary-Data'!$C$5:$C$214))</f>
        <v>11.6</v>
      </c>
      <c r="J7" s="104">
        <f t="array" ref="J7">SUM(IF(('Summary-Data'!$E$5:$E$214=$B7)*('Summary-Data'!$B$5:$B$214=J$3),'Summary-Data'!$C$5:$C$214))</f>
        <v>5.6</v>
      </c>
      <c r="K7" s="104">
        <f t="array" ref="K7">SUM(IF(('Summary-Data'!$E$5:$E$214=$B7)*('Summary-Data'!$B$5:$B$214=K$3),'Summary-Data'!$C$5:$C$214))</f>
        <v>5</v>
      </c>
      <c r="L7" s="104">
        <f t="array" ref="L7">SUM(IF(('Summary-Data'!$E$5:$E$214=$B7)*('Summary-Data'!$B$5:$B$214=L$3),'Summary-Data'!$C$5:$C$214))</f>
        <v>4.0999999999999996</v>
      </c>
      <c r="M7" s="104">
        <f t="array" ref="M7">SUM(IF(('Summary-Data'!$E$5:$E$214=$B7)*('Summary-Data'!$B$5:$B$214=M$3),'Summary-Data'!$C$5:$C$214))</f>
        <v>3.6</v>
      </c>
      <c r="N7" s="104">
        <f t="array" ref="N7">SUM(IF(('Summary-Data'!$E$5:$E$214=$B7)*('Summary-Data'!$B$5:$B$214=N$3),'Summary-Data'!$C$5:$C$214))</f>
        <v>4.2</v>
      </c>
      <c r="O7" s="104">
        <f t="array" ref="O7">SUM(IF(('Summary-Data'!$E$5:$E$214=$B7)*('Summary-Data'!$B$5:$B$214=O$3),'Summary-Data'!$C$5:$C$214))</f>
        <v>4.9000000000000004</v>
      </c>
      <c r="P7" s="104">
        <f t="array" ref="P7">SUM(IF(('Summary-Data'!$E$5:$E$214=$B7)*('Summary-Data'!$B$5:$B$214=P$3),'Summary-Data'!$C$5:$C$214))</f>
        <v>5.2</v>
      </c>
      <c r="Q7" s="104"/>
      <c r="R7" s="104">
        <f t="shared" si="1"/>
        <v>5.7933500000000011</v>
      </c>
      <c r="S7" s="104">
        <f t="shared" si="2"/>
        <v>81.10690000000001</v>
      </c>
      <c r="T7" s="69">
        <f t="shared" ref="T7:T15" si="3">S7/S$17</f>
        <v>5.0948903853149485E-2</v>
      </c>
    </row>
    <row r="8" spans="2:20">
      <c r="B8" t="s">
        <v>24</v>
      </c>
      <c r="C8" s="104">
        <f t="array" ref="C8">SUM(IF(('Summary-Data'!$E$5:$E$214=$B8)*('Summary-Data'!$B$5:$B$214=C$3),'Summary-Data'!$C$5:$C$214))</f>
        <v>1.2</v>
      </c>
      <c r="D8" s="104">
        <f t="array" ref="D8">SUM(IF(('Summary-Data'!$E$5:$E$214=$B8)*('Summary-Data'!$B$5:$B$214=D$3),'Summary-Data'!$C$5:$C$214))</f>
        <v>1.4</v>
      </c>
      <c r="E8" s="104">
        <f t="array" ref="E8">SUM(IF(('Summary-Data'!$E$5:$E$214=$B8)*('Summary-Data'!$B$5:$B$214=E$3),'Summary-Data'!$C$5:$C$214))</f>
        <v>1.4</v>
      </c>
      <c r="F8" s="104">
        <f t="array" ref="F8">SUM(IF(('Summary-Data'!$E$5:$E$214=$B8)*('Summary-Data'!$B$5:$B$214=F$3),'Summary-Data'!$C$5:$C$214))</f>
        <v>1.73</v>
      </c>
      <c r="G8" s="104">
        <f t="array" ref="G8">SUM(IF(('Summary-Data'!$E$5:$E$214=$B8)*('Summary-Data'!$B$5:$B$214=G$3),'Summary-Data'!$C$5:$C$214))</f>
        <v>1.9</v>
      </c>
      <c r="H8" s="104">
        <f t="array" ref="H8">SUM(IF(('Summary-Data'!$E$5:$E$214=$B8)*('Summary-Data'!$B$5:$B$214=H$3),'Summary-Data'!$C$5:$C$214))</f>
        <v>2</v>
      </c>
      <c r="I8" s="104">
        <f t="array" ref="I8">SUM(IF(('Summary-Data'!$E$5:$E$214=$B8)*('Summary-Data'!$B$5:$B$214=I$3),'Summary-Data'!$C$5:$C$214))</f>
        <v>2.1</v>
      </c>
      <c r="J8" s="104">
        <f t="array" ref="J8">SUM(IF(('Summary-Data'!$E$5:$E$214=$B8)*('Summary-Data'!$B$5:$B$214=J$3),'Summary-Data'!$C$5:$C$214))</f>
        <v>2.1</v>
      </c>
      <c r="K8" s="104">
        <f t="array" ref="K8">SUM(IF(('Summary-Data'!$E$5:$E$214=$B8)*('Summary-Data'!$B$5:$B$214=K$3),'Summary-Data'!$C$5:$C$214))</f>
        <v>1.7</v>
      </c>
      <c r="L8" s="104">
        <f t="array" ref="L8">SUM(IF(('Summary-Data'!$E$5:$E$214=$B8)*('Summary-Data'!$B$5:$B$214=L$3),'Summary-Data'!$C$5:$C$214))</f>
        <v>1.7</v>
      </c>
      <c r="M8" s="104">
        <f t="array" ref="M8">SUM(IF(('Summary-Data'!$E$5:$E$214=$B8)*('Summary-Data'!$B$5:$B$214=M$3),'Summary-Data'!$C$5:$C$214))</f>
        <v>1.4</v>
      </c>
      <c r="N8" s="104">
        <f t="array" ref="N8">SUM(IF(('Summary-Data'!$E$5:$E$214=$B8)*('Summary-Data'!$B$5:$B$214=N$3),'Summary-Data'!$C$5:$C$214))</f>
        <v>1.4</v>
      </c>
      <c r="O8" s="104">
        <f t="array" ref="O8">SUM(IF(('Summary-Data'!$E$5:$E$214=$B8)*('Summary-Data'!$B$5:$B$214=O$3),'Summary-Data'!$C$5:$C$214))</f>
        <v>1.3</v>
      </c>
      <c r="P8" s="104">
        <f t="array" ref="P8">SUM(IF(('Summary-Data'!$E$5:$E$214=$B8)*('Summary-Data'!$B$5:$B$214=P$3),'Summary-Data'!$C$5:$C$214))</f>
        <v>1.1000000000000001</v>
      </c>
      <c r="Q8" s="104"/>
      <c r="R8" s="104">
        <f t="shared" si="1"/>
        <v>1.6021428571428569</v>
      </c>
      <c r="S8" s="104">
        <f t="shared" si="2"/>
        <v>22.429999999999996</v>
      </c>
      <c r="T8" s="69">
        <f t="shared" si="3"/>
        <v>1.4089848254909788E-2</v>
      </c>
    </row>
    <row r="9" spans="2:20">
      <c r="B9" t="s">
        <v>49</v>
      </c>
      <c r="C9" s="104">
        <f t="array" ref="C9">SUM(IF(('Summary-Data'!$E$5:$E$214=$B9)*('Summary-Data'!$B$5:$B$214=C$3),'Summary-Data'!$C$5:$C$214))</f>
        <v>4.9150999999999998</v>
      </c>
      <c r="D9" s="104">
        <f t="array" ref="D9">SUM(IF(('Summary-Data'!$E$5:$E$214=$B9)*('Summary-Data'!$B$5:$B$214=D$3),'Summary-Data'!$C$5:$C$214))</f>
        <v>5.5</v>
      </c>
      <c r="E9" s="104">
        <f t="array" ref="E9">SUM(IF(('Summary-Data'!$E$5:$E$214=$B9)*('Summary-Data'!$B$5:$B$214=E$3),'Summary-Data'!$C$5:$C$214))</f>
        <v>3</v>
      </c>
      <c r="F9" s="104">
        <f t="array" ref="F9">SUM(IF(('Summary-Data'!$E$5:$E$214=$B9)*('Summary-Data'!$B$5:$B$214=F$3),'Summary-Data'!$C$5:$C$214))</f>
        <v>1.4</v>
      </c>
      <c r="G9" s="104">
        <f t="array" ref="G9">SUM(IF(('Summary-Data'!$E$5:$E$214=$B9)*('Summary-Data'!$B$5:$B$214=G$3),'Summary-Data'!$C$5:$C$214))</f>
        <v>1</v>
      </c>
      <c r="H9" s="104">
        <f t="array" ref="H9">SUM(IF(('Summary-Data'!$E$5:$E$214=$B9)*('Summary-Data'!$B$5:$B$214=H$3),'Summary-Data'!$C$5:$C$214))</f>
        <v>2</v>
      </c>
      <c r="I9" s="104">
        <f t="array" ref="I9">SUM(IF(('Summary-Data'!$E$5:$E$214=$B9)*('Summary-Data'!$B$5:$B$214=I$3),'Summary-Data'!$C$5:$C$214))</f>
        <v>0</v>
      </c>
      <c r="J9" s="104">
        <f t="array" ref="J9">SUM(IF(('Summary-Data'!$E$5:$E$214=$B9)*('Summary-Data'!$B$5:$B$214=J$3),'Summary-Data'!$C$5:$C$214))</f>
        <v>0</v>
      </c>
      <c r="K9" s="104">
        <f t="array" ref="K9">SUM(IF(('Summary-Data'!$E$5:$E$214=$B9)*('Summary-Data'!$B$5:$B$214=K$3),'Summary-Data'!$C$5:$C$214))</f>
        <v>0</v>
      </c>
      <c r="L9" s="104">
        <f t="array" ref="L9">SUM(IF(('Summary-Data'!$E$5:$E$214=$B9)*('Summary-Data'!$B$5:$B$214=L$3),'Summary-Data'!$C$5:$C$214))</f>
        <v>2.1</v>
      </c>
      <c r="M9" s="104">
        <f t="array" ref="M9">SUM(IF(('Summary-Data'!$E$5:$E$214=$B9)*('Summary-Data'!$B$5:$B$214=M$3),'Summary-Data'!$C$5:$C$214))</f>
        <v>0.7</v>
      </c>
      <c r="N9" s="104">
        <f t="array" ref="N9">SUM(IF(('Summary-Data'!$E$5:$E$214=$B9)*('Summary-Data'!$B$5:$B$214=N$3),'Summary-Data'!$C$5:$C$214))</f>
        <v>1.8</v>
      </c>
      <c r="O9" s="104">
        <f t="array" ref="O9">SUM(IF(('Summary-Data'!$E$5:$E$214=$B9)*('Summary-Data'!$B$5:$B$214=O$3),'Summary-Data'!$C$5:$C$214))</f>
        <v>1.8</v>
      </c>
      <c r="P9" s="104">
        <f t="array" ref="P9">SUM(IF(('Summary-Data'!$E$5:$E$214=$B9)*('Summary-Data'!$B$5:$B$214=P$3),'Summary-Data'!$C$5:$C$214))</f>
        <v>1.4</v>
      </c>
      <c r="Q9" s="104"/>
      <c r="R9" s="104">
        <f t="shared" si="1"/>
        <v>1.8296500000000002</v>
      </c>
      <c r="S9" s="104">
        <f t="shared" si="2"/>
        <v>25.615100000000002</v>
      </c>
      <c r="T9" s="69">
        <f t="shared" si="3"/>
        <v>1.609063183389834E-2</v>
      </c>
    </row>
    <row r="10" spans="2:20">
      <c r="B10" t="s">
        <v>26</v>
      </c>
      <c r="C10" s="104">
        <f t="array" ref="C10">SUM(IF(('Summary-Data'!$E$5:$E$214=$B10)*('Summary-Data'!$B$5:$B$214=C$3),'Summary-Data'!$C$5:$C$214))</f>
        <v>19.1998</v>
      </c>
      <c r="D10" s="104">
        <f t="array" ref="D10">SUM(IF(('Summary-Data'!$E$5:$E$214=$B10)*('Summary-Data'!$B$5:$B$214=D$3),'Summary-Data'!$C$5:$C$214))</f>
        <v>36.299999999999997</v>
      </c>
      <c r="E10" s="104">
        <f t="array" ref="E10">SUM(IF(('Summary-Data'!$E$5:$E$214=$B10)*('Summary-Data'!$B$5:$B$214=E$3),'Summary-Data'!$C$5:$C$214))</f>
        <v>50.5</v>
      </c>
      <c r="F10" s="104">
        <f t="array" ref="F10">SUM(IF(('Summary-Data'!$E$5:$E$214=$B10)*('Summary-Data'!$B$5:$B$214=F$3),'Summary-Data'!$C$5:$C$214))</f>
        <v>23.176200000000001</v>
      </c>
      <c r="G10" s="104">
        <f t="array" ref="G10">SUM(IF(('Summary-Data'!$E$5:$E$214=$B10)*('Summary-Data'!$B$5:$B$214=G$3),'Summary-Data'!$C$5:$C$214))</f>
        <v>18.7</v>
      </c>
      <c r="H10" s="104">
        <f t="array" ref="H10">SUM(IF(('Summary-Data'!$E$5:$E$214=$B10)*('Summary-Data'!$B$5:$B$214=H$3),'Summary-Data'!$C$5:$C$214))</f>
        <v>21.4</v>
      </c>
      <c r="I10" s="104">
        <f t="array" ref="I10">SUM(IF(('Summary-Data'!$E$5:$E$214=$B10)*('Summary-Data'!$B$5:$B$214=I$3),'Summary-Data'!$C$5:$C$214))</f>
        <v>13</v>
      </c>
      <c r="J10" s="104">
        <f t="array" ref="J10">SUM(IF(('Summary-Data'!$E$5:$E$214=$B10)*('Summary-Data'!$B$5:$B$214=J$3),'Summary-Data'!$C$5:$C$214))</f>
        <v>11.1</v>
      </c>
      <c r="K10" s="104">
        <f t="array" ref="K10">SUM(IF(('Summary-Data'!$E$5:$E$214=$B10)*('Summary-Data'!$B$5:$B$214=K$3),'Summary-Data'!$C$5:$C$214))</f>
        <v>8.8000000000000007</v>
      </c>
      <c r="L10" s="104">
        <f t="array" ref="L10">SUM(IF(('Summary-Data'!$E$5:$E$214=$B10)*('Summary-Data'!$B$5:$B$214=L$3),'Summary-Data'!$C$5:$C$214))</f>
        <v>8.3000000000000007</v>
      </c>
      <c r="M10" s="104">
        <f t="array" ref="M10">SUM(IF(('Summary-Data'!$E$5:$E$214=$B10)*('Summary-Data'!$B$5:$B$214=M$3),'Summary-Data'!$C$5:$C$214))</f>
        <v>11.6</v>
      </c>
      <c r="N10" s="104">
        <f t="array" ref="N10">SUM(IF(('Summary-Data'!$E$5:$E$214=$B10)*('Summary-Data'!$B$5:$B$214=N$3),'Summary-Data'!$C$5:$C$214))</f>
        <v>10.1</v>
      </c>
      <c r="O10" s="104">
        <f t="array" ref="O10">SUM(IF(('Summary-Data'!$E$5:$E$214=$B10)*('Summary-Data'!$B$5:$B$214=O$3),'Summary-Data'!$C$5:$C$214))</f>
        <v>9.1</v>
      </c>
      <c r="P10" s="104">
        <f t="array" ref="P10">SUM(IF(('Summary-Data'!$E$5:$E$214=$B10)*('Summary-Data'!$B$5:$B$214=P$3),'Summary-Data'!$C$5:$C$214))</f>
        <v>8.6999999999999993</v>
      </c>
      <c r="Q10" s="104"/>
      <c r="R10" s="104">
        <f t="shared" si="1"/>
        <v>17.855428571428568</v>
      </c>
      <c r="S10" s="104">
        <f t="shared" si="2"/>
        <v>249.97599999999997</v>
      </c>
      <c r="T10" s="69">
        <f t="shared" si="3"/>
        <v>0.15702736992284125</v>
      </c>
    </row>
    <row r="11" spans="2:20">
      <c r="B11" t="s">
        <v>33</v>
      </c>
      <c r="C11" s="104">
        <f t="array" ref="C11">SUM(IF(('Summary-Data'!$E$5:$E$214=$B11)*('Summary-Data'!$B$5:$B$214=C$3),'Summary-Data'!$C$5:$C$214))</f>
        <v>7.2399999999999993</v>
      </c>
      <c r="D11" s="104">
        <f t="array" ref="D11">SUM(IF(('Summary-Data'!$E$5:$E$214=$B11)*('Summary-Data'!$B$5:$B$214=D$3),'Summary-Data'!$C$5:$C$214))</f>
        <v>9.3000000000000007</v>
      </c>
      <c r="E11" s="104">
        <f t="array" ref="E11">SUM(IF(('Summary-Data'!$E$5:$E$214=$B11)*('Summary-Data'!$B$5:$B$214=E$3),'Summary-Data'!$C$5:$C$214))</f>
        <v>11.5</v>
      </c>
      <c r="F11" s="104">
        <f t="array" ref="F11">SUM(IF(('Summary-Data'!$E$5:$E$214=$B11)*('Summary-Data'!$B$5:$B$214=F$3),'Summary-Data'!$C$5:$C$214))</f>
        <v>11.2021</v>
      </c>
      <c r="G11" s="104">
        <f t="array" ref="G11">SUM(IF(('Summary-Data'!$E$5:$E$214=$B11)*('Summary-Data'!$B$5:$B$214=G$3),'Summary-Data'!$C$5:$C$214))</f>
        <v>11.2</v>
      </c>
      <c r="H11" s="104">
        <f t="array" ref="H11">SUM(IF(('Summary-Data'!$E$5:$E$214=$B11)*('Summary-Data'!$B$5:$B$214=H$3),'Summary-Data'!$C$5:$C$214))</f>
        <v>12.6</v>
      </c>
      <c r="I11" s="104">
        <f t="array" ref="I11">SUM(IF(('Summary-Data'!$E$5:$E$214=$B11)*('Summary-Data'!$B$5:$B$214=I$3),'Summary-Data'!$C$5:$C$214))</f>
        <v>11.2</v>
      </c>
      <c r="J11" s="104">
        <f t="array" ref="J11">SUM(IF(('Summary-Data'!$E$5:$E$214=$B11)*('Summary-Data'!$B$5:$B$214=J$3),'Summary-Data'!$C$5:$C$214))</f>
        <v>9.3000000000000007</v>
      </c>
      <c r="K11" s="104">
        <f t="array" ref="K11">SUM(IF(('Summary-Data'!$E$5:$E$214=$B11)*('Summary-Data'!$B$5:$B$214=K$3),'Summary-Data'!$C$5:$C$214))</f>
        <v>17.8</v>
      </c>
      <c r="L11" s="104">
        <f t="array" ref="L11">SUM(IF(('Summary-Data'!$E$5:$E$214=$B11)*('Summary-Data'!$B$5:$B$214=L$3),'Summary-Data'!$C$5:$C$214))</f>
        <v>8.3000000000000007</v>
      </c>
      <c r="M11" s="104">
        <f t="array" ref="M11">SUM(IF(('Summary-Data'!$E$5:$E$214=$B11)*('Summary-Data'!$B$5:$B$214=M$3),'Summary-Data'!$C$5:$C$214))</f>
        <v>8.1</v>
      </c>
      <c r="N11" s="104">
        <f t="array" ref="N11">SUM(IF(('Summary-Data'!$E$5:$E$214=$B11)*('Summary-Data'!$B$5:$B$214=N$3),'Summary-Data'!$C$5:$C$214))</f>
        <v>9.5</v>
      </c>
      <c r="O11" s="104">
        <f t="array" ref="O11">SUM(IF(('Summary-Data'!$E$5:$E$214=$B11)*('Summary-Data'!$B$5:$B$214=O$3),'Summary-Data'!$C$5:$C$214))</f>
        <v>10.4</v>
      </c>
      <c r="P11" s="104">
        <f t="array" ref="P11">SUM(IF(('Summary-Data'!$E$5:$E$214=$B11)*('Summary-Data'!$B$5:$B$214=P$3),'Summary-Data'!$C$5:$C$214))</f>
        <v>9.9</v>
      </c>
      <c r="Q11" s="104"/>
      <c r="R11" s="104">
        <f t="shared" si="1"/>
        <v>10.538721428571426</v>
      </c>
      <c r="S11" s="104">
        <f t="shared" si="2"/>
        <v>147.54209999999998</v>
      </c>
      <c r="T11" s="69">
        <f t="shared" si="3"/>
        <v>9.2681489086523641E-2</v>
      </c>
    </row>
    <row r="12" spans="2:20">
      <c r="B12" t="s">
        <v>332</v>
      </c>
      <c r="C12" s="104">
        <f t="array" ref="C12">SUM(IF(('Summary-Data'!$E$5:$E$214=$B12)*('Summary-Data'!$B$5:$B$214=C$3),'Summary-Data'!$C$5:$C$214))</f>
        <v>0</v>
      </c>
      <c r="D12" s="104">
        <f t="array" ref="D12">SUM(IF(('Summary-Data'!$E$5:$E$214=$B12)*('Summary-Data'!$B$5:$B$214=D$3),'Summary-Data'!$C$5:$C$214))</f>
        <v>0</v>
      </c>
      <c r="E12" s="104">
        <f t="array" ref="E12">SUM(IF(('Summary-Data'!$E$5:$E$214=$B12)*('Summary-Data'!$B$5:$B$214=E$3),'Summary-Data'!$C$5:$C$214))</f>
        <v>0</v>
      </c>
      <c r="F12" s="104">
        <f t="array" ref="F12">SUM(IF(('Summary-Data'!$E$5:$E$214=$B12)*('Summary-Data'!$B$5:$B$214=F$3),'Summary-Data'!$C$5:$C$214))</f>
        <v>0</v>
      </c>
      <c r="G12" s="104">
        <f t="array" ref="G12">SUM(IF(('Summary-Data'!$E$5:$E$214=$B12)*('Summary-Data'!$B$5:$B$214=G$3),'Summary-Data'!$C$5:$C$214))</f>
        <v>0</v>
      </c>
      <c r="H12" s="104">
        <f t="array" ref="H12">SUM(IF(('Summary-Data'!$E$5:$E$214=$B12)*('Summary-Data'!$B$5:$B$214=H$3),'Summary-Data'!$C$5:$C$214))</f>
        <v>0</v>
      </c>
      <c r="I12" s="104">
        <f t="array" ref="I12">SUM(IF(('Summary-Data'!$E$5:$E$214=$B12)*('Summary-Data'!$B$5:$B$214=I$3),'Summary-Data'!$C$5:$C$214))</f>
        <v>0</v>
      </c>
      <c r="J12" s="104">
        <f t="array" ref="J12">SUM(IF(('Summary-Data'!$E$5:$E$214=$B12)*('Summary-Data'!$B$5:$B$214=J$3),'Summary-Data'!$C$5:$C$214))</f>
        <v>0</v>
      </c>
      <c r="K12" s="104">
        <f t="array" ref="K12">SUM(IF(('Summary-Data'!$E$5:$E$214=$B12)*('Summary-Data'!$B$5:$B$214=K$3),'Summary-Data'!$C$5:$C$214))</f>
        <v>0</v>
      </c>
      <c r="L12" s="104">
        <f t="array" ref="L12">SUM(IF(('Summary-Data'!$E$5:$E$214=$B12)*('Summary-Data'!$B$5:$B$214=L$3),'Summary-Data'!$C$5:$C$214))</f>
        <v>1.8</v>
      </c>
      <c r="M12" s="104">
        <f t="array" ref="M12">SUM(IF(('Summary-Data'!$E$5:$E$214=$B12)*('Summary-Data'!$B$5:$B$214=M$3),'Summary-Data'!$C$5:$C$214))</f>
        <v>1.9000000000000001</v>
      </c>
      <c r="N12" s="104">
        <f t="array" ref="N12">SUM(IF(('Summary-Data'!$E$5:$E$214=$B12)*('Summary-Data'!$B$5:$B$214=N$3),'Summary-Data'!$C$5:$C$214))</f>
        <v>4.4000000000000004</v>
      </c>
      <c r="O12" s="104">
        <f t="array" ref="O12">SUM(IF(('Summary-Data'!$E$5:$E$214=$B12)*('Summary-Data'!$B$5:$B$214=O$3),'Summary-Data'!$C$5:$C$214))</f>
        <v>5.7</v>
      </c>
      <c r="P12" s="104">
        <f t="array" ref="P12">SUM(IF(('Summary-Data'!$E$5:$E$214=$B12)*('Summary-Data'!$B$5:$B$214=P$3),'Summary-Data'!$C$5:$C$214))</f>
        <v>7.4</v>
      </c>
      <c r="Q12" s="104"/>
      <c r="R12" s="104">
        <f t="shared" si="1"/>
        <v>1.5142857142857145</v>
      </c>
      <c r="S12" s="104">
        <f t="shared" si="2"/>
        <v>21.200000000000003</v>
      </c>
      <c r="T12" s="69">
        <f t="shared" si="3"/>
        <v>1.3317199420601319E-2</v>
      </c>
    </row>
    <row r="13" spans="2:20">
      <c r="B13" t="s">
        <v>331</v>
      </c>
      <c r="C13" s="104">
        <f t="array" ref="C13">SUM(IF(('Summary-Data'!$E$5:$E$214=$B13)*('Summary-Data'!$B$5:$B$214=C$3),'Summary-Data'!$C$5:$C$214))</f>
        <v>5.2148000000000003</v>
      </c>
      <c r="D13" s="104">
        <f t="array" ref="D13">SUM(IF(('Summary-Data'!$E$5:$E$214=$B13)*('Summary-Data'!$B$5:$B$214=D$3),'Summary-Data'!$C$5:$C$214))</f>
        <v>6.9</v>
      </c>
      <c r="E13" s="104">
        <f t="array" ref="E13">SUM(IF(('Summary-Data'!$E$5:$E$214=$B13)*('Summary-Data'!$B$5:$B$214=E$3),'Summary-Data'!$C$5:$C$214))</f>
        <v>3.7</v>
      </c>
      <c r="F13" s="104">
        <f t="array" ref="F13">SUM(IF(('Summary-Data'!$E$5:$E$214=$B13)*('Summary-Data'!$B$5:$B$214=F$3),'Summary-Data'!$C$5:$C$214))</f>
        <v>6.2436000000000007</v>
      </c>
      <c r="G13" s="104">
        <f t="array" ref="G13">SUM(IF(('Summary-Data'!$E$5:$E$214=$B13)*('Summary-Data'!$B$5:$B$214=G$3),'Summary-Data'!$C$5:$C$214))</f>
        <v>1.9</v>
      </c>
      <c r="H13" s="104">
        <f t="array" ref="H13">SUM(IF(('Summary-Data'!$E$5:$E$214=$B13)*('Summary-Data'!$B$5:$B$214=H$3),'Summary-Data'!$C$5:$C$214))</f>
        <v>1.2</v>
      </c>
      <c r="I13" s="104">
        <f t="array" ref="I13">SUM(IF(('Summary-Data'!$E$5:$E$214=$B13)*('Summary-Data'!$B$5:$B$214=I$3),'Summary-Data'!$C$5:$C$214))</f>
        <v>0.3</v>
      </c>
      <c r="J13" s="104">
        <f t="array" ref="J13">SUM(IF(('Summary-Data'!$E$5:$E$214=$B13)*('Summary-Data'!$B$5:$B$214=J$3),'Summary-Data'!$C$5:$C$214))</f>
        <v>0.2</v>
      </c>
      <c r="K13" s="104">
        <f t="array" ref="K13">SUM(IF(('Summary-Data'!$E$5:$E$214=$B13)*('Summary-Data'!$B$5:$B$214=K$3),'Summary-Data'!$C$5:$C$214))</f>
        <v>0</v>
      </c>
      <c r="L13" s="104">
        <f t="array" ref="L13">SUM(IF(('Summary-Data'!$E$5:$E$214=$B13)*('Summary-Data'!$B$5:$B$214=L$3),'Summary-Data'!$C$5:$C$214))</f>
        <v>0</v>
      </c>
      <c r="M13" s="104">
        <f t="array" ref="M13">SUM(IF(('Summary-Data'!$E$5:$E$214=$B13)*('Summary-Data'!$B$5:$B$214=M$3),'Summary-Data'!$C$5:$C$214))</f>
        <v>0</v>
      </c>
      <c r="N13" s="104">
        <f t="array" ref="N13">SUM(IF(('Summary-Data'!$E$5:$E$214=$B13)*('Summary-Data'!$B$5:$B$214=N$3),'Summary-Data'!$C$5:$C$214))</f>
        <v>0</v>
      </c>
      <c r="O13" s="104">
        <f t="array" ref="O13">SUM(IF(('Summary-Data'!$E$5:$E$214=$B13)*('Summary-Data'!$B$5:$B$214=O$3),'Summary-Data'!$C$5:$C$214))</f>
        <v>0</v>
      </c>
      <c r="P13" s="104">
        <f t="array" ref="P13">SUM(IF(('Summary-Data'!$E$5:$E$214=$B13)*('Summary-Data'!$B$5:$B$214=P$3),'Summary-Data'!$C$5:$C$214))</f>
        <v>0</v>
      </c>
      <c r="Q13" s="104"/>
      <c r="R13" s="104">
        <f t="shared" si="1"/>
        <v>1.8327428571428572</v>
      </c>
      <c r="S13" s="104">
        <f t="shared" si="2"/>
        <v>25.6584</v>
      </c>
      <c r="T13" s="69">
        <f t="shared" si="3"/>
        <v>1.6117831585545136E-2</v>
      </c>
    </row>
    <row r="14" spans="2:20">
      <c r="B14" t="s">
        <v>22</v>
      </c>
      <c r="C14" s="104">
        <f t="array" ref="C14">SUM(IF(('Summary-Data'!$E$5:$E$214=$B14)*('Summary-Data'!$B$5:$B$214=C$3),'Summary-Data'!$C$5:$C$214))</f>
        <v>0</v>
      </c>
      <c r="D14" s="104">
        <f t="array" ref="D14">SUM(IF(('Summary-Data'!$E$5:$E$214=$B14)*('Summary-Data'!$B$5:$B$214=D$3),'Summary-Data'!$C$5:$C$214))</f>
        <v>0</v>
      </c>
      <c r="E14" s="104">
        <f t="array" ref="E14">SUM(IF(('Summary-Data'!$E$5:$E$214=$B14)*('Summary-Data'!$B$5:$B$214=E$3),'Summary-Data'!$C$5:$C$214))</f>
        <v>0</v>
      </c>
      <c r="F14" s="104">
        <f t="array" ref="F14">SUM(IF(('Summary-Data'!$E$5:$E$214=$B14)*('Summary-Data'!$B$5:$B$214=F$3),'Summary-Data'!$C$5:$C$214))</f>
        <v>0</v>
      </c>
      <c r="G14" s="104">
        <f t="array" ref="G14">SUM(IF(('Summary-Data'!$E$5:$E$214=$B14)*('Summary-Data'!$B$5:$B$214=G$3),'Summary-Data'!$C$5:$C$214))</f>
        <v>1.4</v>
      </c>
      <c r="H14" s="104">
        <f t="array" ref="H14">SUM(IF(('Summary-Data'!$E$5:$E$214=$B14)*('Summary-Data'!$B$5:$B$214=H$3),'Summary-Data'!$C$5:$C$214))</f>
        <v>2.6</v>
      </c>
      <c r="I14" s="104">
        <f t="array" ref="I14">SUM(IF(('Summary-Data'!$E$5:$E$214=$B14)*('Summary-Data'!$B$5:$B$214=I$3),'Summary-Data'!$C$5:$C$214))</f>
        <v>2.2000000000000002</v>
      </c>
      <c r="J14" s="104">
        <f t="array" ref="J14">SUM(IF(('Summary-Data'!$E$5:$E$214=$B14)*('Summary-Data'!$B$5:$B$214=J$3),'Summary-Data'!$C$5:$C$214))</f>
        <v>5.8</v>
      </c>
      <c r="K14" s="104">
        <f t="array" ref="K14">SUM(IF(('Summary-Data'!$E$5:$E$214=$B14)*('Summary-Data'!$B$5:$B$214=K$3),'Summary-Data'!$C$5:$C$214))</f>
        <v>4.7</v>
      </c>
      <c r="L14" s="104">
        <f t="array" ref="L14">SUM(IF(('Summary-Data'!$E$5:$E$214=$B14)*('Summary-Data'!$B$5:$B$214=L$3),'Summary-Data'!$C$5:$C$214))</f>
        <v>2.2999999999999998</v>
      </c>
      <c r="M14" s="104">
        <f t="array" ref="M14">SUM(IF(('Summary-Data'!$E$5:$E$214=$B14)*('Summary-Data'!$B$5:$B$214=M$3),'Summary-Data'!$C$5:$C$214))</f>
        <v>0</v>
      </c>
      <c r="N14" s="104">
        <f t="array" ref="N14">SUM(IF(('Summary-Data'!$E$5:$E$214=$B14)*('Summary-Data'!$B$5:$B$214=N$3),'Summary-Data'!$C$5:$C$214))</f>
        <v>0</v>
      </c>
      <c r="O14" s="104">
        <f t="array" ref="O14">SUM(IF(('Summary-Data'!$E$5:$E$214=$B14)*('Summary-Data'!$B$5:$B$214=O$3),'Summary-Data'!$C$5:$C$214))</f>
        <v>0</v>
      </c>
      <c r="P14" s="104">
        <f t="array" ref="P14">SUM(IF(('Summary-Data'!$E$5:$E$214=$B14)*('Summary-Data'!$B$5:$B$214=P$3),'Summary-Data'!$C$5:$C$214))</f>
        <v>0</v>
      </c>
      <c r="Q14" s="104"/>
      <c r="R14" s="104">
        <f t="shared" si="1"/>
        <v>1.3571428571428572</v>
      </c>
      <c r="S14" s="104">
        <f t="shared" si="2"/>
        <v>19</v>
      </c>
      <c r="T14" s="69">
        <f t="shared" si="3"/>
        <v>1.1935225895821935E-2</v>
      </c>
    </row>
    <row r="15" spans="2:20">
      <c r="B15" t="s">
        <v>398</v>
      </c>
      <c r="C15" s="104">
        <f t="array" ref="C15">SUM(IF(('Summary-Data'!$E$5:$E$214=$B15)*('Summary-Data'!$B$5:$B$214=C$3),'Summary-Data'!$C$5:$C$214))</f>
        <v>0</v>
      </c>
      <c r="D15" s="104">
        <f t="array" ref="D15">SUM(IF(('Summary-Data'!$E$5:$E$214=$B15)*('Summary-Data'!$B$5:$B$214=D$3),'Summary-Data'!$C$5:$C$214))</f>
        <v>0</v>
      </c>
      <c r="E15" s="104">
        <f t="array" ref="E15">SUM(IF(('Summary-Data'!$E$5:$E$214=$B15)*('Summary-Data'!$B$5:$B$214=E$3),'Summary-Data'!$C$5:$C$214))</f>
        <v>0</v>
      </c>
      <c r="F15" s="104">
        <f t="array" ref="F15">SUM(IF(('Summary-Data'!$E$5:$E$214=$B15)*('Summary-Data'!$B$5:$B$214=F$3),'Summary-Data'!$C$5:$C$214))</f>
        <v>0</v>
      </c>
      <c r="G15" s="104">
        <f t="array" ref="G15">SUM(IF(('Summary-Data'!$E$5:$E$214=$B15)*('Summary-Data'!$B$5:$B$214=G$3),'Summary-Data'!$C$5:$C$214))</f>
        <v>0</v>
      </c>
      <c r="H15" s="104">
        <f t="array" ref="H15">SUM(IF(('Summary-Data'!$E$5:$E$214=$B15)*('Summary-Data'!$B$5:$B$214=H$3),'Summary-Data'!$C$5:$C$214))</f>
        <v>0</v>
      </c>
      <c r="I15" s="104">
        <f t="array" ref="I15">SUM(IF(('Summary-Data'!$E$5:$E$214=$B15)*('Summary-Data'!$B$5:$B$214=I$3),'Summary-Data'!$C$5:$C$214))</f>
        <v>0</v>
      </c>
      <c r="J15" s="104">
        <f t="array" ref="J15">SUM(IF(('Summary-Data'!$E$5:$E$214=$B15)*('Summary-Data'!$B$5:$B$214=J$3),'Summary-Data'!$C$5:$C$214))</f>
        <v>0</v>
      </c>
      <c r="K15" s="104">
        <f t="array" ref="K15">SUM(IF(('Summary-Data'!$E$5:$E$214=$B15)*('Summary-Data'!$B$5:$B$214=K$3),'Summary-Data'!$C$5:$C$214))</f>
        <v>0</v>
      </c>
      <c r="L15" s="104">
        <f t="array" ref="L15">SUM(IF(('Summary-Data'!$E$5:$E$214=$B15)*('Summary-Data'!$B$5:$B$214=L$3),'Summary-Data'!$C$5:$C$214))</f>
        <v>2.2999999999999998</v>
      </c>
      <c r="M15" s="104">
        <f t="array" ref="M15">SUM(IF(('Summary-Data'!$E$5:$E$214=$B15)*('Summary-Data'!$B$5:$B$214=M$3),'Summary-Data'!$C$5:$C$214))</f>
        <v>7.7</v>
      </c>
      <c r="N15" s="104">
        <f t="array" ref="N15">SUM(IF(('Summary-Data'!$E$5:$E$214=$B15)*('Summary-Data'!$B$5:$B$214=N$3),'Summary-Data'!$C$5:$C$214))</f>
        <v>18.5</v>
      </c>
      <c r="O15" s="104">
        <f t="array" ref="O15">SUM(IF(('Summary-Data'!$E$5:$E$214=$B15)*('Summary-Data'!$B$5:$B$214=O$3),'Summary-Data'!$C$5:$C$214))</f>
        <v>17.399999999999999</v>
      </c>
      <c r="P15" s="104">
        <f t="array" ref="P15">SUM(IF(('Summary-Data'!$E$5:$E$214=$B15)*('Summary-Data'!$B$5:$B$214=P$3),'Summary-Data'!$C$5:$C$214))</f>
        <v>0</v>
      </c>
      <c r="Q15" s="104"/>
      <c r="R15" s="104">
        <f t="shared" si="1"/>
        <v>3.2785714285714285</v>
      </c>
      <c r="S15" s="104">
        <f t="shared" si="2"/>
        <v>45.9</v>
      </c>
      <c r="T15" s="69">
        <f t="shared" si="3"/>
        <v>2.8832993085169831E-2</v>
      </c>
    </row>
    <row r="16" spans="2:20">
      <c r="B16" t="s">
        <v>330</v>
      </c>
      <c r="C16" s="104">
        <f t="array" ref="C16">SUM(IF(('Summary-Data'!$E$5:$E$214=$B16)*('Summary-Data'!$B$5:$B$214=C$3),'Summary-Data'!$C$5:$C$214))</f>
        <v>9.3889999999999993</v>
      </c>
      <c r="D16" s="104">
        <f t="array" ref="D16">SUM(IF(('Summary-Data'!$E$5:$E$214=$B16)*('Summary-Data'!$B$5:$B$214=D$3),'Summary-Data'!$C$5:$C$214))</f>
        <v>8.2089999999999996</v>
      </c>
      <c r="E16" s="104">
        <f t="array" ref="E16">SUM(IF(('Summary-Data'!$E$5:$E$214=$B16)*('Summary-Data'!$B$5:$B$214=E$3),'Summary-Data'!$C$5:$C$214))</f>
        <v>6.8079999999999998</v>
      </c>
      <c r="F16" s="104">
        <f t="array" ref="F16">SUM(IF(('Summary-Data'!$E$5:$E$214=$B16)*('Summary-Data'!$B$5:$B$214=F$3),'Summary-Data'!$C$5:$C$214))</f>
        <v>4.9020000000000001</v>
      </c>
      <c r="G16" s="104">
        <f t="array" ref="G16">SUM(IF(('Summary-Data'!$E$5:$E$214=$B16)*('Summary-Data'!$B$5:$B$214=G$3),'Summary-Data'!$C$5:$C$214))</f>
        <v>2.3450000000000002</v>
      </c>
      <c r="H16" s="104">
        <f t="array" ref="H16">SUM(IF(('Summary-Data'!$E$5:$E$214=$B16)*('Summary-Data'!$B$5:$B$214=H$3),'Summary-Data'!$C$5:$C$214))</f>
        <v>-0.61199999999999999</v>
      </c>
      <c r="I16" s="104">
        <f t="array" ref="I16">SUM(IF(('Summary-Data'!$E$5:$E$214=$B16)*('Summary-Data'!$B$5:$B$214=I$3),'Summary-Data'!$C$5:$C$214))</f>
        <v>5.1829999999999998</v>
      </c>
      <c r="J16" s="104">
        <f t="array" ref="J16">SUM(IF(('Summary-Data'!$E$5:$E$214=$B16)*('Summary-Data'!$B$5:$B$214=J$3),'Summary-Data'!$C$5:$C$214))</f>
        <v>-7.0140000000000011</v>
      </c>
      <c r="K16" s="104">
        <f t="array" ref="K16">SUM(IF(('Summary-Data'!$E$5:$E$214=$B16)*('Summary-Data'!$B$5:$B$214=K$3),'Summary-Data'!$C$5:$C$214))</f>
        <v>-4.6000000000000013E-2</v>
      </c>
      <c r="L16" s="104">
        <f t="array" ref="L16">SUM(IF(('Summary-Data'!$E$5:$E$214=$B16)*('Summary-Data'!$B$5:$B$214=L$3),'Summary-Data'!$C$5:$C$214))</f>
        <v>-1.8049999999999999</v>
      </c>
      <c r="M16" s="104">
        <f t="array" ref="M16">SUM(IF(('Summary-Data'!$E$5:$E$214=$B16)*('Summary-Data'!$B$5:$B$214=M$3),'Summary-Data'!$C$5:$C$214))</f>
        <v>-0.45800000000000002</v>
      </c>
      <c r="N16" s="104">
        <f t="array" ref="N16">SUM(IF(('Summary-Data'!$E$5:$E$214=$B16)*('Summary-Data'!$B$5:$B$214=N$3),'Summary-Data'!$C$5:$C$214))</f>
        <v>-0.51</v>
      </c>
      <c r="O16" s="104">
        <f t="array" ref="O16">SUM(IF(('Summary-Data'!$E$5:$E$214=$B16)*('Summary-Data'!$B$5:$B$214=O$3),'Summary-Data'!$C$5:$C$214))</f>
        <v>4.6859999999999999</v>
      </c>
      <c r="P16" s="104">
        <f t="array" ref="P16">SUM(IF(('Summary-Data'!$E$5:$E$214=$B16)*('Summary-Data'!$B$5:$B$214=P$3),'Summary-Data'!$C$5:$C$214))</f>
        <v>0</v>
      </c>
      <c r="Q16" s="104"/>
      <c r="R16" s="104">
        <f t="shared" si="1"/>
        <v>2.2197857142857145</v>
      </c>
      <c r="S16" s="104">
        <f t="shared" si="2"/>
        <v>31.077000000000002</v>
      </c>
      <c r="T16" s="69">
        <f>S16/S$17</f>
        <v>1.9521632377076752E-2</v>
      </c>
    </row>
    <row r="17" spans="2:20">
      <c r="B17" s="42" t="s">
        <v>334</v>
      </c>
      <c r="C17" s="105">
        <f t="shared" ref="C17:O17" si="4">SUM(C4:C16)</f>
        <v>123.91619999999999</v>
      </c>
      <c r="D17" s="250">
        <f t="shared" si="4"/>
        <v>169.40900000000002</v>
      </c>
      <c r="E17" s="250">
        <f t="shared" si="4"/>
        <v>186.90800000000002</v>
      </c>
      <c r="F17" s="250">
        <f t="shared" si="4"/>
        <v>149.72409999999996</v>
      </c>
      <c r="G17" s="250">
        <f t="shared" si="4"/>
        <v>163.04500000000002</v>
      </c>
      <c r="H17" s="250">
        <f t="shared" si="4"/>
        <v>158.78799999999998</v>
      </c>
      <c r="I17" s="250">
        <f t="shared" si="4"/>
        <v>115.083</v>
      </c>
      <c r="J17" s="250">
        <f t="shared" si="4"/>
        <v>80.085999999999999</v>
      </c>
      <c r="K17" s="250">
        <f t="shared" si="4"/>
        <v>85.153999999999996</v>
      </c>
      <c r="L17" s="250">
        <f t="shared" si="4"/>
        <v>61.895000000000003</v>
      </c>
      <c r="M17" s="250">
        <f t="shared" si="4"/>
        <v>58.542000000000002</v>
      </c>
      <c r="N17" s="250">
        <f t="shared" si="4"/>
        <v>82.49</v>
      </c>
      <c r="O17" s="250">
        <f t="shared" si="4"/>
        <v>87.885999999999996</v>
      </c>
      <c r="P17" s="250">
        <f t="shared" ref="P17" si="5">SUM(P4:P16)</f>
        <v>69</v>
      </c>
      <c r="Q17" s="105"/>
      <c r="R17" s="105">
        <f t="shared" ref="R17" si="6">AVERAGE(C17:P17)</f>
        <v>113.70902142857143</v>
      </c>
      <c r="S17" s="105">
        <f t="shared" ref="S17" si="7">SUM(C17:P17)</f>
        <v>1591.9263000000001</v>
      </c>
      <c r="T17" s="69">
        <f>S17/S$17</f>
        <v>1</v>
      </c>
    </row>
    <row r="18" spans="2:20">
      <c r="C18" s="32"/>
    </row>
    <row r="19" spans="2:20" ht="19">
      <c r="B19" s="10" t="s">
        <v>549</v>
      </c>
      <c r="C19" s="10">
        <v>2006</v>
      </c>
      <c r="D19" s="10">
        <v>2007</v>
      </c>
      <c r="E19" s="10">
        <v>2008</v>
      </c>
      <c r="F19" s="10">
        <v>2009</v>
      </c>
      <c r="G19" s="10">
        <v>2010</v>
      </c>
      <c r="H19" s="10">
        <v>2011</v>
      </c>
      <c r="I19" s="10">
        <v>2012</v>
      </c>
      <c r="J19" s="10">
        <v>2013</v>
      </c>
      <c r="K19" s="10">
        <v>2014</v>
      </c>
      <c r="L19" s="10">
        <v>2015</v>
      </c>
      <c r="M19" s="10">
        <v>2016</v>
      </c>
      <c r="N19" s="10">
        <v>2017</v>
      </c>
      <c r="O19" s="10">
        <v>2018</v>
      </c>
      <c r="P19" s="10">
        <v>2019</v>
      </c>
      <c r="Q19" s="10"/>
      <c r="R19" s="10"/>
      <c r="S19" s="10"/>
      <c r="T19" s="10"/>
    </row>
    <row r="20" spans="2:20">
      <c r="B20" t="s">
        <v>552</v>
      </c>
      <c r="C20" s="195">
        <f>'GB_Tab2-1'!H43</f>
        <v>0</v>
      </c>
      <c r="D20" s="195">
        <f>'GB_Tab2-1'!I43</f>
        <v>0</v>
      </c>
      <c r="E20" s="195">
        <f>'GB_Tab2-1'!J43</f>
        <v>0</v>
      </c>
      <c r="F20" s="195">
        <f>'GB_Tab2-1'!K43</f>
        <v>0</v>
      </c>
      <c r="G20" s="195">
        <f>'GB_Tab2-1'!L43</f>
        <v>0</v>
      </c>
      <c r="H20" s="195">
        <f>'GB_Tab2-1'!M43</f>
        <v>0</v>
      </c>
      <c r="I20" s="195">
        <f>'GB_Tab2-1'!N43</f>
        <v>0</v>
      </c>
      <c r="J20" s="195">
        <f>'GB_Tab2-1'!O43</f>
        <v>0</v>
      </c>
      <c r="K20" s="195">
        <f>'GB_Tab2-1'!P43</f>
        <v>0</v>
      </c>
      <c r="L20" s="195">
        <f>'GB_Tab2-1'!Q43</f>
        <v>0</v>
      </c>
      <c r="M20" s="195">
        <f>'GB_Tab2-1'!R43</f>
        <v>0</v>
      </c>
      <c r="N20" s="195">
        <f>'GB_Tab2-1'!S43</f>
        <v>0</v>
      </c>
      <c r="O20" s="195">
        <f>'GB_Tab2-1'!T43</f>
        <v>0</v>
      </c>
      <c r="P20" s="195">
        <f>'GB_Tab2-1'!U43</f>
        <v>0</v>
      </c>
      <c r="R20" s="67"/>
      <c r="S20" s="67"/>
    </row>
    <row r="21" spans="2:20">
      <c r="B21" s="11" t="s">
        <v>543</v>
      </c>
      <c r="C21" s="251">
        <f t="shared" ref="C21:P21" si="8">C17-C20</f>
        <v>123.91619999999999</v>
      </c>
      <c r="D21" s="251">
        <f t="shared" si="8"/>
        <v>169.40900000000002</v>
      </c>
      <c r="E21" s="251">
        <f t="shared" si="8"/>
        <v>186.90800000000002</v>
      </c>
      <c r="F21" s="251">
        <f t="shared" si="8"/>
        <v>149.72409999999996</v>
      </c>
      <c r="G21" s="251">
        <f t="shared" si="8"/>
        <v>163.04500000000002</v>
      </c>
      <c r="H21" s="251">
        <f t="shared" si="8"/>
        <v>158.78799999999998</v>
      </c>
      <c r="I21" s="251">
        <f t="shared" si="8"/>
        <v>115.083</v>
      </c>
      <c r="J21" s="251">
        <f t="shared" si="8"/>
        <v>80.085999999999999</v>
      </c>
      <c r="K21" s="251">
        <f t="shared" si="8"/>
        <v>85.153999999999996</v>
      </c>
      <c r="L21" s="251">
        <f t="shared" si="8"/>
        <v>61.895000000000003</v>
      </c>
      <c r="M21" s="251">
        <f t="shared" si="8"/>
        <v>58.542000000000002</v>
      </c>
      <c r="N21" s="251">
        <f t="shared" si="8"/>
        <v>82.49</v>
      </c>
      <c r="O21" s="251">
        <f t="shared" si="8"/>
        <v>87.885999999999996</v>
      </c>
      <c r="P21" s="251">
        <f t="shared" si="8"/>
        <v>69</v>
      </c>
    </row>
    <row r="22" spans="2:20">
      <c r="B22" t="s">
        <v>551</v>
      </c>
      <c r="C22" s="195">
        <f t="array" ref="C22">SUM(IF((ISNUMBER(FIND("Total",'GB_Tab2-1'!$Z$48:$Z$302)))*(ISNUMBER(FIND("Global",'GB_Tab2-1'!$AB$48:$AB$302)))*(ISNUMBER(FIND(C$19,'GB_Tab2-1'!$AA$48:$AA$302))),'GB_Tab2-1'!$AJ$48:$AJ$187))/1000+SUM(IF((ISNUMBER(FIND("Total",'GB_Tab2-1'!$Z$48:$Z$302)))*(ISNUMBER(FIND("Overseas",'GB_Tab2-1'!$AB$48:$AB$302)))*(ISNUMBER(FIND(C$19,'GB_Tab2-1'!$AA$48:$AA$302))),'GB_Tab2-1'!$AJ$48:$AJ$187))/1000+SUM(IF((ISNUMBER(FIND("Total",'GB_Tab2-1'!$Z$48:$Z$302)))*(ISNUMBER(FIND("Otherl",'GB_Tab2-1'!$AB$48:$AB$302)))*(ISNUMBER(FIND(C$19,'GB_Tab2-1'!$AA$48:$AA$302))),'GB_Tab2-1'!$AJ$48:$AJ$187))/1000</f>
        <v>115.76300000000001</v>
      </c>
      <c r="D22" s="195">
        <f t="array" ref="D22">SUM(IF((ISNUMBER(FIND("Total",'GB_Tab2-1'!$Z$48:$Z$302)))*(ISNUMBER(FIND("Global",'GB_Tab2-1'!$AB$48:$AB$302)))*(ISNUMBER(FIND(D$19,'GB_Tab2-1'!$AA$48:$AA$302))),'GB_Tab2-1'!$AJ$48:$AJ$187))/1000+SUM(IF((ISNUMBER(FIND("Total",'GB_Tab2-1'!$Z$48:$Z$302)))*(ISNUMBER(FIND("Overseas",'GB_Tab2-1'!$AB$48:$AB$302)))*(ISNUMBER(FIND(D$19,'GB_Tab2-1'!$AA$48:$AA$302))),'GB_Tab2-1'!$AJ$48:$AJ$187))/1000+SUM(IF((ISNUMBER(FIND("Total",'GB_Tab2-1'!$Z$48:$Z$302)))*(ISNUMBER(FIND("Otherl",'GB_Tab2-1'!$AB$48:$AB$302)))*(ISNUMBER(FIND(D$19,'GB_Tab2-1'!$AA$48:$AA$302))),'GB_Tab2-1'!$AJ$48:$AJ$187))/1000</f>
        <v>166.27199999999999</v>
      </c>
      <c r="E22" s="195">
        <f t="array" ref="E22">SUM(IF((ISNUMBER(FIND("Total",'GB_Tab2-1'!$Z$48:$Z$302)))*(ISNUMBER(FIND("Global",'GB_Tab2-1'!$AB$48:$AB$302)))*(ISNUMBER(FIND(E$19,'GB_Tab2-1'!$AA$48:$AA$302))),'GB_Tab2-1'!$AJ$48:$AJ$187))/1000+SUM(IF((ISNUMBER(FIND("Total",'GB_Tab2-1'!$Z$48:$Z$302)))*(ISNUMBER(FIND("Overseas",'GB_Tab2-1'!$AB$48:$AB$302)))*(ISNUMBER(FIND(E$19,'GB_Tab2-1'!$AA$48:$AA$302))),'GB_Tab2-1'!$AJ$48:$AJ$187))/1000+SUM(IF((ISNUMBER(FIND("Total",'GB_Tab2-1'!$Z$48:$Z$302)))*(ISNUMBER(FIND("Otherl",'GB_Tab2-1'!$AB$48:$AB$302)))*(ISNUMBER(FIND(E$19,'GB_Tab2-1'!$AA$48:$AA$302))),'GB_Tab2-1'!$AJ$48:$AJ$187))/1000</f>
        <v>186.90799999999999</v>
      </c>
      <c r="F22" s="195">
        <f t="array" ref="F22">SUM(IF((ISNUMBER(FIND("Total",'GB_Tab2-1'!$Z$48:$Z$302)))*(ISNUMBER(FIND("Global",'GB_Tab2-1'!$AB$48:$AB$302)))*(ISNUMBER(FIND(F$19,'GB_Tab2-1'!$AA$48:$AA$302))),'GB_Tab2-1'!$AJ$48:$AJ$187))/1000+SUM(IF((ISNUMBER(FIND("Total",'GB_Tab2-1'!$Z$48:$Z$302)))*(ISNUMBER(FIND("Overseas",'GB_Tab2-1'!$AB$48:$AB$302)))*(ISNUMBER(FIND(F$19,'GB_Tab2-1'!$AA$48:$AA$302))),'GB_Tab2-1'!$AJ$48:$AJ$187))/1000+SUM(IF((ISNUMBER(FIND("Total",'GB_Tab2-1'!$Z$48:$Z$302)))*(ISNUMBER(FIND("Otherl",'GB_Tab2-1'!$AB$48:$AB$302)))*(ISNUMBER(FIND(F$19,'GB_Tab2-1'!$AA$48:$AA$302))),'GB_Tab2-1'!$AJ$48:$AJ$187))/1000</f>
        <v>145.68899999999999</v>
      </c>
      <c r="G22" s="195">
        <f t="array" ref="G22">SUM(IF((ISNUMBER(FIND("Total",'GB_Tab2-1'!$Z$48:$Z$302)))*(ISNUMBER(FIND("Global",'GB_Tab2-1'!$AB$48:$AB$302)))*(ISNUMBER(FIND(G$19,'GB_Tab2-1'!$AA$48:$AA$302))),'GB_Tab2-1'!$AJ$48:$AJ$187))/1000+SUM(IF((ISNUMBER(FIND("Total",'GB_Tab2-1'!$Z$48:$Z$302)))*(ISNUMBER(FIND("Overseas",'GB_Tab2-1'!$AB$48:$AB$302)))*(ISNUMBER(FIND(G$19,'GB_Tab2-1'!$AA$48:$AA$302))),'GB_Tab2-1'!$AJ$48:$AJ$187))/1000+SUM(IF((ISNUMBER(FIND("Total",'GB_Tab2-1'!$Z$48:$Z$302)))*(ISNUMBER(FIND("Otherl",'GB_Tab2-1'!$AB$48:$AB$302)))*(ISNUMBER(FIND(G$19,'GB_Tab2-1'!$AA$48:$AA$302))),'GB_Tab2-1'!$AJ$48:$AJ$187))/1000</f>
        <v>162.38999999999999</v>
      </c>
      <c r="H22" s="195">
        <f t="array" ref="H22">SUM(IF((ISNUMBER(FIND("Total",'GB_Tab2-1'!$Z$48:$Z$302)))*(ISNUMBER(FIND("Global",'GB_Tab2-1'!$AB$48:$AB$302)))*(ISNUMBER(FIND(H$19,'GB_Tab2-1'!$AA$48:$AA$302))),'GB_Tab2-1'!$AJ$48:$AJ$187))/1000+SUM(IF((ISNUMBER(FIND("Total",'GB_Tab2-1'!$Z$48:$Z$302)))*(ISNUMBER(FIND("Overseas",'GB_Tab2-1'!$AB$48:$AB$302)))*(ISNUMBER(FIND(H$19,'GB_Tab2-1'!$AA$48:$AA$302))),'GB_Tab2-1'!$AJ$48:$AJ$187))/1000+SUM(IF((ISNUMBER(FIND("Total",'GB_Tab2-1'!$Z$48:$Z$302)))*(ISNUMBER(FIND("Otherl",'GB_Tab2-1'!$AB$48:$AB$302)))*(ISNUMBER(FIND(H$19,'GB_Tab2-1'!$AA$48:$AA$302))),'GB_Tab2-1'!$AJ$48:$AJ$187))/1000</f>
        <v>158.78800000000001</v>
      </c>
      <c r="I22" s="195">
        <f t="array" ref="I22">SUM(IF((ISNUMBER(FIND("Total",'GB_Tab2-1'!$Z$48:$Z$302)))*(ISNUMBER(FIND("Global",'GB_Tab2-1'!$AB$48:$AB$302)))*(ISNUMBER(FIND(I$19,'GB_Tab2-1'!$AA$48:$AA$302))),'GB_Tab2-1'!$AJ$48:$AJ$187))/1000+SUM(IF((ISNUMBER(FIND("Total",'GB_Tab2-1'!$Z$48:$Z$302)))*(ISNUMBER(FIND("Overseas",'GB_Tab2-1'!$AB$48:$AB$302)))*(ISNUMBER(FIND(I$19,'GB_Tab2-1'!$AA$48:$AA$302))),'GB_Tab2-1'!$AJ$48:$AJ$187))/1000+SUM(IF((ISNUMBER(FIND("Total",'GB_Tab2-1'!$Z$48:$Z$302)))*(ISNUMBER(FIND("Otherl",'GB_Tab2-1'!$AB$48:$AB$302)))*(ISNUMBER(FIND(I$19,'GB_Tab2-1'!$AA$48:$AA$302))),'GB_Tab2-1'!$AJ$48:$AJ$187))/1000</f>
        <v>115.083</v>
      </c>
      <c r="J22" s="195">
        <f t="array" ref="J22">SUM(IF((ISNUMBER(FIND("Total",'GB_Tab2-1'!$Z$48:$Z$302)))*(ISNUMBER(FIND("Global",'GB_Tab2-1'!$AB$48:$AB$302)))*(ISNUMBER(FIND(J$19,'GB_Tab2-1'!$AA$48:$AA$302))),'GB_Tab2-1'!$AJ$48:$AJ$187))/1000+SUM(IF((ISNUMBER(FIND("Total",'GB_Tab2-1'!$Z$48:$Z$302)))*(ISNUMBER(FIND("Overseas",'GB_Tab2-1'!$AB$48:$AB$302)))*(ISNUMBER(FIND(J$19,'GB_Tab2-1'!$AA$48:$AA$302))),'GB_Tab2-1'!$AJ$48:$AJ$187))/1000+SUM(IF((ISNUMBER(FIND("Total",'GB_Tab2-1'!$Z$48:$Z$302)))*(ISNUMBER(FIND("Otherl",'GB_Tab2-1'!$AB$48:$AB$302)))*(ISNUMBER(FIND(J$19,'GB_Tab2-1'!$AA$48:$AA$302))),'GB_Tab2-1'!$AJ$48:$AJ$187))/1000</f>
        <v>81.972999999999999</v>
      </c>
      <c r="K22" s="195">
        <f t="array" ref="K22">SUM(IF((ISNUMBER(FIND("Total",'GB_Tab2-1'!$Z$48:$Z$302)))*(ISNUMBER(FIND("Global",'GB_Tab2-1'!$AB$48:$AB$302)))*(ISNUMBER(FIND(K$19,'GB_Tab2-1'!$AA$48:$AA$302))),'GB_Tab2-1'!$AJ$48:$AJ$187))/1000+SUM(IF((ISNUMBER(FIND("Total",'GB_Tab2-1'!$Z$48:$Z$302)))*(ISNUMBER(FIND("Overseas",'GB_Tab2-1'!$AB$48:$AB$302)))*(ISNUMBER(FIND(K$19,'GB_Tab2-1'!$AA$48:$AA$302))),'GB_Tab2-1'!$AJ$48:$AJ$187))/1000+SUM(IF((ISNUMBER(FIND("Total",'GB_Tab2-1'!$Z$48:$Z$302)))*(ISNUMBER(FIND("Otherl",'GB_Tab2-1'!$AB$48:$AB$302)))*(ISNUMBER(FIND(K$19,'GB_Tab2-1'!$AA$48:$AA$302))),'GB_Tab2-1'!$AJ$48:$AJ$187))/1000</f>
        <v>84.929000000000002</v>
      </c>
      <c r="L22" s="195">
        <f t="array" ref="L22">SUM(IF((ISNUMBER(FIND("Total",'GB_Tab2-1'!$Z$48:$Z$302)))*(ISNUMBER(FIND("Global",'GB_Tab2-1'!$AB$48:$AB$302)))*(ISNUMBER(FIND(L$19,'GB_Tab2-1'!$AA$48:$AA$302))),'GB_Tab2-1'!$AJ$48:$AJ$187))/1000+SUM(IF((ISNUMBER(FIND("Total",'GB_Tab2-1'!$Z$48:$Z$302)))*(ISNUMBER(FIND("Overseas",'GB_Tab2-1'!$AB$48:$AB$302)))*(ISNUMBER(FIND(L$19,'GB_Tab2-1'!$AA$48:$AA$302))),'GB_Tab2-1'!$AJ$48:$AJ$187))/1000+SUM(IF((ISNUMBER(FIND("Total",'GB_Tab2-1'!$Z$48:$Z$302)))*(ISNUMBER(FIND("Otherl",'GB_Tab2-1'!$AB$48:$AB$302)))*(ISNUMBER(FIND(L$19,'GB_Tab2-1'!$AA$48:$AA$302))),'GB_Tab2-1'!$AJ$48:$AJ$187))/1000</f>
        <v>62.982999999999997</v>
      </c>
      <c r="M22" s="195">
        <f t="array" ref="M22">SUM(IF((ISNUMBER(FIND("Total",'GB_Tab2-1'!$Z$48:$Z$302)))*(ISNUMBER(FIND("Global",'GB_Tab2-1'!$AB$48:$AB$302)))*(ISNUMBER(FIND(M$19,'GB_Tab2-1'!$AA$48:$AA$302))),'GB_Tab2-1'!$AJ$48:$AJ$187))/1000+SUM(IF((ISNUMBER(FIND("Total",'GB_Tab2-1'!$Z$48:$Z$302)))*(ISNUMBER(FIND("Overseas",'GB_Tab2-1'!$AB$48:$AB$302)))*(ISNUMBER(FIND(M$19,'GB_Tab2-1'!$AA$48:$AA$302))),'GB_Tab2-1'!$AJ$48:$AJ$187))/1000+SUM(IF((ISNUMBER(FIND("Total",'GB_Tab2-1'!$Z$48:$Z$302)))*(ISNUMBER(FIND("Otherl",'GB_Tab2-1'!$AB$48:$AB$302)))*(ISNUMBER(FIND(M$19,'GB_Tab2-1'!$AA$48:$AA$302))),'GB_Tab2-1'!$AJ$48:$AJ$187))/1000</f>
        <v>58.942</v>
      </c>
      <c r="N22" s="195">
        <f t="array" ref="N22">SUM(IF((ISNUMBER(FIND("Total",'GB_Tab2-1'!$Z$48:$Z$302)))*(ISNUMBER(FIND("Global",'GB_Tab2-1'!$AB$48:$AB$302)))*(ISNUMBER(FIND(N$19,'GB_Tab2-1'!$AA$48:$AA$302))),'GB_Tab2-1'!$AJ$48:$AJ$187))/1000+SUM(IF((ISNUMBER(FIND("Total",'GB_Tab2-1'!$Z$48:$Z$302)))*(ISNUMBER(FIND("Overseas",'GB_Tab2-1'!$AB$48:$AB$302)))*(ISNUMBER(FIND(N$19,'GB_Tab2-1'!$AA$48:$AA$302))),'GB_Tab2-1'!$AJ$48:$AJ$187))/1000+SUM(IF((ISNUMBER(FIND("Total",'GB_Tab2-1'!$Z$48:$Z$302)))*(ISNUMBER(FIND("Otherl",'GB_Tab2-1'!$AB$48:$AB$302)))*(ISNUMBER(FIND(N$19,'GB_Tab2-1'!$AA$48:$AA$302))),'GB_Tab2-1'!$AJ$48:$AJ$187))/1000</f>
        <v>82.49</v>
      </c>
      <c r="O22" s="195">
        <f t="array" ref="O22">SUM(IF((ISNUMBER(FIND("Total",'GB_Tab2-1'!$Z$48:$Z$302)))*(ISNUMBER(FIND("Global",'GB_Tab2-1'!$AB$48:$AB$302)))*(ISNUMBER(FIND(O$19,'GB_Tab2-1'!$AA$48:$AA$302))),'GB_Tab2-1'!$AJ$48:$AJ$187))/1000+SUM(IF((ISNUMBER(FIND("Total",'GB_Tab2-1'!$Z$48:$Z$302)))*(ISNUMBER(FIND("Overseas",'GB_Tab2-1'!$AB$48:$AB$302)))*(ISNUMBER(FIND(O$19,'GB_Tab2-1'!$AA$48:$AA$302))),'GB_Tab2-1'!$AJ$48:$AJ$187))/1000+SUM(IF((ISNUMBER(FIND("Total",'GB_Tab2-1'!$Z$48:$Z$302)))*(ISNUMBER(FIND("Otherl",'GB_Tab2-1'!$AB$48:$AB$302)))*(ISNUMBER(FIND(O$19,'GB_Tab2-1'!$AA$48:$AA$302))),'GB_Tab2-1'!$AJ$48:$AJ$187))/1000</f>
        <v>83.430999999999997</v>
      </c>
      <c r="P22" s="195">
        <f t="array" ref="P22">SUM(IF((ISNUMBER(FIND("Total",'GB_Tab2-1'!$Z$48:$Z$302)))*(ISNUMBER(FIND("Global",'GB_Tab2-1'!$AB$48:$AB$302)))*(ISNUMBER(FIND(P$19,'GB_Tab2-1'!$AA$48:$AA$302))),'GB_Tab2-1'!$AJ$48:$AJ$187))/1000+SUM(IF((ISNUMBER(FIND("Total",'GB_Tab2-1'!$Z$48:$Z$302)))*(ISNUMBER(FIND("Overseas",'GB_Tab2-1'!$AB$48:$AB$302)))*(ISNUMBER(FIND(P$19,'GB_Tab2-1'!$AA$48:$AA$302))),'GB_Tab2-1'!$AJ$48:$AJ$187))/1000+SUM(IF((ISNUMBER(FIND("Total",'GB_Tab2-1'!$Z$48:$Z$302)))*(ISNUMBER(FIND("Otherl",'GB_Tab2-1'!$AB$48:$AB$302)))*(ISNUMBER(FIND(P$19,'GB_Tab2-1'!$AA$48:$AA$302))),'GB_Tab2-1'!$AJ$48:$AJ$187))/1000</f>
        <v>69</v>
      </c>
    </row>
    <row r="23" spans="2:20">
      <c r="B23" t="s">
        <v>550</v>
      </c>
      <c r="C23" s="195">
        <f>C20-C22</f>
        <v>-115.76300000000001</v>
      </c>
      <c r="D23" s="195">
        <f t="shared" ref="D23:P23" si="9">D20-D22</f>
        <v>-166.27199999999999</v>
      </c>
      <c r="E23" s="195">
        <f t="shared" si="9"/>
        <v>-186.90799999999999</v>
      </c>
      <c r="F23" s="195">
        <f t="shared" si="9"/>
        <v>-145.68899999999999</v>
      </c>
      <c r="G23" s="195">
        <f t="shared" si="9"/>
        <v>-162.38999999999999</v>
      </c>
      <c r="H23" s="195">
        <f t="shared" si="9"/>
        <v>-158.78800000000001</v>
      </c>
      <c r="I23" s="195">
        <f t="shared" si="9"/>
        <v>-115.083</v>
      </c>
      <c r="J23" s="195">
        <f t="shared" si="9"/>
        <v>-81.972999999999999</v>
      </c>
      <c r="K23" s="195">
        <f t="shared" si="9"/>
        <v>-84.929000000000002</v>
      </c>
      <c r="L23" s="195">
        <f t="shared" si="9"/>
        <v>-62.982999999999997</v>
      </c>
      <c r="M23" s="195">
        <f t="shared" si="9"/>
        <v>-58.942</v>
      </c>
      <c r="N23" s="195">
        <f t="shared" si="9"/>
        <v>-82.49</v>
      </c>
      <c r="O23" s="195">
        <f t="shared" si="9"/>
        <v>-83.430999999999997</v>
      </c>
      <c r="P23" s="195">
        <f t="shared" si="9"/>
        <v>-69</v>
      </c>
    </row>
    <row r="24" spans="2:20">
      <c r="B24" t="s">
        <v>292</v>
      </c>
      <c r="C24" s="195">
        <f t="array" ref="C24">SUM(IF((ISNUMBER(FIND("Total",'GB_Tab2-1'!$Z$48:$Z$302)))*(ISNUMBER(FIND("Base",'GB_Tab2-1'!$AB$48:$AB$302)))*(ISNUMBER(FIND(C$19,'GB_Tab2-1'!$AA$48:$AA$302))),'GB_Tab2-1'!$AJ$48:$AJ$187))/1000</f>
        <v>410.57</v>
      </c>
      <c r="D24" s="195">
        <f t="array" ref="D24">SUM(IF((ISNUMBER(FIND("Total",'GB_Tab2-1'!$Z$48:$Z$302)))*(ISNUMBER(FIND("Base",'GB_Tab2-1'!$AB$48:$AB$302)))*(ISNUMBER(FIND(D$19,'GB_Tab2-1'!$AA$48:$AA$302))),'GB_Tab2-1'!$AJ$48:$AJ$187))/1000</f>
        <v>431.495</v>
      </c>
      <c r="E24" s="195">
        <f t="array" ref="E24">SUM(IF((ISNUMBER(FIND("Total",'GB_Tab2-1'!$Z$48:$Z$302)))*(ISNUMBER(FIND("Base",'GB_Tab2-1'!$AB$48:$AB$302)))*(ISNUMBER(FIND(E$19,'GB_Tab2-1'!$AA$48:$AA$302))),'GB_Tab2-1'!$AJ$48:$AJ$187))/1000</f>
        <v>479.03199999999998</v>
      </c>
      <c r="F24" s="195">
        <f t="array" ref="F24">SUM(IF((ISNUMBER(FIND("Total",'GB_Tab2-1'!$Z$48:$Z$302)))*(ISNUMBER(FIND("Base",'GB_Tab2-1'!$AB$48:$AB$302)))*(ISNUMBER(FIND(F$19,'GB_Tab2-1'!$AA$48:$AA$302))),'GB_Tab2-1'!$AJ$48:$AJ$187))/1000</f>
        <v>513.21900000000005</v>
      </c>
      <c r="G24" s="195">
        <f t="array" ref="G24">SUM(IF((ISNUMBER(FIND("Total",'GB_Tab2-1'!$Z$48:$Z$302)))*(ISNUMBER(FIND("Base",'GB_Tab2-1'!$AB$48:$AB$302)))*(ISNUMBER(FIND(G$19,'GB_Tab2-1'!$AA$48:$AA$302))),'GB_Tab2-1'!$AJ$48:$AJ$187))/1000</f>
        <v>527.92200000000003</v>
      </c>
      <c r="H24" s="195">
        <f t="array" ref="H24">SUM(IF((ISNUMBER(FIND("Total",'GB_Tab2-1'!$Z$48:$Z$302)))*(ISNUMBER(FIND("Base",'GB_Tab2-1'!$AB$48:$AB$302)))*(ISNUMBER(FIND(H$19,'GB_Tab2-1'!$AA$48:$AA$302))),'GB_Tab2-1'!$AJ$48:$AJ$187))/1000</f>
        <v>528.23400000000004</v>
      </c>
      <c r="I24" s="195">
        <f t="array" ref="I24">SUM(IF((ISNUMBER(FIND("Total",'GB_Tab2-1'!$Z$48:$Z$302)))*(ISNUMBER(FIND("Base",'GB_Tab2-1'!$AB$48:$AB$302)))*(ISNUMBER(FIND(I$19,'GB_Tab2-1'!$AA$48:$AA$302))),'GB_Tab2-1'!$AJ$48:$AJ$187))/1000</f>
        <v>530.41099999999994</v>
      </c>
      <c r="J24" s="195">
        <f t="array" ref="J24">SUM(IF((ISNUMBER(FIND("Total",'GB_Tab2-1'!$Z$48:$Z$302)))*(ISNUMBER(FIND("Base",'GB_Tab2-1'!$AB$48:$AB$302)))*(ISNUMBER(FIND(J$19,'GB_Tab2-1'!$AA$48:$AA$302))),'GB_Tab2-1'!$AJ$48:$AJ$187))/1000</f>
        <v>495.46600000000001</v>
      </c>
      <c r="K24" s="195">
        <f t="array" ref="K24">SUM(IF((ISNUMBER(FIND("Total",'GB_Tab2-1'!$Z$48:$Z$302)))*(ISNUMBER(FIND("Base",'GB_Tab2-1'!$AB$48:$AB$302)))*(ISNUMBER(FIND(K$19,'GB_Tab2-1'!$AA$48:$AA$302))),'GB_Tab2-1'!$AJ$48:$AJ$187))/1000</f>
        <v>496.28500000000003</v>
      </c>
      <c r="L24" s="195">
        <f t="array" ref="L24">SUM(IF((ISNUMBER(FIND("Total",'GB_Tab2-1'!$Z$48:$Z$302)))*(ISNUMBER(FIND("Base",'GB_Tab2-1'!$AB$48:$AB$302)))*(ISNUMBER(FIND(L$19,'GB_Tab2-1'!$AA$48:$AA$302))),'GB_Tab2-1'!$AJ$48:$AJ$187))/1000</f>
        <v>497.34100000000001</v>
      </c>
      <c r="M24" s="195">
        <f t="array" ref="M24">SUM(IF((ISNUMBER(FIND("Total",'GB_Tab2-1'!$Z$48:$Z$302)))*(ISNUMBER(FIND("Base",'GB_Tab2-1'!$AB$48:$AB$302)))*(ISNUMBER(FIND(M$19,'GB_Tab2-1'!$AA$48:$AA$302))),'GB_Tab2-1'!$AJ$48:$AJ$187))/1000</f>
        <v>521.35</v>
      </c>
      <c r="N24" s="195">
        <f t="array" ref="N24">SUM(IF((ISNUMBER(FIND("Total",'GB_Tab2-1'!$Z$48:$Z$302)))*(ISNUMBER(FIND("Base",'GB_Tab2-1'!$AB$48:$AB$302)))*(ISNUMBER(FIND(N$19,'GB_Tab2-1'!$AA$48:$AA$302))),'GB_Tab2-1'!$AJ$48:$AJ$187))/1000</f>
        <v>523.47299999999996</v>
      </c>
      <c r="O24" s="195">
        <f t="array" ref="O24">SUM(IF((ISNUMBER(FIND("Total",'GB_Tab2-1'!$Z$48:$Z$302)))*(ISNUMBER(FIND("Base",'GB_Tab2-1'!$AB$48:$AB$302)))*(ISNUMBER(FIND(O$19,'GB_Tab2-1'!$AA$48:$AA$302))),'GB_Tab2-1'!$AJ$48:$AJ$187))/1000</f>
        <v>523.72799999999995</v>
      </c>
      <c r="P24" s="195">
        <f t="array" ref="P24">SUM(IF((ISNUMBER(FIND("Total",'GB_Tab2-1'!$Z$48:$Z$302)))*(ISNUMBER(FIND("Base",'GB_Tab2-1'!$AB$48:$AB$302)))*(ISNUMBER(FIND(P$19,'GB_Tab2-1'!$AA$48:$AA$302))),'GB_Tab2-1'!$AJ$48:$AJ$187))/1000</f>
        <v>617.07399999999996</v>
      </c>
    </row>
    <row r="25" spans="2:20">
      <c r="B25" t="s">
        <v>554</v>
      </c>
      <c r="C25" s="195">
        <f>C24+C23+C22</f>
        <v>410.57000000000005</v>
      </c>
      <c r="D25" s="195">
        <f t="shared" ref="D25:P25" si="10">D24+D23+D22</f>
        <v>431.495</v>
      </c>
      <c r="E25" s="195">
        <f t="shared" si="10"/>
        <v>479.03200000000004</v>
      </c>
      <c r="F25" s="195">
        <f t="shared" si="10"/>
        <v>513.21900000000005</v>
      </c>
      <c r="G25" s="195">
        <f t="shared" si="10"/>
        <v>527.92200000000003</v>
      </c>
      <c r="H25" s="195">
        <f t="shared" si="10"/>
        <v>528.23400000000004</v>
      </c>
      <c r="I25" s="195">
        <f t="shared" si="10"/>
        <v>530.41099999999994</v>
      </c>
      <c r="J25" s="195">
        <f t="shared" si="10"/>
        <v>495.46600000000001</v>
      </c>
      <c r="K25" s="195">
        <f t="shared" si="10"/>
        <v>496.28499999999997</v>
      </c>
      <c r="L25" s="195">
        <f t="shared" si="10"/>
        <v>497.34100000000001</v>
      </c>
      <c r="M25" s="195">
        <f t="shared" si="10"/>
        <v>521.35</v>
      </c>
      <c r="N25" s="195">
        <f t="shared" si="10"/>
        <v>523.47299999999996</v>
      </c>
      <c r="O25" s="195">
        <f t="shared" si="10"/>
        <v>523.72799999999995</v>
      </c>
      <c r="P25" s="195">
        <f t="shared" si="10"/>
        <v>617.07399999999996</v>
      </c>
    </row>
    <row r="28" spans="2:20">
      <c r="C28" s="104"/>
      <c r="P28" s="195"/>
    </row>
    <row r="29" spans="2:20">
      <c r="C29" s="104"/>
      <c r="D29" s="104"/>
      <c r="E29" s="104"/>
      <c r="F29" s="104"/>
      <c r="G29" s="104"/>
      <c r="H29" s="104"/>
      <c r="I29" s="104"/>
      <c r="J29" s="104"/>
      <c r="K29" s="104"/>
      <c r="L29" s="104"/>
      <c r="M29" s="104"/>
      <c r="N29" s="104"/>
      <c r="O29" s="104"/>
      <c r="P29" s="104"/>
    </row>
    <row r="30" spans="2:20">
      <c r="C30" s="104"/>
      <c r="D30" s="104"/>
      <c r="E30" s="104"/>
      <c r="F30" s="104"/>
      <c r="G30" s="104"/>
      <c r="H30" s="104"/>
      <c r="I30" s="104"/>
      <c r="J30" s="104"/>
      <c r="K30" s="104"/>
      <c r="L30" s="104"/>
      <c r="M30" s="104"/>
      <c r="N30" s="104"/>
      <c r="O30" s="104"/>
      <c r="P30" s="104"/>
    </row>
    <row r="31" spans="2:20">
      <c r="C31" s="10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237"/>
  <sheetViews>
    <sheetView topLeftCell="A3" workbookViewId="0">
      <selection activeCell="G26" sqref="G26"/>
    </sheetView>
  </sheetViews>
  <sheetFormatPr baseColWidth="10" defaultRowHeight="16"/>
  <cols>
    <col min="1" max="1" width="54.1640625" bestFit="1" customWidth="1"/>
    <col min="3" max="4" width="15.83203125" style="69" bestFit="1" customWidth="1"/>
    <col min="5" max="5" width="52.5" bestFit="1" customWidth="1"/>
  </cols>
  <sheetData>
    <row r="1" spans="1:8">
      <c r="B1" t="s">
        <v>293</v>
      </c>
      <c r="C1" s="69">
        <f>C2/SUM(C5:C522)</f>
        <v>0.95665628490464649</v>
      </c>
      <c r="D1" s="69">
        <f>D2/SUM(D5:D522)</f>
        <v>0.96188870517621017</v>
      </c>
    </row>
    <row r="2" spans="1:8">
      <c r="C2" s="69">
        <f>SUBTOTAL(9,C5:C203)</f>
        <v>1522.926300000001</v>
      </c>
      <c r="D2" s="69">
        <f>SUBTOTAL(9,D5:D203)</f>
        <v>1741.4868994618648</v>
      </c>
    </row>
    <row r="3" spans="1:8" s="68" customFormat="1" ht="21">
      <c r="A3" s="68" t="s">
        <v>285</v>
      </c>
      <c r="B3" s="68" t="s">
        <v>283</v>
      </c>
      <c r="C3" s="273" t="s">
        <v>286</v>
      </c>
      <c r="D3" s="273" t="s">
        <v>556</v>
      </c>
      <c r="E3" s="68" t="s">
        <v>290</v>
      </c>
    </row>
    <row r="4" spans="1:8" s="68" customFormat="1" ht="21">
      <c r="C4" s="273"/>
      <c r="D4" s="273"/>
    </row>
    <row r="5" spans="1:8">
      <c r="A5" t="s">
        <v>51</v>
      </c>
      <c r="B5">
        <v>2017</v>
      </c>
      <c r="C5" s="69">
        <v>13.5</v>
      </c>
      <c r="D5" s="69">
        <f>C5/LOOKUP(B5,pgdp!$A$7:$A$84,pgdp!$C$7:$C$84)</f>
        <v>14.029758527917098</v>
      </c>
      <c r="E5" t="s">
        <v>51</v>
      </c>
    </row>
    <row r="6" spans="1:8">
      <c r="A6" t="s">
        <v>52</v>
      </c>
      <c r="B6">
        <v>2017</v>
      </c>
      <c r="C6" s="69">
        <v>19.100000000000001</v>
      </c>
      <c r="D6" s="69">
        <f>C6/LOOKUP(B6,pgdp!$A$7:$A$84,pgdp!$C$7:$C$84)</f>
        <v>19.849510213571598</v>
      </c>
      <c r="E6" t="s">
        <v>52</v>
      </c>
    </row>
    <row r="7" spans="1:8">
      <c r="A7" t="s">
        <v>17</v>
      </c>
      <c r="B7">
        <v>2017</v>
      </c>
      <c r="C7" s="69">
        <v>0.5</v>
      </c>
      <c r="D7" s="69">
        <f>C7/LOOKUP(B7,pgdp!$A$7:$A$84,pgdp!$C$7:$C$84)</f>
        <v>0.51962068621915181</v>
      </c>
      <c r="E7" t="s">
        <v>17</v>
      </c>
    </row>
    <row r="8" spans="1:8">
      <c r="A8" t="s">
        <v>18</v>
      </c>
      <c r="B8">
        <v>2017</v>
      </c>
      <c r="C8" s="69">
        <v>4.2</v>
      </c>
      <c r="D8" s="69">
        <f>C8/LOOKUP(B8,pgdp!$A$7:$A$84,pgdp!$C$7:$C$84)</f>
        <v>4.3648137642408749</v>
      </c>
      <c r="E8" t="s">
        <v>289</v>
      </c>
    </row>
    <row r="9" spans="1:8">
      <c r="A9" t="s">
        <v>24</v>
      </c>
      <c r="B9">
        <v>2017</v>
      </c>
      <c r="C9" s="69">
        <v>1.4</v>
      </c>
      <c r="D9" s="69">
        <f>C9/LOOKUP(B9,pgdp!$A$7:$A$84,pgdp!$C$7:$C$84)</f>
        <v>1.4549379214136249</v>
      </c>
      <c r="E9" t="s">
        <v>24</v>
      </c>
    </row>
    <row r="10" spans="1:8">
      <c r="A10" t="s">
        <v>49</v>
      </c>
      <c r="B10">
        <v>2017</v>
      </c>
      <c r="C10" s="69">
        <v>1.5</v>
      </c>
      <c r="D10" s="69">
        <f>C10/LOOKUP(B10,pgdp!$A$7:$A$84,pgdp!$C$7:$C$84)</f>
        <v>1.5588620586574553</v>
      </c>
      <c r="E10" t="s">
        <v>49</v>
      </c>
    </row>
    <row r="11" spans="1:8">
      <c r="A11" t="s">
        <v>58</v>
      </c>
      <c r="B11">
        <v>2017</v>
      </c>
      <c r="C11" s="69">
        <v>0.3</v>
      </c>
      <c r="D11" s="69">
        <f>C11/LOOKUP(B11,pgdp!$A$7:$A$84,pgdp!$C$7:$C$84)</f>
        <v>0.31177241173149106</v>
      </c>
      <c r="E11" t="s">
        <v>49</v>
      </c>
    </row>
    <row r="12" spans="1:8">
      <c r="A12" t="s">
        <v>26</v>
      </c>
      <c r="B12">
        <v>2017</v>
      </c>
      <c r="C12" s="69">
        <v>10.1</v>
      </c>
      <c r="D12" s="69">
        <f>C12/LOOKUP(B12,pgdp!$A$7:$A$84,pgdp!$C$7:$C$84)</f>
        <v>10.496337861626865</v>
      </c>
      <c r="E12" t="s">
        <v>26</v>
      </c>
    </row>
    <row r="13" spans="1:8">
      <c r="A13" t="s">
        <v>33</v>
      </c>
      <c r="B13">
        <v>2017</v>
      </c>
      <c r="C13" s="69">
        <v>9.5</v>
      </c>
      <c r="D13" s="69">
        <f>C13/LOOKUP(B13,pgdp!$A$7:$A$84,pgdp!$C$7:$C$84)</f>
        <v>9.8727930381638842</v>
      </c>
      <c r="E13" t="s">
        <v>33</v>
      </c>
    </row>
    <row r="14" spans="1:8">
      <c r="A14" t="s">
        <v>27</v>
      </c>
      <c r="B14">
        <v>2017</v>
      </c>
      <c r="C14" s="69">
        <v>1</v>
      </c>
      <c r="D14" s="69">
        <f>C14/LOOKUP(B14,pgdp!$A$7:$A$84,pgdp!$C$7:$C$84)</f>
        <v>1.0392413724383036</v>
      </c>
      <c r="E14" t="s">
        <v>332</v>
      </c>
      <c r="H14" t="s">
        <v>294</v>
      </c>
    </row>
    <row r="15" spans="1:8">
      <c r="A15" t="s">
        <v>23</v>
      </c>
      <c r="B15">
        <v>2017</v>
      </c>
      <c r="C15" s="69">
        <v>3.4</v>
      </c>
      <c r="D15" s="69">
        <f>C15/LOOKUP(B15,pgdp!$A$7:$A$84,pgdp!$C$7:$C$84)</f>
        <v>3.5334206662902319</v>
      </c>
      <c r="E15" t="s">
        <v>332</v>
      </c>
      <c r="H15" t="str">
        <f t="array" ref="H15">IFERROR(INDEX($E$5:$E$191, MATCH(0,COUNTIF($H$14:H14, $E$5:$E$191), 0)),"")</f>
        <v xml:space="preserve">Operations/Force Protection </v>
      </c>
    </row>
    <row r="16" spans="1:8">
      <c r="A16" t="s">
        <v>542</v>
      </c>
      <c r="B16">
        <v>2017</v>
      </c>
      <c r="C16" s="69">
        <v>-0.51</v>
      </c>
      <c r="D16" s="69">
        <f>C16/LOOKUP(B16,pgdp!$A$7:$A$84,pgdp!$C$7:$C$84)</f>
        <v>-0.53001309994353485</v>
      </c>
      <c r="E16" t="s">
        <v>330</v>
      </c>
    </row>
    <row r="17" spans="1:8">
      <c r="A17" t="s">
        <v>47</v>
      </c>
      <c r="B17">
        <v>2017</v>
      </c>
      <c r="C17" s="69">
        <f>5.2+11+2.3</f>
        <v>18.5</v>
      </c>
      <c r="D17" s="69">
        <f>C17/LOOKUP(B17,pgdp!$A$7:$A$84,pgdp!$C$7:$C$84)</f>
        <v>19.225965390108616</v>
      </c>
      <c r="E17" t="s">
        <v>398</v>
      </c>
      <c r="H17" t="str">
        <f t="array" ref="H17">IFERROR(INDEX($E$5:$E$191, MATCH(0,COUNTIF($H$14:H15, $E$5:$E$191), 0)),"")</f>
        <v xml:space="preserve">In-Theater Support </v>
      </c>
    </row>
    <row r="18" spans="1:8">
      <c r="A18" t="s">
        <v>16</v>
      </c>
      <c r="B18">
        <v>2015</v>
      </c>
      <c r="C18" s="69">
        <v>11.9</v>
      </c>
      <c r="D18" s="69">
        <f>C18/LOOKUP(B18,pgdp!$A$7:$A$84,pgdp!$C$7:$C$84)</f>
        <v>12.724963636363636</v>
      </c>
      <c r="E18" t="s">
        <v>51</v>
      </c>
      <c r="H18" t="str">
        <f t="array" ref="H18">IFERROR(INDEX($E$5:$E$191, MATCH(0,COUNTIF($H$14:H17, $E$5:$E$191), 0)),"")</f>
        <v>Joint Improvised Explosive Device (IED) Defeat</v>
      </c>
    </row>
    <row r="19" spans="1:8">
      <c r="A19" t="s">
        <v>15</v>
      </c>
      <c r="B19">
        <v>2015</v>
      </c>
      <c r="C19" s="69">
        <v>20.100000000000001</v>
      </c>
      <c r="D19" s="69">
        <f>C19/LOOKUP(B19,pgdp!$A$7:$A$84,pgdp!$C$7:$C$84)</f>
        <v>21.493425974025975</v>
      </c>
      <c r="E19" t="s">
        <v>52</v>
      </c>
      <c r="H19" t="str">
        <f t="array" ref="H19">IFERROR(INDEX($E$5:$E$191, MATCH(0,COUNTIF($H$14:H18, $E$5:$E$191), 0)),"")</f>
        <v>Afghanistan Security Funding (ASFF, AIF)</v>
      </c>
    </row>
    <row r="20" spans="1:8">
      <c r="A20" t="s">
        <v>17</v>
      </c>
      <c r="B20">
        <v>2015</v>
      </c>
      <c r="C20" s="69">
        <v>0.4</v>
      </c>
      <c r="D20" s="69">
        <f>C20/LOOKUP(B20,pgdp!$A$7:$A$84,pgdp!$C$7:$C$84)</f>
        <v>0.42772987012987018</v>
      </c>
      <c r="E20" t="s">
        <v>17</v>
      </c>
      <c r="H20" t="str">
        <f t="array" ref="H20">IFERROR(INDEX($E$5:$E$191, MATCH(0,COUNTIF($H$14:H19, $E$5:$E$191), 0)),"")</f>
        <v>Support for Coalition Forces (Incl. Lift and Sustain)</v>
      </c>
    </row>
    <row r="21" spans="1:8">
      <c r="A21" t="s">
        <v>18</v>
      </c>
      <c r="B21">
        <v>2015</v>
      </c>
      <c r="C21" s="69">
        <v>4.0999999999999996</v>
      </c>
      <c r="D21" s="69">
        <f>C21/LOOKUP(B21,pgdp!$A$7:$A$84,pgdp!$C$7:$C$84)</f>
        <v>4.3842311688311684</v>
      </c>
      <c r="E21" t="s">
        <v>289</v>
      </c>
      <c r="H21" t="str">
        <f t="array" ref="H21">IFERROR(INDEX($E$5:$E$191, MATCH(0,COUNTIF($H$14:H20, $E$5:$E$191), 0)),"")</f>
        <v>Iraq Train and Equip Fund (ITEF, ISFF,STEF,CTEF)</v>
      </c>
    </row>
    <row r="22" spans="1:8">
      <c r="A22" t="s">
        <v>174</v>
      </c>
      <c r="B22">
        <v>2015</v>
      </c>
      <c r="C22" s="69">
        <v>1.7</v>
      </c>
      <c r="D22" s="69">
        <f>C22/LOOKUP(B22,pgdp!$A$7:$A$84,pgdp!$C$7:$C$84)</f>
        <v>1.8178519480519479</v>
      </c>
      <c r="E22" t="s">
        <v>24</v>
      </c>
      <c r="H22" t="str">
        <f t="array" ref="H22">IFERROR(INDEX($E$5:$E$191, MATCH(0,COUNTIF($H$14:H21, $E$5:$E$191), 0)),"")</f>
        <v>Equipment Reset and Readiness</v>
      </c>
    </row>
    <row r="23" spans="1:8">
      <c r="A23" t="s">
        <v>223</v>
      </c>
      <c r="B23">
        <v>2015</v>
      </c>
      <c r="C23" s="69">
        <v>0.3</v>
      </c>
      <c r="D23" s="69">
        <f>C23/LOOKUP(B23,pgdp!$A$7:$A$84,pgdp!$C$7:$C$84)</f>
        <v>0.32079740259740258</v>
      </c>
      <c r="E23" t="s">
        <v>17</v>
      </c>
      <c r="H23" t="str">
        <f t="array" ref="H23">IFERROR(INDEX($E$5:$E$191, MATCH(0,COUNTIF($H$14:H22, $E$5:$E$191), 0)),"")</f>
        <v>Classified and Military Intelligence Programs</v>
      </c>
    </row>
    <row r="24" spans="1:8">
      <c r="A24" t="s">
        <v>21</v>
      </c>
      <c r="B24">
        <v>2015</v>
      </c>
      <c r="C24" s="69">
        <v>0.1</v>
      </c>
      <c r="D24" s="69">
        <f>C24/LOOKUP(B24,pgdp!$A$7:$A$84,pgdp!$C$7:$C$84)</f>
        <v>0.10693246753246755</v>
      </c>
      <c r="E24" t="s">
        <v>52</v>
      </c>
      <c r="H24" t="str">
        <f t="array" ref="H24">IFERROR(INDEX($E$5:$E$191, MATCH(0,COUNTIF($H$14:H23, $E$5:$E$191), 0)),"")</f>
        <v>Security Cooperation (ERI, CTPF)</v>
      </c>
    </row>
    <row r="25" spans="1:8">
      <c r="A25" t="s">
        <v>224</v>
      </c>
      <c r="B25">
        <v>2015</v>
      </c>
      <c r="C25" s="69">
        <v>1.6</v>
      </c>
      <c r="D25" s="69">
        <f>C25/LOOKUP(B25,pgdp!$A$7:$A$84,pgdp!$C$7:$C$84)</f>
        <v>1.7109194805194807</v>
      </c>
      <c r="E25" t="s">
        <v>49</v>
      </c>
      <c r="H25" t="str">
        <f t="array" ref="H25">IFERROR(INDEX($E$5:$E$191, MATCH(0,COUNTIF($H$14:H24, $E$5:$E$191), 0)),"")</f>
        <v>Other Supplemental Changes</v>
      </c>
    </row>
    <row r="26" spans="1:8">
      <c r="A26" t="s">
        <v>239</v>
      </c>
      <c r="B26">
        <v>2015</v>
      </c>
      <c r="C26" s="69">
        <v>0.5</v>
      </c>
      <c r="D26" s="69">
        <f>C26/LOOKUP(B26,pgdp!$A$7:$A$84,pgdp!$C$7:$C$84)</f>
        <v>0.53466233766233773</v>
      </c>
      <c r="E26" t="s">
        <v>49</v>
      </c>
      <c r="H26" t="str">
        <f t="array" ref="H26">IFERROR(INDEX($E$5:$E$191, MATCH(0,COUNTIF($H$14:H25, $E$5:$E$191), 0)),"")</f>
        <v>OCO for Base</v>
      </c>
    </row>
    <row r="27" spans="1:8">
      <c r="A27" t="s">
        <v>240</v>
      </c>
      <c r="B27">
        <v>2015</v>
      </c>
      <c r="C27" s="69">
        <f>10.1-C37-1.8</f>
        <v>6</v>
      </c>
      <c r="D27" s="69">
        <f>C27/LOOKUP(B27,pgdp!$A$7:$A$84,pgdp!$C$7:$C$84)</f>
        <v>6.4159480519480523</v>
      </c>
      <c r="E27" t="s">
        <v>26</v>
      </c>
      <c r="H27" t="str">
        <f t="array" ref="H27">IFERROR(INDEX($E$5:$E$191, MATCH(0,COUNTIF($H$14:H26, $E$5:$E$191), 0)),"")</f>
        <v>Temporary Military End Strength</v>
      </c>
    </row>
    <row r="28" spans="1:8">
      <c r="A28" t="s">
        <v>22</v>
      </c>
      <c r="B28">
        <v>2015</v>
      </c>
      <c r="C28" s="69">
        <v>2.2999999999999998</v>
      </c>
      <c r="D28" s="69">
        <f>C28/LOOKUP(B28,pgdp!$A$7:$A$84,pgdp!$C$7:$C$84)</f>
        <v>2.4594467532467532</v>
      </c>
      <c r="E28" t="s">
        <v>22</v>
      </c>
      <c r="H28" t="str">
        <f t="array" ref="H28">IFERROR(INDEX($E$5:$E$191, MATCH(0,COUNTIF($H$14:H27, $E$5:$E$191), 0)),"")</f>
        <v>Forces and Infrastructure</v>
      </c>
    </row>
    <row r="29" spans="1:8">
      <c r="A29" t="s">
        <v>241</v>
      </c>
      <c r="B29">
        <v>2015</v>
      </c>
      <c r="C29" s="69">
        <v>3.4</v>
      </c>
      <c r="D29" s="69">
        <f>C29/LOOKUP(B29,pgdp!$A$7:$A$84,pgdp!$C$7:$C$84)</f>
        <v>3.6357038961038959</v>
      </c>
      <c r="E29" t="s">
        <v>33</v>
      </c>
      <c r="H29" t="str">
        <f t="array" ref="H29">IFERROR(INDEX($E$5:$E$191, MATCH(0,COUNTIF($H$14:H28, $E$5:$E$191), 0)),"")</f>
        <v/>
      </c>
    </row>
    <row r="30" spans="1:8">
      <c r="A30" t="s">
        <v>242</v>
      </c>
      <c r="B30">
        <v>2015</v>
      </c>
      <c r="C30" s="69">
        <v>4.9000000000000004</v>
      </c>
      <c r="D30" s="69">
        <f>C30/LOOKUP(B30,pgdp!$A$7:$A$84,pgdp!$C$7:$C$84)</f>
        <v>5.2396909090909096</v>
      </c>
      <c r="E30" t="s">
        <v>33</v>
      </c>
      <c r="H30" t="str">
        <f t="array" ref="H30">IFERROR(INDEX($E$5:$E$191, MATCH(0,COUNTIF($H$14:H29, $E$5:$E$191), 0)),"")</f>
        <v/>
      </c>
    </row>
    <row r="31" spans="1:8">
      <c r="A31" t="s">
        <v>243</v>
      </c>
      <c r="B31">
        <v>2015</v>
      </c>
      <c r="C31" s="69">
        <v>0.8</v>
      </c>
      <c r="D31" s="69">
        <f>C31/LOOKUP(B31,pgdp!$A$7:$A$84,pgdp!$C$7:$C$84)</f>
        <v>0.85545974025974036</v>
      </c>
      <c r="E31" t="s">
        <v>332</v>
      </c>
      <c r="H31" t="str">
        <f t="array" ref="H31">IFERROR(INDEX($E$5:$E$191, MATCH(0,COUNTIF($H$14:H30, $E$5:$E$191), 0)),"")</f>
        <v/>
      </c>
    </row>
    <row r="32" spans="1:8">
      <c r="A32" t="s">
        <v>23</v>
      </c>
      <c r="B32">
        <v>2015</v>
      </c>
      <c r="C32" s="69">
        <v>1</v>
      </c>
      <c r="D32" s="69">
        <f>C32/LOOKUP(B32,pgdp!$A$7:$A$84,pgdp!$C$7:$C$84)</f>
        <v>1.0693246753246755</v>
      </c>
      <c r="E32" t="s">
        <v>332</v>
      </c>
      <c r="H32" t="str">
        <f t="array" ref="H32">IFERROR(INDEX($E$5:$E$191, MATCH(0,COUNTIF($H$14:H31, $E$5:$E$191), 0)),"")</f>
        <v/>
      </c>
    </row>
    <row r="33" spans="1:8">
      <c r="A33" t="s">
        <v>244</v>
      </c>
      <c r="B33">
        <v>2015</v>
      </c>
      <c r="C33" s="69">
        <v>2.2999999999999998</v>
      </c>
      <c r="D33" s="69">
        <f>C33/LOOKUP(B33,pgdp!$A$7:$A$84,pgdp!$C$7:$C$84)</f>
        <v>2.4594467532467532</v>
      </c>
      <c r="E33" t="s">
        <v>26</v>
      </c>
      <c r="H33" t="str">
        <f t="array" ref="H33">IFERROR(INDEX($E$5:$E$191, MATCH(0,COUNTIF($H$14:H32, $E$5:$E$191), 0)),"")</f>
        <v/>
      </c>
    </row>
    <row r="34" spans="1:8">
      <c r="A34" t="s">
        <v>227</v>
      </c>
      <c r="B34">
        <v>2015</v>
      </c>
      <c r="C34" s="69">
        <v>-1.2</v>
      </c>
      <c r="D34" s="69">
        <f>C34/LOOKUP(B34,pgdp!$A$7:$A$84,pgdp!$C$7:$C$84)</f>
        <v>-1.2831896103896103</v>
      </c>
      <c r="E34" t="s">
        <v>330</v>
      </c>
      <c r="H34" t="str">
        <f t="array" ref="H34">IFERROR(INDEX($E$5:$E$191, MATCH(0,COUNTIF($H$14:H33, $E$5:$E$191), 0)),"")</f>
        <v/>
      </c>
    </row>
    <row r="35" spans="1:8">
      <c r="A35" t="s">
        <v>402</v>
      </c>
      <c r="B35">
        <v>2015</v>
      </c>
      <c r="C35" s="69">
        <v>0.113</v>
      </c>
      <c r="D35" s="69">
        <f>C35/LOOKUP(B35,pgdp!$A$7:$A$84,pgdp!$C$7:$C$84)</f>
        <v>0.12083368831168832</v>
      </c>
      <c r="E35" t="s">
        <v>330</v>
      </c>
      <c r="H35" t="str">
        <f t="array" ref="H35">IFERROR(INDEX($E$5:$E$191, MATCH(0,COUNTIF($H$14:H33, $E$5:$E$191), 0)),"")</f>
        <v/>
      </c>
    </row>
    <row r="36" spans="1:8">
      <c r="A36" t="s">
        <v>542</v>
      </c>
      <c r="B36">
        <v>2015</v>
      </c>
      <c r="C36" s="69">
        <v>-0.71799999999999997</v>
      </c>
      <c r="D36" s="69">
        <f>C36/LOOKUP(B36,pgdp!$A$7:$A$84,pgdp!$C$7:$C$84)</f>
        <v>-0.76777511688311684</v>
      </c>
      <c r="E36" t="s">
        <v>330</v>
      </c>
    </row>
    <row r="37" spans="1:8">
      <c r="A37" t="s">
        <v>47</v>
      </c>
      <c r="B37">
        <v>2015</v>
      </c>
      <c r="C37" s="69">
        <v>2.2999999999999998</v>
      </c>
      <c r="D37" s="69">
        <f>C37/LOOKUP(B37,pgdp!$A$7:$A$84,pgdp!$C$7:$C$84)</f>
        <v>2.4594467532467532</v>
      </c>
      <c r="E37" t="s">
        <v>398</v>
      </c>
      <c r="H37" t="str">
        <f t="array" ref="H37">IFERROR(INDEX($E$5:$E$191, MATCH(0,COUNTIF($H$14:H34, $E$5:$E$191), 0)),"")</f>
        <v/>
      </c>
    </row>
    <row r="38" spans="1:8">
      <c r="A38" t="s">
        <v>51</v>
      </c>
      <c r="B38">
        <v>2016</v>
      </c>
      <c r="C38" s="69">
        <v>8.8000000000000007</v>
      </c>
      <c r="D38" s="69">
        <f>C38/LOOKUP(B38,pgdp!$A$7:$A$84,pgdp!$C$7:$C$84)</f>
        <v>9.3021153036196527</v>
      </c>
      <c r="E38" t="s">
        <v>51</v>
      </c>
      <c r="H38" t="str">
        <f t="array" ref="H38">IFERROR(INDEX($E$5:$E$191, MATCH(0,COUNTIF($H$14:H34, $E$5:$E$191), 0)),"")</f>
        <v/>
      </c>
    </row>
    <row r="39" spans="1:8">
      <c r="A39" t="s">
        <v>52</v>
      </c>
      <c r="B39">
        <v>2016</v>
      </c>
      <c r="C39" s="69">
        <v>14.8</v>
      </c>
      <c r="D39" s="69">
        <f>C39/LOOKUP(B39,pgdp!$A$7:$A$84,pgdp!$C$7:$C$84)</f>
        <v>15.644466646996687</v>
      </c>
      <c r="E39" t="s">
        <v>52</v>
      </c>
      <c r="H39" t="str">
        <f t="array" ref="H39">IFERROR(INDEX($E$5:$E$191, MATCH(0,COUNTIF($H$14:H38, $E$5:$E$191), 0)),"")</f>
        <v/>
      </c>
    </row>
    <row r="40" spans="1:8">
      <c r="A40" t="s">
        <v>17</v>
      </c>
      <c r="B40">
        <v>2016</v>
      </c>
      <c r="C40" s="69">
        <v>0.4</v>
      </c>
      <c r="D40" s="69">
        <f>C40/LOOKUP(B40,pgdp!$A$7:$A$84,pgdp!$C$7:$C$84)</f>
        <v>0.42282342289180236</v>
      </c>
      <c r="E40" t="s">
        <v>17</v>
      </c>
      <c r="H40" t="str">
        <f t="array" ref="H40">IFERROR(INDEX($E$5:$E$191, MATCH(0,COUNTIF($H$14:H39, $E$5:$E$191), 0)),"")</f>
        <v/>
      </c>
    </row>
    <row r="41" spans="1:8">
      <c r="A41" t="s">
        <v>18</v>
      </c>
      <c r="B41">
        <v>2016</v>
      </c>
      <c r="C41" s="69">
        <v>3.6</v>
      </c>
      <c r="D41" s="69">
        <f>C41/LOOKUP(B41,pgdp!$A$7:$A$84,pgdp!$C$7:$C$84)</f>
        <v>3.8054108060262211</v>
      </c>
      <c r="E41" t="s">
        <v>289</v>
      </c>
      <c r="H41" t="str">
        <f t="array" ref="H41">IFERROR(INDEX($E$5:$E$191, MATCH(0,COUNTIF($H$14:H40, $E$5:$E$191), 0)),"")</f>
        <v/>
      </c>
    </row>
    <row r="42" spans="1:8">
      <c r="A42" t="s">
        <v>24</v>
      </c>
      <c r="B42">
        <v>2016</v>
      </c>
      <c r="C42" s="69">
        <v>1.4</v>
      </c>
      <c r="D42" s="69">
        <f>C42/LOOKUP(B42,pgdp!$A$7:$A$84,pgdp!$C$7:$C$84)</f>
        <v>1.4798819801213081</v>
      </c>
      <c r="E42" t="s">
        <v>24</v>
      </c>
      <c r="H42" t="str">
        <f t="array" ref="H42">IFERROR(INDEX($E$5:$E$191, MATCH(0,COUNTIF($H$14:H41, $E$5:$E$191), 0)),"")</f>
        <v/>
      </c>
    </row>
    <row r="43" spans="1:8">
      <c r="A43" t="s">
        <v>49</v>
      </c>
      <c r="B43">
        <v>2016</v>
      </c>
      <c r="C43" s="69">
        <v>0.7</v>
      </c>
      <c r="D43" s="69">
        <f>C43/LOOKUP(B43,pgdp!$A$7:$A$84,pgdp!$C$7:$C$84)</f>
        <v>0.73994099006065406</v>
      </c>
      <c r="E43" t="s">
        <v>49</v>
      </c>
      <c r="H43" t="str">
        <f t="array" ref="H43">IFERROR(INDEX($E$5:$E$191, MATCH(0,COUNTIF($H$14:H42, $E$5:$E$191), 0)),"")</f>
        <v/>
      </c>
    </row>
    <row r="44" spans="1:8">
      <c r="A44" t="s">
        <v>26</v>
      </c>
      <c r="B44">
        <v>2016</v>
      </c>
      <c r="C44" s="69">
        <v>10.1</v>
      </c>
      <c r="D44" s="69">
        <f>C44/LOOKUP(B44,pgdp!$A$7:$A$84,pgdp!$C$7:$C$84)</f>
        <v>10.676291428018009</v>
      </c>
      <c r="E44" t="s">
        <v>26</v>
      </c>
      <c r="H44" t="str">
        <f t="array" ref="H44">IFERROR(INDEX($E$5:$E$191, MATCH(0,COUNTIF($H$14:H43, $E$5:$E$191), 0)),"")</f>
        <v/>
      </c>
    </row>
    <row r="45" spans="1:8">
      <c r="A45" t="s">
        <v>33</v>
      </c>
      <c r="B45">
        <v>2016</v>
      </c>
      <c r="C45" s="69">
        <v>8.1</v>
      </c>
      <c r="D45" s="69">
        <f>C45/LOOKUP(B45,pgdp!$A$7:$A$84,pgdp!$C$7:$C$84)</f>
        <v>8.5621743135589963</v>
      </c>
      <c r="E45" t="s">
        <v>33</v>
      </c>
      <c r="H45" t="str">
        <f t="array" ref="H45">IFERROR(INDEX($E$5:$E$191, MATCH(0,COUNTIF($H$14:H44, $E$5:$E$191), 0)),"")</f>
        <v/>
      </c>
    </row>
    <row r="46" spans="1:8">
      <c r="A46" t="s">
        <v>27</v>
      </c>
      <c r="B46">
        <v>2016</v>
      </c>
      <c r="C46" s="69">
        <v>1.1000000000000001</v>
      </c>
      <c r="D46" s="69">
        <f>C46/LOOKUP(B46,pgdp!$A$7:$A$84,pgdp!$C$7:$C$84)</f>
        <v>1.1627644129524566</v>
      </c>
      <c r="E46" t="s">
        <v>332</v>
      </c>
      <c r="H46" t="str">
        <f t="array" ref="H46">IFERROR(INDEX($E$5:$E$191, MATCH(0,COUNTIF($H$14:H45, $E$5:$E$191), 0)),"")</f>
        <v/>
      </c>
    </row>
    <row r="47" spans="1:8">
      <c r="A47" t="s">
        <v>23</v>
      </c>
      <c r="B47">
        <v>2016</v>
      </c>
      <c r="C47" s="69">
        <v>0.8</v>
      </c>
      <c r="D47" s="69">
        <f>C47/LOOKUP(B47,pgdp!$A$7:$A$84,pgdp!$C$7:$C$84)</f>
        <v>0.84564684578360472</v>
      </c>
      <c r="E47" t="s">
        <v>332</v>
      </c>
      <c r="H47" t="str">
        <f t="array" ref="H47">IFERROR(INDEX($E$5:$E$191, MATCH(0,COUNTIF($H$14:H46, $E$5:$E$191), 0)),"")</f>
        <v/>
      </c>
    </row>
    <row r="48" spans="1:8">
      <c r="A48" t="s">
        <v>47</v>
      </c>
      <c r="B48">
        <v>2016</v>
      </c>
      <c r="C48" s="69">
        <v>7.7</v>
      </c>
      <c r="D48" s="69">
        <f>C48/LOOKUP(B48,pgdp!$A$7:$A$84,pgdp!$C$7:$C$84)</f>
        <v>8.1393508906671954</v>
      </c>
      <c r="E48" t="s">
        <v>398</v>
      </c>
      <c r="H48" t="str">
        <f t="array" ref="H48">IFERROR(INDEX($E$5:$E$191, MATCH(0,COUNTIF($H$14:H47, $E$5:$E$191), 0)),"")</f>
        <v/>
      </c>
    </row>
    <row r="49" spans="1:5">
      <c r="A49" t="s">
        <v>57</v>
      </c>
      <c r="B49">
        <v>2016</v>
      </c>
      <c r="C49" s="69">
        <v>1.5</v>
      </c>
      <c r="D49" s="69">
        <f>C49/LOOKUP(B49,pgdp!$A$7:$A$84,pgdp!$C$7:$C$84)</f>
        <v>1.5855878358442588</v>
      </c>
      <c r="E49" t="s">
        <v>26</v>
      </c>
    </row>
    <row r="50" spans="1:5">
      <c r="A50" t="s">
        <v>542</v>
      </c>
      <c r="B50">
        <v>2016</v>
      </c>
      <c r="C50" s="69">
        <v>-5.8000000000000003E-2</v>
      </c>
      <c r="D50" s="69">
        <f>C50/LOOKUP(B50,pgdp!$A$7:$A$84,pgdp!$C$7:$C$84)</f>
        <v>-6.1309396319311343E-2</v>
      </c>
      <c r="E50" t="s">
        <v>330</v>
      </c>
    </row>
    <row r="51" spans="1:5">
      <c r="A51" t="s">
        <v>31</v>
      </c>
      <c r="B51">
        <v>2016</v>
      </c>
      <c r="C51" s="69">
        <v>-0.4</v>
      </c>
      <c r="D51" s="69">
        <f>C51/LOOKUP(B51,pgdp!$A$7:$A$84,pgdp!$C$7:$C$84)</f>
        <v>-0.42282342289180236</v>
      </c>
      <c r="E51" t="s">
        <v>330</v>
      </c>
    </row>
    <row r="52" spans="1:5">
      <c r="A52" t="s">
        <v>221</v>
      </c>
      <c r="B52">
        <v>2014</v>
      </c>
      <c r="C52" s="69">
        <v>26.2</v>
      </c>
      <c r="D52" s="69">
        <f>C52/LOOKUP(B52,pgdp!$A$7:$A$84,pgdp!$C$7:$C$84)</f>
        <v>28.354113878954323</v>
      </c>
      <c r="E52" t="s">
        <v>51</v>
      </c>
    </row>
    <row r="53" spans="1:5">
      <c r="A53" t="s">
        <v>222</v>
      </c>
      <c r="B53">
        <v>2014</v>
      </c>
      <c r="C53" s="69">
        <v>19.899999999999999</v>
      </c>
      <c r="D53" s="69">
        <f>C53/LOOKUP(B53,pgdp!$A$7:$A$84,pgdp!$C$7:$C$84)</f>
        <v>21.53613993096149</v>
      </c>
      <c r="E53" t="s">
        <v>52</v>
      </c>
    </row>
    <row r="54" spans="1:5">
      <c r="A54" t="s">
        <v>17</v>
      </c>
      <c r="B54">
        <v>2014</v>
      </c>
      <c r="C54" s="69">
        <v>0.9</v>
      </c>
      <c r="D54" s="69">
        <f>C54/LOOKUP(B54,pgdp!$A$7:$A$84,pgdp!$C$7:$C$84)</f>
        <v>0.97399627828469049</v>
      </c>
      <c r="E54" t="s">
        <v>17</v>
      </c>
    </row>
    <row r="55" spans="1:5">
      <c r="A55" t="s">
        <v>18</v>
      </c>
      <c r="B55">
        <v>2014</v>
      </c>
      <c r="C55" s="69">
        <v>4.7</v>
      </c>
      <c r="D55" s="69">
        <f>C55/LOOKUP(B55,pgdp!$A$7:$A$84,pgdp!$C$7:$C$84)</f>
        <v>5.0864250088200507</v>
      </c>
      <c r="E55" t="s">
        <v>289</v>
      </c>
    </row>
    <row r="56" spans="1:5">
      <c r="A56" t="s">
        <v>32</v>
      </c>
      <c r="B56">
        <v>2014</v>
      </c>
      <c r="C56" s="69">
        <v>0.2</v>
      </c>
      <c r="D56" s="69">
        <f>C56/LOOKUP(B56,pgdp!$A$7:$A$84,pgdp!$C$7:$C$84)</f>
        <v>0.2164436173965979</v>
      </c>
      <c r="E56" t="s">
        <v>289</v>
      </c>
    </row>
    <row r="57" spans="1:5">
      <c r="A57" t="s">
        <v>174</v>
      </c>
      <c r="B57">
        <v>2014</v>
      </c>
      <c r="C57" s="69">
        <v>1.7</v>
      </c>
      <c r="D57" s="69">
        <f>C57/LOOKUP(B57,pgdp!$A$7:$A$84,pgdp!$C$7:$C$84)</f>
        <v>1.8397707478710821</v>
      </c>
      <c r="E57" t="s">
        <v>24</v>
      </c>
    </row>
    <row r="58" spans="1:5">
      <c r="A58" t="s">
        <v>20</v>
      </c>
      <c r="B58">
        <v>2014</v>
      </c>
      <c r="C58" s="69">
        <v>0.1</v>
      </c>
      <c r="D58" s="69">
        <f>C58/LOOKUP(B58,pgdp!$A$7:$A$84,pgdp!$C$7:$C$84)</f>
        <v>0.10822180869829895</v>
      </c>
      <c r="E58" t="s">
        <v>289</v>
      </c>
    </row>
    <row r="59" spans="1:5">
      <c r="A59" t="s">
        <v>21</v>
      </c>
      <c r="B59">
        <v>2014</v>
      </c>
      <c r="C59" s="69">
        <v>0.2</v>
      </c>
      <c r="D59" s="69">
        <f>C59/LOOKUP(B59,pgdp!$A$7:$A$84,pgdp!$C$7:$C$84)</f>
        <v>0.2164436173965979</v>
      </c>
      <c r="E59" t="s">
        <v>52</v>
      </c>
    </row>
    <row r="60" spans="1:5">
      <c r="A60" t="s">
        <v>194</v>
      </c>
      <c r="B60">
        <v>2014</v>
      </c>
      <c r="C60" s="69">
        <v>8.8000000000000007</v>
      </c>
      <c r="D60" s="69">
        <f>C60/LOOKUP(B60,pgdp!$A$7:$A$84,pgdp!$C$7:$C$84)</f>
        <v>9.523519165450308</v>
      </c>
      <c r="E60" t="s">
        <v>26</v>
      </c>
    </row>
    <row r="61" spans="1:5">
      <c r="A61" t="s">
        <v>22</v>
      </c>
      <c r="B61">
        <v>2014</v>
      </c>
      <c r="C61" s="69">
        <v>4.7</v>
      </c>
      <c r="D61" s="69">
        <f>C61/LOOKUP(B61,pgdp!$A$7:$A$84,pgdp!$C$7:$C$84)</f>
        <v>5.0864250088200507</v>
      </c>
      <c r="E61" t="s">
        <v>22</v>
      </c>
    </row>
    <row r="62" spans="1:5">
      <c r="A62" t="s">
        <v>401</v>
      </c>
      <c r="B62">
        <v>2014</v>
      </c>
      <c r="C62" s="69">
        <v>0.22500000000000001</v>
      </c>
      <c r="D62" s="69">
        <f>C62/LOOKUP(B62,pgdp!$A$7:$A$84,pgdp!$C$7:$C$84)</f>
        <v>0.24349906957117262</v>
      </c>
      <c r="E62" t="s">
        <v>330</v>
      </c>
    </row>
    <row r="63" spans="1:5">
      <c r="A63" t="s">
        <v>542</v>
      </c>
      <c r="B63">
        <v>2014</v>
      </c>
      <c r="C63" s="69">
        <v>-0.27100000000000002</v>
      </c>
      <c r="D63" s="69">
        <f>C63/LOOKUP(B63,pgdp!$A$7:$A$84,pgdp!$C$7:$C$84)</f>
        <v>-0.29328110157239018</v>
      </c>
      <c r="E63" t="s">
        <v>330</v>
      </c>
    </row>
    <row r="64" spans="1:5">
      <c r="A64" t="s">
        <v>225</v>
      </c>
      <c r="B64">
        <v>2014</v>
      </c>
      <c r="C64" s="69">
        <v>17.8</v>
      </c>
      <c r="D64" s="69">
        <f>C64/LOOKUP(B64,pgdp!$A$7:$A$84,pgdp!$C$7:$C$84)</f>
        <v>19.263481948297212</v>
      </c>
      <c r="E64" t="s">
        <v>33</v>
      </c>
    </row>
    <row r="65" spans="1:6">
      <c r="A65" t="s">
        <v>191</v>
      </c>
      <c r="B65">
        <v>2013</v>
      </c>
      <c r="C65" s="69">
        <v>27.7</v>
      </c>
      <c r="D65" s="69">
        <f>C65/LOOKUP(B65,pgdp!$A$7:$A$84,pgdp!$C$7:$C$84)</f>
        <v>30.522118131532736</v>
      </c>
      <c r="E65" s="72" t="s">
        <v>51</v>
      </c>
      <c r="F65" s="59"/>
    </row>
    <row r="66" spans="1:6">
      <c r="A66" t="s">
        <v>165</v>
      </c>
      <c r="B66">
        <v>2013</v>
      </c>
      <c r="C66" s="69">
        <v>23</v>
      </c>
      <c r="D66" s="69">
        <f>C66/LOOKUP(B66,pgdp!$A$7:$A$84,pgdp!$C$7:$C$84)</f>
        <v>25.343274982861118</v>
      </c>
      <c r="E66" t="s">
        <v>52</v>
      </c>
      <c r="F66" s="59"/>
    </row>
    <row r="67" spans="1:6">
      <c r="A67" t="s">
        <v>17</v>
      </c>
      <c r="B67">
        <v>2013</v>
      </c>
      <c r="C67" s="69">
        <v>1.6</v>
      </c>
      <c r="D67" s="69">
        <f>C67/LOOKUP(B67,pgdp!$A$7:$A$84,pgdp!$C$7:$C$84)</f>
        <v>1.7630104335903387</v>
      </c>
      <c r="E67" t="s">
        <v>17</v>
      </c>
      <c r="F67" s="59"/>
    </row>
    <row r="68" spans="1:6">
      <c r="A68" t="s">
        <v>192</v>
      </c>
      <c r="B68">
        <v>2013</v>
      </c>
      <c r="C68" s="69">
        <f>4.4+4.9</f>
        <v>9.3000000000000007</v>
      </c>
      <c r="D68" s="69">
        <f>C68/LOOKUP(B68,pgdp!$A$7:$A$84,pgdp!$C$7:$C$84)</f>
        <v>10.247498145243844</v>
      </c>
      <c r="E68" t="s">
        <v>33</v>
      </c>
      <c r="F68" s="59"/>
    </row>
    <row r="69" spans="1:6">
      <c r="A69" t="s">
        <v>18</v>
      </c>
      <c r="B69">
        <v>2013</v>
      </c>
      <c r="C69" s="69">
        <v>5.0999999999999996</v>
      </c>
      <c r="D69" s="69">
        <f>C69/LOOKUP(B69,pgdp!$A$7:$A$84,pgdp!$C$7:$C$84)</f>
        <v>5.6195957570692041</v>
      </c>
      <c r="E69" t="s">
        <v>289</v>
      </c>
      <c r="F69" s="59"/>
    </row>
    <row r="70" spans="1:6">
      <c r="A70" t="s">
        <v>32</v>
      </c>
      <c r="B70">
        <v>2013</v>
      </c>
      <c r="C70" s="69">
        <v>0.3</v>
      </c>
      <c r="D70" s="69">
        <f>C70/LOOKUP(B70,pgdp!$A$7:$A$84,pgdp!$C$7:$C$84)</f>
        <v>0.33056445629818848</v>
      </c>
      <c r="E70" t="s">
        <v>289</v>
      </c>
      <c r="F70" s="59"/>
    </row>
    <row r="71" spans="1:6">
      <c r="A71" t="s">
        <v>19</v>
      </c>
      <c r="B71">
        <v>2013</v>
      </c>
      <c r="C71" s="69">
        <v>0.2</v>
      </c>
      <c r="D71" s="69">
        <f>C71/LOOKUP(B71,pgdp!$A$7:$A$84,pgdp!$C$7:$C$84)</f>
        <v>0.22037630419879234</v>
      </c>
      <c r="E71" t="s">
        <v>52</v>
      </c>
      <c r="F71" s="59"/>
    </row>
    <row r="72" spans="1:6">
      <c r="A72" t="s">
        <v>174</v>
      </c>
      <c r="B72">
        <v>2013</v>
      </c>
      <c r="C72" s="69">
        <v>2.1</v>
      </c>
      <c r="D72" s="69">
        <f>C72/LOOKUP(B72,pgdp!$A$7:$A$84,pgdp!$C$7:$C$84)</f>
        <v>2.3139511940873194</v>
      </c>
      <c r="E72" t="s">
        <v>24</v>
      </c>
      <c r="F72" s="59"/>
    </row>
    <row r="73" spans="1:6">
      <c r="A73" t="s">
        <v>20</v>
      </c>
      <c r="B73">
        <v>2013</v>
      </c>
      <c r="C73" s="69">
        <v>0.2</v>
      </c>
      <c r="D73" s="69">
        <f>C73/LOOKUP(B73,pgdp!$A$7:$A$84,pgdp!$C$7:$C$84)</f>
        <v>0.22037630419879234</v>
      </c>
      <c r="E73" t="s">
        <v>289</v>
      </c>
      <c r="F73" s="59"/>
    </row>
    <row r="74" spans="1:6">
      <c r="A74" t="s">
        <v>193</v>
      </c>
      <c r="B74">
        <v>2013</v>
      </c>
      <c r="C74" s="69">
        <v>0.5</v>
      </c>
      <c r="D74" s="69">
        <f>C74/LOOKUP(B74,pgdp!$A$7:$A$84,pgdp!$C$7:$C$84)</f>
        <v>0.55094076049698082</v>
      </c>
      <c r="E74" t="s">
        <v>52</v>
      </c>
      <c r="F74" s="59"/>
    </row>
    <row r="75" spans="1:6">
      <c r="A75" t="s">
        <v>194</v>
      </c>
      <c r="B75">
        <v>2013</v>
      </c>
      <c r="C75" s="69">
        <v>11.1</v>
      </c>
      <c r="D75" s="69">
        <f>C75/LOOKUP(B75,pgdp!$A$7:$A$84,pgdp!$C$7:$C$84)</f>
        <v>12.230884883032974</v>
      </c>
      <c r="E75" t="s">
        <v>26</v>
      </c>
      <c r="F75" s="59"/>
    </row>
    <row r="76" spans="1:6">
      <c r="A76" t="s">
        <v>175</v>
      </c>
      <c r="B76">
        <v>2013</v>
      </c>
      <c r="C76" s="69">
        <v>5.8</v>
      </c>
      <c r="D76" s="69">
        <f>C76/LOOKUP(B76,pgdp!$A$7:$A$84,pgdp!$C$7:$C$84)</f>
        <v>6.3909128217649771</v>
      </c>
      <c r="E76" t="s">
        <v>22</v>
      </c>
      <c r="F76" s="59"/>
    </row>
    <row r="77" spans="1:6">
      <c r="A77" t="s">
        <v>195</v>
      </c>
      <c r="B77">
        <v>2013</v>
      </c>
      <c r="C77" s="69">
        <v>0.2</v>
      </c>
      <c r="D77" s="69">
        <f>C77/LOOKUP(B77,pgdp!$A$7:$A$84,pgdp!$C$7:$C$84)</f>
        <v>0.22037630419879234</v>
      </c>
      <c r="E77" t="s">
        <v>331</v>
      </c>
      <c r="F77" s="59"/>
    </row>
    <row r="78" spans="1:6">
      <c r="A78" t="s">
        <v>197</v>
      </c>
      <c r="B78">
        <v>2013</v>
      </c>
      <c r="C78" s="69">
        <f>7-4.9</f>
        <v>2.0999999999999996</v>
      </c>
      <c r="D78" s="69">
        <f>C78/LOOKUP(B78,pgdp!$A$7:$A$84,pgdp!$C$7:$C$84)</f>
        <v>2.313951194087319</v>
      </c>
      <c r="E78" t="s">
        <v>330</v>
      </c>
      <c r="F78" s="59"/>
    </row>
    <row r="79" spans="1:6">
      <c r="A79" t="s">
        <v>400</v>
      </c>
      <c r="B79">
        <v>2013</v>
      </c>
      <c r="C79" s="69">
        <v>0.113</v>
      </c>
      <c r="D79" s="69">
        <f>C79/LOOKUP(B79,pgdp!$A$7:$A$84,pgdp!$C$7:$C$84)</f>
        <v>0.12451261187231767</v>
      </c>
      <c r="E79" t="s">
        <v>330</v>
      </c>
      <c r="F79" s="59"/>
    </row>
    <row r="80" spans="1:6">
      <c r="A80" t="s">
        <v>542</v>
      </c>
      <c r="B80">
        <v>2013</v>
      </c>
      <c r="C80" s="69">
        <v>-7.2270000000000003</v>
      </c>
      <c r="D80" s="69">
        <f>C80/LOOKUP(B80,pgdp!$A$7:$A$84,pgdp!$C$7:$C$84)</f>
        <v>-7.9632977522233617</v>
      </c>
      <c r="E80" t="s">
        <v>330</v>
      </c>
      <c r="F80" s="59"/>
    </row>
    <row r="81" spans="1:6">
      <c r="A81" t="s">
        <v>198</v>
      </c>
      <c r="B81">
        <v>2013</v>
      </c>
      <c r="C81" s="69">
        <v>-2</v>
      </c>
      <c r="D81" s="69">
        <f>C81/LOOKUP(B81,pgdp!$A$7:$A$84,pgdp!$C$7:$C$84)</f>
        <v>-2.2037630419879233</v>
      </c>
      <c r="E81" t="s">
        <v>330</v>
      </c>
      <c r="F81" s="59"/>
    </row>
    <row r="82" spans="1:6">
      <c r="A82" t="s">
        <v>0</v>
      </c>
      <c r="B82">
        <v>2012</v>
      </c>
      <c r="C82" s="69">
        <v>60.2</v>
      </c>
      <c r="D82" s="69">
        <f>C82/LOOKUP(B82,pgdp!$A$7:$A$84,pgdp!$C$7:$C$84)</f>
        <v>67.453877513990491</v>
      </c>
      <c r="E82" t="s">
        <v>51</v>
      </c>
      <c r="F82" s="59">
        <v>-2</v>
      </c>
    </row>
    <row r="83" spans="1:6">
      <c r="A83" t="s">
        <v>60</v>
      </c>
      <c r="B83">
        <v>2012</v>
      </c>
      <c r="C83" s="69">
        <v>6.5</v>
      </c>
      <c r="D83" s="69">
        <f>C83/LOOKUP(B83,pgdp!$A$7:$A$84,pgdp!$C$7:$C$84)</f>
        <v>7.2832259774242232</v>
      </c>
      <c r="E83" s="72" t="s">
        <v>51</v>
      </c>
      <c r="F83" s="59">
        <v>87.2</v>
      </c>
    </row>
    <row r="84" spans="1:6">
      <c r="A84" t="s">
        <v>152</v>
      </c>
      <c r="B84">
        <v>2012</v>
      </c>
      <c r="C84" s="69">
        <v>2.4</v>
      </c>
      <c r="D84" s="69">
        <f>C84/LOOKUP(B84,pgdp!$A$7:$A$84,pgdp!$C$7:$C$84)</f>
        <v>2.6891911301258666</v>
      </c>
      <c r="E84" t="s">
        <v>17</v>
      </c>
    </row>
    <row r="85" spans="1:6">
      <c r="A85" t="s">
        <v>173</v>
      </c>
      <c r="B85">
        <v>2012</v>
      </c>
      <c r="C85" s="69">
        <v>5.8</v>
      </c>
      <c r="D85" s="69">
        <f>C85/LOOKUP(B85,pgdp!$A$7:$A$84,pgdp!$C$7:$C$84)</f>
        <v>6.4988785644708447</v>
      </c>
      <c r="E85" t="s">
        <v>33</v>
      </c>
    </row>
    <row r="86" spans="1:6">
      <c r="A86" t="s">
        <v>18</v>
      </c>
      <c r="B86">
        <v>2012</v>
      </c>
      <c r="C86" s="69">
        <v>11.2</v>
      </c>
      <c r="D86" s="69">
        <f>C86/LOOKUP(B86,pgdp!$A$7:$A$84,pgdp!$C$7:$C$84)</f>
        <v>12.549558607254045</v>
      </c>
      <c r="E86" t="s">
        <v>289</v>
      </c>
    </row>
    <row r="87" spans="1:6">
      <c r="A87" t="s">
        <v>155</v>
      </c>
      <c r="B87">
        <v>2012</v>
      </c>
      <c r="C87" s="69">
        <v>0.4</v>
      </c>
      <c r="D87" s="69">
        <f>C87/LOOKUP(B87,pgdp!$A$7:$A$84,pgdp!$C$7:$C$84)</f>
        <v>0.44819852168764451</v>
      </c>
      <c r="E87" t="s">
        <v>289</v>
      </c>
    </row>
    <row r="88" spans="1:6">
      <c r="A88" t="s">
        <v>156</v>
      </c>
      <c r="B88">
        <v>2012</v>
      </c>
      <c r="C88" s="69">
        <v>0.4</v>
      </c>
      <c r="D88" s="69">
        <f>C88/LOOKUP(B88,pgdp!$A$7:$A$84,pgdp!$C$7:$C$84)</f>
        <v>0.44819852168764451</v>
      </c>
      <c r="E88" t="s">
        <v>52</v>
      </c>
    </row>
    <row r="89" spans="1:6">
      <c r="A89" t="s">
        <v>174</v>
      </c>
      <c r="B89">
        <v>2012</v>
      </c>
      <c r="C89" s="69">
        <v>2.1</v>
      </c>
      <c r="D89" s="69">
        <f>C89/LOOKUP(B89,pgdp!$A$7:$A$84,pgdp!$C$7:$C$84)</f>
        <v>2.3530422388601338</v>
      </c>
      <c r="E89" t="s">
        <v>24</v>
      </c>
    </row>
    <row r="90" spans="1:6">
      <c r="A90" t="s">
        <v>157</v>
      </c>
      <c r="B90">
        <v>2012</v>
      </c>
      <c r="C90" s="69">
        <v>13</v>
      </c>
      <c r="D90" s="69">
        <f>C90/LOOKUP(B90,pgdp!$A$7:$A$84,pgdp!$C$7:$C$84)</f>
        <v>14.566451954848446</v>
      </c>
      <c r="E90" t="s">
        <v>26</v>
      </c>
    </row>
    <row r="91" spans="1:6">
      <c r="A91" t="s">
        <v>45</v>
      </c>
      <c r="B91">
        <v>2012</v>
      </c>
      <c r="C91" s="69">
        <v>0.3</v>
      </c>
      <c r="D91" s="69">
        <f>C91/LOOKUP(B91,pgdp!$A$7:$A$84,pgdp!$C$7:$C$84)</f>
        <v>0.33614889126573333</v>
      </c>
      <c r="E91" t="s">
        <v>331</v>
      </c>
    </row>
    <row r="92" spans="1:6">
      <c r="A92" t="s">
        <v>175</v>
      </c>
      <c r="B92">
        <v>2012</v>
      </c>
      <c r="C92" s="69">
        <v>2.2000000000000002</v>
      </c>
      <c r="D92" s="69">
        <f>C92/LOOKUP(B92,pgdp!$A$7:$A$84,pgdp!$C$7:$C$84)</f>
        <v>2.4650918692820447</v>
      </c>
      <c r="E92" t="s">
        <v>22</v>
      </c>
    </row>
    <row r="93" spans="1:6">
      <c r="A93" t="s">
        <v>59</v>
      </c>
      <c r="B93">
        <v>2012</v>
      </c>
      <c r="C93" s="69">
        <v>5.4</v>
      </c>
      <c r="D93" s="69">
        <f>C93/LOOKUP(B93,pgdp!$A$7:$A$84,pgdp!$C$7:$C$84)</f>
        <v>6.0506800427832008</v>
      </c>
      <c r="E93" t="s">
        <v>33</v>
      </c>
    </row>
    <row r="94" spans="1:6">
      <c r="A94" t="s">
        <v>176</v>
      </c>
      <c r="B94">
        <v>2012</v>
      </c>
      <c r="C94" s="69">
        <v>5.8</v>
      </c>
      <c r="D94" s="69">
        <f>C94/LOOKUP(B94,pgdp!$A$7:$A$84,pgdp!$C$7:$C$84)</f>
        <v>6.4988785644708447</v>
      </c>
      <c r="E94" t="s">
        <v>330</v>
      </c>
    </row>
    <row r="95" spans="1:6">
      <c r="A95" t="s">
        <v>542</v>
      </c>
      <c r="B95">
        <v>2012</v>
      </c>
      <c r="C95" s="69">
        <v>-1.7000000000000001E-2</v>
      </c>
      <c r="D95" s="69">
        <f>C95/LOOKUP(B95,pgdp!$A$7:$A$84,pgdp!$C$7:$C$84)</f>
        <v>-1.9048437171724893E-2</v>
      </c>
      <c r="E95" t="s">
        <v>330</v>
      </c>
    </row>
    <row r="96" spans="1:6">
      <c r="A96" t="s">
        <v>177</v>
      </c>
      <c r="B96">
        <v>2012</v>
      </c>
      <c r="C96" s="69">
        <v>-0.6</v>
      </c>
      <c r="D96" s="69">
        <f>C96/LOOKUP(B96,pgdp!$A$7:$A$84,pgdp!$C$7:$C$84)</f>
        <v>-0.67229778253146666</v>
      </c>
      <c r="E96" t="s">
        <v>330</v>
      </c>
    </row>
    <row r="97" spans="1:8">
      <c r="A97" t="s">
        <v>0</v>
      </c>
      <c r="B97" s="66">
        <v>2011</v>
      </c>
      <c r="C97" s="69">
        <v>89.4</v>
      </c>
      <c r="D97" s="69">
        <f>C97/LOOKUP(B97,pgdp!$A$7:$A$84,pgdp!$C$7:$C$84)</f>
        <v>102.00966186252772</v>
      </c>
      <c r="E97" t="s">
        <v>51</v>
      </c>
    </row>
    <row r="98" spans="1:8">
      <c r="A98" t="s">
        <v>60</v>
      </c>
      <c r="B98" s="66">
        <v>2011</v>
      </c>
      <c r="C98" s="69">
        <v>12</v>
      </c>
      <c r="D98" s="69">
        <f>C98/LOOKUP(B98,pgdp!$A$7:$A$84,pgdp!$C$7:$C$84)</f>
        <v>13.692572062084256</v>
      </c>
      <c r="E98" s="72" t="s">
        <v>51</v>
      </c>
    </row>
    <row r="99" spans="1:8">
      <c r="A99" t="s">
        <v>152</v>
      </c>
      <c r="B99" s="66">
        <v>2011</v>
      </c>
      <c r="C99" s="69">
        <v>3.3</v>
      </c>
      <c r="D99" s="69">
        <f>C99/LOOKUP(B99,pgdp!$A$7:$A$84,pgdp!$C$7:$C$84)</f>
        <v>3.7654573170731704</v>
      </c>
      <c r="E99" t="s">
        <v>17</v>
      </c>
    </row>
    <row r="100" spans="1:8">
      <c r="A100" t="s">
        <v>153</v>
      </c>
      <c r="B100" s="66">
        <v>2011</v>
      </c>
      <c r="C100" s="69">
        <v>7</v>
      </c>
      <c r="D100" s="69">
        <f>C100/LOOKUP(B100,pgdp!$A$7:$A$84,pgdp!$C$7:$C$84)</f>
        <v>7.9873337028824833</v>
      </c>
      <c r="E100" t="s">
        <v>33</v>
      </c>
    </row>
    <row r="101" spans="1:8">
      <c r="A101" t="s">
        <v>154</v>
      </c>
      <c r="B101" s="66">
        <v>2011</v>
      </c>
      <c r="C101" s="69">
        <v>2</v>
      </c>
      <c r="D101" s="69">
        <f>C101/LOOKUP(B101,pgdp!$A$7:$A$84,pgdp!$C$7:$C$84)</f>
        <v>2.2820953436807092</v>
      </c>
      <c r="E101" t="s">
        <v>49</v>
      </c>
    </row>
    <row r="102" spans="1:8">
      <c r="A102" t="s">
        <v>133</v>
      </c>
      <c r="B102" s="66">
        <v>2011</v>
      </c>
      <c r="C102" s="69">
        <v>11.6</v>
      </c>
      <c r="D102" s="69">
        <f>C102/LOOKUP(B102,pgdp!$A$7:$A$84,pgdp!$C$7:$C$84)</f>
        <v>13.236152993348114</v>
      </c>
      <c r="E102" t="s">
        <v>289</v>
      </c>
    </row>
    <row r="103" spans="1:8">
      <c r="A103" t="s">
        <v>155</v>
      </c>
      <c r="B103" s="66">
        <v>2011</v>
      </c>
      <c r="C103" s="69">
        <v>0.4</v>
      </c>
      <c r="D103" s="69">
        <f>C103/LOOKUP(B103,pgdp!$A$7:$A$84,pgdp!$C$7:$C$84)</f>
        <v>0.45641906873614191</v>
      </c>
      <c r="E103" t="s">
        <v>289</v>
      </c>
    </row>
    <row r="104" spans="1:8">
      <c r="A104" t="s">
        <v>156</v>
      </c>
      <c r="B104" s="66">
        <v>2011</v>
      </c>
      <c r="C104" s="69">
        <v>0.9</v>
      </c>
      <c r="D104" s="69">
        <f>C104/LOOKUP(B104,pgdp!$A$7:$A$84,pgdp!$C$7:$C$84)</f>
        <v>1.0269429046563192</v>
      </c>
      <c r="E104" t="s">
        <v>52</v>
      </c>
    </row>
    <row r="105" spans="1:8">
      <c r="A105" t="s">
        <v>73</v>
      </c>
      <c r="B105" s="66">
        <v>2011</v>
      </c>
      <c r="C105" s="69">
        <v>2</v>
      </c>
      <c r="D105" s="69">
        <f>C105/LOOKUP(B105,pgdp!$A$7:$A$84,pgdp!$C$7:$C$84)</f>
        <v>2.2820953436807092</v>
      </c>
      <c r="E105" t="s">
        <v>24</v>
      </c>
    </row>
    <row r="106" spans="1:8">
      <c r="A106" t="s">
        <v>45</v>
      </c>
      <c r="B106" s="66">
        <v>2011</v>
      </c>
      <c r="C106" s="69">
        <v>1.2</v>
      </c>
      <c r="D106" s="69">
        <f>C106/LOOKUP(B106,pgdp!$A$7:$A$84,pgdp!$C$7:$C$84)</f>
        <v>1.3692572062084256</v>
      </c>
      <c r="E106" t="s">
        <v>331</v>
      </c>
    </row>
    <row r="107" spans="1:8">
      <c r="A107" t="s">
        <v>157</v>
      </c>
      <c r="B107" s="66">
        <v>2011</v>
      </c>
      <c r="C107" s="69">
        <v>21.4</v>
      </c>
      <c r="D107" s="69">
        <f>C107/LOOKUP(B107,pgdp!$A$7:$A$84,pgdp!$C$7:$C$84)</f>
        <v>24.418420177383588</v>
      </c>
      <c r="E107" t="s">
        <v>26</v>
      </c>
    </row>
    <row r="108" spans="1:8">
      <c r="A108" t="s">
        <v>158</v>
      </c>
      <c r="B108" s="66">
        <v>2011</v>
      </c>
      <c r="C108" s="69">
        <v>2.1</v>
      </c>
      <c r="D108" s="69">
        <f>C108/LOOKUP(B108,pgdp!$A$7:$A$84,pgdp!$C$7:$C$84)</f>
        <v>2.3962001108647448</v>
      </c>
      <c r="E108" t="s">
        <v>22</v>
      </c>
    </row>
    <row r="109" spans="1:8">
      <c r="A109" t="s">
        <v>159</v>
      </c>
      <c r="B109" s="66">
        <v>2011</v>
      </c>
      <c r="C109" s="69">
        <v>0.5</v>
      </c>
      <c r="D109" s="69">
        <f>C109/LOOKUP(B109,pgdp!$A$7:$A$84,pgdp!$C$7:$C$84)</f>
        <v>0.5705238359201773</v>
      </c>
      <c r="E109" t="s">
        <v>22</v>
      </c>
    </row>
    <row r="110" spans="1:8">
      <c r="A110" t="s">
        <v>542</v>
      </c>
      <c r="B110" s="66">
        <v>2011</v>
      </c>
      <c r="C110" s="69">
        <v>-0.61199999999999999</v>
      </c>
      <c r="D110" s="69">
        <f>C110/LOOKUP(B110,pgdp!$A$7:$A$84,pgdp!$C$7:$C$84)</f>
        <v>-0.6983211751662971</v>
      </c>
      <c r="E110" t="s">
        <v>330</v>
      </c>
    </row>
    <row r="111" spans="1:8">
      <c r="A111" t="s">
        <v>59</v>
      </c>
      <c r="B111" s="66">
        <v>2011</v>
      </c>
      <c r="C111" s="69">
        <v>5.6</v>
      </c>
      <c r="D111" s="69">
        <f>C111/LOOKUP(B111,pgdp!$A$7:$A$84,pgdp!$C$7:$C$84)</f>
        <v>6.3898669623059856</v>
      </c>
      <c r="E111" t="s">
        <v>33</v>
      </c>
    </row>
    <row r="112" spans="1:8">
      <c r="A112" s="56" t="s">
        <v>0</v>
      </c>
      <c r="B112" s="66">
        <v>2010</v>
      </c>
      <c r="C112" s="69">
        <v>93.5</v>
      </c>
      <c r="D112" s="69">
        <f>C112/LOOKUP(B112,pgdp!$A$7:$A$84,pgdp!$C$7:$C$84)</f>
        <v>108.85466567441861</v>
      </c>
      <c r="E112" t="s">
        <v>51</v>
      </c>
      <c r="F112" s="59"/>
      <c r="G112" s="59"/>
      <c r="H112" s="59"/>
    </row>
    <row r="113" spans="1:8">
      <c r="A113" s="35" t="s">
        <v>60</v>
      </c>
      <c r="B113" s="66">
        <v>2010</v>
      </c>
      <c r="C113" s="69">
        <v>18.5</v>
      </c>
      <c r="D113" s="69">
        <f>C113/LOOKUP(B113,pgdp!$A$7:$A$84,pgdp!$C$7:$C$84)</f>
        <v>21.538088930232561</v>
      </c>
      <c r="E113" s="72" t="s">
        <v>51</v>
      </c>
      <c r="F113" s="59"/>
      <c r="G113" s="59"/>
      <c r="H113" s="59"/>
    </row>
    <row r="114" spans="1:8">
      <c r="A114" s="56" t="s">
        <v>68</v>
      </c>
      <c r="B114" s="66">
        <v>2010</v>
      </c>
      <c r="C114" s="69">
        <v>2.2000000000000002</v>
      </c>
      <c r="D114" s="69">
        <f>C114/LOOKUP(B114,pgdp!$A$7:$A$84,pgdp!$C$7:$C$84)</f>
        <v>2.561286251162791</v>
      </c>
      <c r="E114" t="s">
        <v>17</v>
      </c>
      <c r="F114" s="59"/>
      <c r="G114" s="59"/>
      <c r="H114" s="59"/>
    </row>
    <row r="115" spans="1:8">
      <c r="A115" s="35" t="s">
        <v>132</v>
      </c>
      <c r="B115" s="66">
        <v>2010</v>
      </c>
      <c r="C115" s="69">
        <v>5.8999999999999995</v>
      </c>
      <c r="D115" s="69">
        <f>C115/LOOKUP(B115,pgdp!$A$7:$A$84,pgdp!$C$7:$C$84)</f>
        <v>6.868904037209302</v>
      </c>
      <c r="E115" t="s">
        <v>33</v>
      </c>
      <c r="F115" s="59"/>
      <c r="G115" s="59"/>
      <c r="H115" s="59"/>
    </row>
    <row r="116" spans="1:8">
      <c r="A116" s="35" t="s">
        <v>70</v>
      </c>
      <c r="B116" s="66">
        <v>2010</v>
      </c>
      <c r="C116" s="69">
        <v>1</v>
      </c>
      <c r="D116" s="69">
        <f>C116/LOOKUP(B116,pgdp!$A$7:$A$84,pgdp!$C$7:$C$84)</f>
        <v>1.1642210232558141</v>
      </c>
      <c r="E116" t="s">
        <v>49</v>
      </c>
      <c r="F116" s="59"/>
      <c r="G116" s="59"/>
      <c r="H116" s="59"/>
    </row>
    <row r="117" spans="1:8">
      <c r="A117" s="35" t="s">
        <v>133</v>
      </c>
      <c r="B117" s="66">
        <v>2010</v>
      </c>
      <c r="C117" s="69">
        <v>9.1999999999999993</v>
      </c>
      <c r="D117" s="69">
        <f>C117/LOOKUP(B117,pgdp!$A$7:$A$84,pgdp!$C$7:$C$84)</f>
        <v>10.710833413953489</v>
      </c>
      <c r="E117" t="s">
        <v>289</v>
      </c>
      <c r="F117" s="59"/>
      <c r="G117" s="59"/>
      <c r="H117" s="59"/>
    </row>
    <row r="118" spans="1:8">
      <c r="A118" s="35" t="s">
        <v>73</v>
      </c>
      <c r="B118" s="66">
        <v>2010</v>
      </c>
      <c r="C118" s="69">
        <v>1.9</v>
      </c>
      <c r="D118" s="69">
        <f>C118/LOOKUP(B118,pgdp!$A$7:$A$84,pgdp!$C$7:$C$84)</f>
        <v>2.2120199441860464</v>
      </c>
      <c r="E118" t="s">
        <v>24</v>
      </c>
      <c r="F118" s="59"/>
      <c r="G118" s="59"/>
      <c r="H118" s="59"/>
    </row>
    <row r="119" spans="1:8">
      <c r="A119" s="35" t="s">
        <v>3</v>
      </c>
      <c r="B119" s="66">
        <v>2010</v>
      </c>
      <c r="C119" s="69">
        <v>1.2</v>
      </c>
      <c r="D119" s="69">
        <f>C119/LOOKUP(B119,pgdp!$A$7:$A$84,pgdp!$C$7:$C$84)</f>
        <v>1.3970652279069768</v>
      </c>
      <c r="E119" t="s">
        <v>52</v>
      </c>
      <c r="F119" s="59"/>
      <c r="G119" s="59"/>
      <c r="H119" s="59"/>
    </row>
    <row r="120" spans="1:8">
      <c r="A120" s="35" t="s">
        <v>45</v>
      </c>
      <c r="B120" s="66">
        <v>2010</v>
      </c>
      <c r="C120" s="69">
        <v>1.9</v>
      </c>
      <c r="D120" s="69">
        <f>C120/LOOKUP(B120,pgdp!$A$7:$A$84,pgdp!$C$7:$C$84)</f>
        <v>2.2120199441860464</v>
      </c>
      <c r="E120" t="s">
        <v>331</v>
      </c>
      <c r="F120" s="59"/>
      <c r="G120" s="59"/>
      <c r="H120" s="59"/>
    </row>
    <row r="121" spans="1:8">
      <c r="A121" s="35" t="s">
        <v>130</v>
      </c>
      <c r="B121" s="66">
        <v>2010</v>
      </c>
      <c r="C121" s="69">
        <v>18.7</v>
      </c>
      <c r="D121" s="69">
        <f>C121/LOOKUP(B121,pgdp!$A$7:$A$84,pgdp!$C$7:$C$84)</f>
        <v>21.770933134883723</v>
      </c>
      <c r="E121" t="s">
        <v>26</v>
      </c>
      <c r="F121" s="59"/>
      <c r="G121" s="59"/>
      <c r="H121" s="59"/>
    </row>
    <row r="122" spans="1:8">
      <c r="A122" s="35" t="s">
        <v>134</v>
      </c>
      <c r="B122" s="66">
        <v>2010</v>
      </c>
      <c r="C122" s="69">
        <v>1</v>
      </c>
      <c r="D122" s="69">
        <f>C122/LOOKUP(B122,pgdp!$A$7:$A$84,pgdp!$C$7:$C$84)</f>
        <v>1.1642210232558141</v>
      </c>
      <c r="E122" t="s">
        <v>22</v>
      </c>
      <c r="F122" s="59"/>
      <c r="G122" s="59"/>
      <c r="H122" s="59"/>
    </row>
    <row r="123" spans="1:8">
      <c r="A123" s="35" t="s">
        <v>135</v>
      </c>
      <c r="B123" s="66">
        <v>2010</v>
      </c>
      <c r="C123" s="69">
        <v>0.4</v>
      </c>
      <c r="D123" s="69">
        <f>C123/LOOKUP(B123,pgdp!$A$7:$A$84,pgdp!$C$7:$C$84)</f>
        <v>0.46568840930232563</v>
      </c>
      <c r="E123" t="s">
        <v>22</v>
      </c>
      <c r="F123" s="59"/>
      <c r="G123" s="59"/>
      <c r="H123" s="59"/>
    </row>
    <row r="124" spans="1:8">
      <c r="A124" s="35" t="s">
        <v>63</v>
      </c>
      <c r="B124" s="66">
        <v>2010</v>
      </c>
      <c r="C124" s="69">
        <v>2</v>
      </c>
      <c r="D124" s="69">
        <f>C124/LOOKUP(B124,pgdp!$A$7:$A$84,pgdp!$C$7:$C$84)</f>
        <v>2.3284420465116282</v>
      </c>
      <c r="E124" t="s">
        <v>330</v>
      </c>
      <c r="F124" s="59"/>
      <c r="G124" s="59"/>
      <c r="H124" s="59"/>
    </row>
    <row r="125" spans="1:8">
      <c r="A125" s="187" t="s">
        <v>557</v>
      </c>
      <c r="B125" s="66">
        <v>2010</v>
      </c>
      <c r="C125" s="69">
        <v>0.65500000000000003</v>
      </c>
      <c r="D125" s="69">
        <f>C125/LOOKUP(B125,pgdp!$A$7:$A$84,pgdp!$C$7:$C$84)</f>
        <v>0.7625647702325582</v>
      </c>
      <c r="E125" t="s">
        <v>330</v>
      </c>
      <c r="F125" s="59"/>
      <c r="G125" s="59"/>
      <c r="H125" s="59"/>
    </row>
    <row r="126" spans="1:8">
      <c r="A126" t="s">
        <v>542</v>
      </c>
      <c r="B126" s="66">
        <v>2010</v>
      </c>
      <c r="C126" s="69">
        <v>-0.31</v>
      </c>
      <c r="D126" s="69">
        <f>C126/LOOKUP(B126,pgdp!$A$7:$A$84,pgdp!$C$7:$C$84)</f>
        <v>-0.36090851720930234</v>
      </c>
      <c r="E126" t="s">
        <v>330</v>
      </c>
      <c r="F126" s="59"/>
      <c r="G126" s="59"/>
      <c r="H126" s="59"/>
    </row>
    <row r="127" spans="1:8">
      <c r="A127" s="56" t="s">
        <v>59</v>
      </c>
      <c r="B127" s="66">
        <v>2010</v>
      </c>
      <c r="C127" s="69">
        <v>5.3</v>
      </c>
      <c r="D127" s="69">
        <f>C127/LOOKUP(B127,pgdp!$A$7:$A$84,pgdp!$C$7:$C$84)</f>
        <v>6.1703714232558147</v>
      </c>
      <c r="E127" t="s">
        <v>33</v>
      </c>
      <c r="F127" s="59"/>
      <c r="G127" s="59"/>
      <c r="H127" s="59"/>
    </row>
    <row r="128" spans="1:8">
      <c r="A128" t="s">
        <v>0</v>
      </c>
      <c r="B128" s="66">
        <v>2009</v>
      </c>
      <c r="C128" s="69">
        <v>76.233299999999986</v>
      </c>
      <c r="D128" s="69">
        <f>C128/LOOKUP(B128,pgdp!$A$7:$A$84,pgdp!$C$7:$C$84)</f>
        <v>89.530619000953394</v>
      </c>
      <c r="E128" t="s">
        <v>51</v>
      </c>
      <c r="F128" s="59">
        <f>SUM(F112:F127)</f>
        <v>0</v>
      </c>
      <c r="G128" s="59">
        <f t="shared" ref="G128:H128" si="0">SUM(G112:G127)</f>
        <v>0</v>
      </c>
      <c r="H128" s="59">
        <f t="shared" si="0"/>
        <v>0</v>
      </c>
    </row>
    <row r="129" spans="1:5">
      <c r="A129" t="s">
        <v>60</v>
      </c>
      <c r="B129" s="66">
        <v>2009</v>
      </c>
      <c r="C129" s="69">
        <v>14.3</v>
      </c>
      <c r="D129" s="69">
        <f>C129/LOOKUP(B129,pgdp!$A$7:$A$84,pgdp!$C$7:$C$84)</f>
        <v>16.79433858581006</v>
      </c>
      <c r="E129" s="72" t="s">
        <v>51</v>
      </c>
    </row>
    <row r="130" spans="1:5">
      <c r="A130" t="s">
        <v>68</v>
      </c>
      <c r="B130" s="66">
        <v>2009</v>
      </c>
      <c r="C130" s="69">
        <v>3.5</v>
      </c>
      <c r="D130" s="69">
        <f>C130/LOOKUP(B130,pgdp!$A$7:$A$84,pgdp!$C$7:$C$84)</f>
        <v>4.1105024510723913</v>
      </c>
      <c r="E130" t="s">
        <v>17</v>
      </c>
    </row>
    <row r="131" spans="1:5">
      <c r="A131" t="s">
        <v>69</v>
      </c>
      <c r="B131" s="66">
        <v>2009</v>
      </c>
      <c r="C131" s="69">
        <v>5.1341000000000001</v>
      </c>
      <c r="D131" s="69">
        <f>C131/LOOKUP(B131,pgdp!$A$7:$A$84,pgdp!$C$7:$C$84)</f>
        <v>6.0296373240145043</v>
      </c>
      <c r="E131" t="s">
        <v>33</v>
      </c>
    </row>
    <row r="132" spans="1:5">
      <c r="A132" t="s">
        <v>70</v>
      </c>
      <c r="B132" s="66">
        <v>2009</v>
      </c>
      <c r="C132" s="69">
        <v>1</v>
      </c>
      <c r="D132" s="69">
        <f>C132/LOOKUP(B132,pgdp!$A$7:$A$84,pgdp!$C$7:$C$84)</f>
        <v>1.1744292717349691</v>
      </c>
      <c r="E132" t="s">
        <v>49</v>
      </c>
    </row>
    <row r="133" spans="1:5">
      <c r="A133" t="s">
        <v>71</v>
      </c>
      <c r="B133" s="66">
        <v>2009</v>
      </c>
      <c r="C133" s="69">
        <v>5.6068999999999996</v>
      </c>
      <c r="D133" s="69">
        <f>C133/LOOKUP(B133,pgdp!$A$7:$A$84,pgdp!$C$7:$C$84)</f>
        <v>6.584907483690797</v>
      </c>
      <c r="E133" t="s">
        <v>289</v>
      </c>
    </row>
    <row r="134" spans="1:5">
      <c r="A134" t="s">
        <v>72</v>
      </c>
      <c r="B134" s="66">
        <v>2009</v>
      </c>
      <c r="C134" s="69">
        <v>0.4</v>
      </c>
      <c r="D134" s="69">
        <f>C134/LOOKUP(B134,pgdp!$A$7:$A$84,pgdp!$C$7:$C$84)</f>
        <v>0.46977170869398766</v>
      </c>
      <c r="E134" t="s">
        <v>49</v>
      </c>
    </row>
    <row r="135" spans="1:5">
      <c r="A135" t="s">
        <v>73</v>
      </c>
      <c r="B135" s="66">
        <v>2009</v>
      </c>
      <c r="C135" s="69">
        <v>1.73</v>
      </c>
      <c r="D135" s="69">
        <f>C135/LOOKUP(B135,pgdp!$A$7:$A$84,pgdp!$C$7:$C$84)</f>
        <v>2.0317626401014963</v>
      </c>
      <c r="E135" t="s">
        <v>24</v>
      </c>
    </row>
    <row r="136" spans="1:5">
      <c r="A136" t="s">
        <v>3</v>
      </c>
      <c r="B136" s="66">
        <v>2009</v>
      </c>
      <c r="C136" s="69">
        <v>1.43</v>
      </c>
      <c r="D136" s="69">
        <f>C136/LOOKUP(B136,pgdp!$A$7:$A$84,pgdp!$C$7:$C$84)</f>
        <v>1.6794338585810056</v>
      </c>
      <c r="E136" t="s">
        <v>52</v>
      </c>
    </row>
    <row r="137" spans="1:5">
      <c r="A137" t="s">
        <v>45</v>
      </c>
      <c r="B137" s="66">
        <v>2009</v>
      </c>
      <c r="C137" s="69">
        <v>0.94679999999999997</v>
      </c>
      <c r="D137" s="69">
        <f>C137/LOOKUP(B137,pgdp!$A$7:$A$84,pgdp!$C$7:$C$84)</f>
        <v>1.1119496344786686</v>
      </c>
      <c r="E137" t="s">
        <v>331</v>
      </c>
    </row>
    <row r="138" spans="1:5">
      <c r="A138" t="s">
        <v>5</v>
      </c>
      <c r="B138" s="66">
        <v>2009</v>
      </c>
      <c r="C138" s="69">
        <v>23.176200000000001</v>
      </c>
      <c r="D138" s="69">
        <f>C138/LOOKUP(B138,pgdp!$A$7:$A$84,pgdp!$C$7:$C$84)</f>
        <v>27.21880768758399</v>
      </c>
      <c r="E138" t="s">
        <v>26</v>
      </c>
    </row>
    <row r="139" spans="1:5">
      <c r="A139" t="s">
        <v>74</v>
      </c>
      <c r="B139" s="66">
        <v>2009</v>
      </c>
      <c r="C139" s="69">
        <v>2.3337000000000003</v>
      </c>
      <c r="D139" s="69">
        <f>C139/LOOKUP(B139,pgdp!$A$7:$A$84,pgdp!$C$7:$C$84)</f>
        <v>2.7407655914478974</v>
      </c>
      <c r="E139" t="s">
        <v>331</v>
      </c>
    </row>
    <row r="140" spans="1:5">
      <c r="A140" t="s">
        <v>127</v>
      </c>
      <c r="B140" s="66">
        <v>2009</v>
      </c>
      <c r="C140" s="69">
        <v>2.4922</v>
      </c>
      <c r="D140" s="69">
        <f>C140/LOOKUP(B140,pgdp!$A$7:$A$84,pgdp!$C$7:$C$84)</f>
        <v>2.9269126310178897</v>
      </c>
      <c r="E140" t="s">
        <v>331</v>
      </c>
    </row>
    <row r="141" spans="1:5">
      <c r="A141" t="s">
        <v>75</v>
      </c>
      <c r="B141" s="66">
        <v>2009</v>
      </c>
      <c r="C141" s="69">
        <v>0.35</v>
      </c>
      <c r="D141" s="69">
        <f>C141/LOOKUP(B141,pgdp!$A$7:$A$84,pgdp!$C$7:$C$84)</f>
        <v>0.41105024510723914</v>
      </c>
      <c r="E141" t="s">
        <v>330</v>
      </c>
    </row>
    <row r="142" spans="1:5">
      <c r="A142" t="s">
        <v>44</v>
      </c>
      <c r="B142" s="66">
        <v>2009</v>
      </c>
      <c r="C142" s="69">
        <v>0.47089999999999999</v>
      </c>
      <c r="D142" s="69">
        <f>C142/LOOKUP(B142,pgdp!$A$7:$A$84,pgdp!$C$7:$C$84)</f>
        <v>0.55303874405999687</v>
      </c>
      <c r="E142" t="s">
        <v>331</v>
      </c>
    </row>
    <row r="143" spans="1:5">
      <c r="A143" t="s">
        <v>76</v>
      </c>
      <c r="B143" s="66">
        <v>2009</v>
      </c>
      <c r="C143" s="69">
        <v>6.0679999999999996</v>
      </c>
      <c r="D143" s="69">
        <f>C143/LOOKUP(B143,pgdp!$A$7:$A$84,pgdp!$C$7:$C$84)</f>
        <v>7.1264368208877915</v>
      </c>
      <c r="E143" t="s">
        <v>33</v>
      </c>
    </row>
    <row r="144" spans="1:5">
      <c r="A144" t="s">
        <v>284</v>
      </c>
      <c r="B144" s="66">
        <v>2009</v>
      </c>
      <c r="C144" s="69">
        <v>-2.9</v>
      </c>
      <c r="D144" s="69">
        <f>C144/LOOKUP(B144,pgdp!$A$7:$A$84,pgdp!$C$7:$C$84)</f>
        <v>-3.4058448880314103</v>
      </c>
      <c r="E144" t="s">
        <v>330</v>
      </c>
    </row>
    <row r="145" spans="1:5">
      <c r="A145" t="s">
        <v>542</v>
      </c>
      <c r="B145" s="66">
        <v>2009</v>
      </c>
      <c r="C145" s="69">
        <v>7.952</v>
      </c>
      <c r="D145" s="69">
        <f>C145/LOOKUP(B145,pgdp!$A$7:$A$84,pgdp!$C$7:$C$84)</f>
        <v>9.339061568836474</v>
      </c>
      <c r="E145" t="s">
        <v>330</v>
      </c>
    </row>
    <row r="146" spans="1:5">
      <c r="A146" t="s">
        <v>124</v>
      </c>
      <c r="B146" s="66">
        <v>2009</v>
      </c>
      <c r="C146" s="69">
        <v>-0.5</v>
      </c>
      <c r="D146" s="69">
        <f>C146/LOOKUP(B146,pgdp!$A$7:$A$84,pgdp!$C$7:$C$84)</f>
        <v>-0.58721463586748457</v>
      </c>
      <c r="E146" t="s">
        <v>330</v>
      </c>
    </row>
    <row r="147" spans="1:5">
      <c r="A147" t="s">
        <v>0</v>
      </c>
      <c r="B147" s="66">
        <v>2008</v>
      </c>
      <c r="C147" s="69">
        <v>77.5</v>
      </c>
      <c r="D147" s="69">
        <f>C147/LOOKUP(B147,pgdp!$A$7:$A$84,pgdp!$C$7:$C$84)</f>
        <v>92.080502821440419</v>
      </c>
      <c r="E147" t="s">
        <v>51</v>
      </c>
    </row>
    <row r="148" spans="1:5">
      <c r="A148" t="s">
        <v>60</v>
      </c>
      <c r="B148" s="66">
        <v>2008</v>
      </c>
      <c r="C148" s="69">
        <v>23.9</v>
      </c>
      <c r="D148" s="69">
        <f>C148/LOOKUP(B148,pgdp!$A$7:$A$84,pgdp!$C$7:$C$84)</f>
        <v>28.396438934611947</v>
      </c>
      <c r="E148" s="72" t="s">
        <v>51</v>
      </c>
    </row>
    <row r="149" spans="1:5">
      <c r="A149" t="s">
        <v>68</v>
      </c>
      <c r="B149" s="66">
        <v>2008</v>
      </c>
      <c r="C149" s="69">
        <v>4.2</v>
      </c>
      <c r="D149" s="69">
        <f>C149/LOOKUP(B149,pgdp!$A$7:$A$84,pgdp!$C$7:$C$84)</f>
        <v>4.9901691851619328</v>
      </c>
      <c r="E149" t="s">
        <v>17</v>
      </c>
    </row>
    <row r="150" spans="1:5">
      <c r="A150" t="s">
        <v>69</v>
      </c>
      <c r="B150" s="66">
        <v>2008</v>
      </c>
      <c r="C150" s="69">
        <f>4.9+6.6</f>
        <v>11.5</v>
      </c>
      <c r="D150" s="69">
        <f>C150/LOOKUP(B150,pgdp!$A$7:$A$84,pgdp!$C$7:$C$84)</f>
        <v>13.663558483181481</v>
      </c>
      <c r="E150" t="s">
        <v>33</v>
      </c>
    </row>
    <row r="151" spans="1:5">
      <c r="A151" t="s">
        <v>70</v>
      </c>
      <c r="B151" s="66">
        <v>2008</v>
      </c>
      <c r="C151" s="69">
        <v>3</v>
      </c>
      <c r="D151" s="69">
        <f>C151/LOOKUP(B151,pgdp!$A$7:$A$84,pgdp!$C$7:$C$84)</f>
        <v>3.5644065608299518</v>
      </c>
      <c r="E151" t="s">
        <v>49</v>
      </c>
    </row>
    <row r="152" spans="1:5">
      <c r="A152" t="s">
        <v>71</v>
      </c>
      <c r="B152" s="66">
        <v>2008</v>
      </c>
      <c r="C152" s="69">
        <v>2.7</v>
      </c>
      <c r="D152" s="69">
        <f>C152/LOOKUP(B152,pgdp!$A$7:$A$84,pgdp!$C$7:$C$84)</f>
        <v>3.2079659047469566</v>
      </c>
      <c r="E152" t="s">
        <v>289</v>
      </c>
    </row>
    <row r="153" spans="1:5">
      <c r="A153" t="s">
        <v>73</v>
      </c>
      <c r="B153" s="66">
        <v>2008</v>
      </c>
      <c r="C153" s="69">
        <v>1.4</v>
      </c>
      <c r="D153" s="69">
        <f>C153/LOOKUP(B153,pgdp!$A$7:$A$84,pgdp!$C$7:$C$84)</f>
        <v>1.6633897283873107</v>
      </c>
      <c r="E153" t="s">
        <v>24</v>
      </c>
    </row>
    <row r="154" spans="1:5">
      <c r="A154" t="s">
        <v>3</v>
      </c>
      <c r="B154" s="66">
        <v>2008</v>
      </c>
      <c r="C154" s="69">
        <v>1.7</v>
      </c>
      <c r="D154" s="69">
        <f>C154/LOOKUP(B154,pgdp!$A$7:$A$84,pgdp!$C$7:$C$84)</f>
        <v>2.0198303844703061</v>
      </c>
      <c r="E154" t="s">
        <v>52</v>
      </c>
    </row>
    <row r="155" spans="1:5">
      <c r="A155" t="s">
        <v>45</v>
      </c>
      <c r="B155" s="66">
        <v>2008</v>
      </c>
      <c r="C155" s="69">
        <v>1.3</v>
      </c>
      <c r="D155" s="69">
        <f>C155/LOOKUP(B155,pgdp!$A$7:$A$84,pgdp!$C$7:$C$84)</f>
        <v>1.5445761763596457</v>
      </c>
      <c r="E155" t="s">
        <v>331</v>
      </c>
    </row>
    <row r="156" spans="1:5">
      <c r="A156" t="s">
        <v>5</v>
      </c>
      <c r="B156" s="66">
        <v>2008</v>
      </c>
      <c r="C156" s="69">
        <v>50.5</v>
      </c>
      <c r="D156" s="69">
        <f>C156/LOOKUP(B156,pgdp!$A$7:$A$84,pgdp!$C$7:$C$84)</f>
        <v>60.00084377397085</v>
      </c>
      <c r="E156" t="s">
        <v>26</v>
      </c>
    </row>
    <row r="157" spans="1:5">
      <c r="A157" t="s">
        <v>111</v>
      </c>
      <c r="B157" s="66">
        <v>2008</v>
      </c>
      <c r="C157" s="69">
        <v>0.5</v>
      </c>
      <c r="D157" s="69">
        <f>C157/LOOKUP(B157,pgdp!$A$7:$A$84,pgdp!$C$7:$C$84)</f>
        <v>0.5940677601383253</v>
      </c>
      <c r="E157" t="s">
        <v>331</v>
      </c>
    </row>
    <row r="158" spans="1:5">
      <c r="A158" t="s">
        <v>112</v>
      </c>
      <c r="B158" s="66">
        <v>2008</v>
      </c>
      <c r="C158" s="69">
        <v>1.9</v>
      </c>
      <c r="D158" s="69">
        <f>C158/LOOKUP(B158,pgdp!$A$7:$A$84,pgdp!$C$7:$C$84)</f>
        <v>2.257457488525636</v>
      </c>
      <c r="E158" t="s">
        <v>331</v>
      </c>
    </row>
    <row r="159" spans="1:5">
      <c r="A159" t="s">
        <v>542</v>
      </c>
      <c r="B159" s="66">
        <v>2008</v>
      </c>
      <c r="C159" s="69">
        <v>-0.29199999999999998</v>
      </c>
      <c r="D159" s="69">
        <f>C159/LOOKUP(B159,pgdp!$A$7:$A$84,pgdp!$C$7:$C$84)</f>
        <v>-0.34693557192078195</v>
      </c>
      <c r="E159" t="s">
        <v>330</v>
      </c>
    </row>
    <row r="160" spans="1:5">
      <c r="A160" t="s">
        <v>113</v>
      </c>
      <c r="B160" s="66">
        <v>2008</v>
      </c>
      <c r="C160" s="69">
        <f>13.7-6.6</f>
        <v>7.1</v>
      </c>
      <c r="D160" s="69">
        <f>C160/LOOKUP(B160,pgdp!$A$7:$A$84,pgdp!$C$7:$C$84)</f>
        <v>8.4357621939642193</v>
      </c>
      <c r="E160" t="s">
        <v>330</v>
      </c>
    </row>
    <row r="161" spans="1:5">
      <c r="A161" t="s">
        <v>0</v>
      </c>
      <c r="B161" s="67">
        <v>2007</v>
      </c>
      <c r="C161" s="69">
        <v>76.599999999999994</v>
      </c>
      <c r="D161" s="69">
        <f>C161/LOOKUP(B161,pgdp!$A$7:$A$84,pgdp!$C$7:$C$84)</f>
        <v>92.894175667434965</v>
      </c>
      <c r="E161" t="s">
        <v>51</v>
      </c>
    </row>
    <row r="162" spans="1:5">
      <c r="A162" t="s">
        <v>60</v>
      </c>
      <c r="B162" s="67">
        <v>2007</v>
      </c>
      <c r="C162" s="69">
        <v>12.4</v>
      </c>
      <c r="D162" s="69">
        <f>C162/LOOKUP(B162,pgdp!$A$7:$A$84,pgdp!$C$7:$C$84)</f>
        <v>15.037699455302789</v>
      </c>
      <c r="E162" s="72" t="s">
        <v>51</v>
      </c>
    </row>
    <row r="163" spans="1:5">
      <c r="A163" t="s">
        <v>68</v>
      </c>
      <c r="B163" s="67">
        <v>2007</v>
      </c>
      <c r="C163" s="69">
        <v>4.4000000000000004</v>
      </c>
      <c r="D163" s="69">
        <f>C163/LOOKUP(B163,pgdp!$A$7:$A$84,pgdp!$C$7:$C$84)</f>
        <v>5.3359578712364737</v>
      </c>
      <c r="E163" t="s">
        <v>17</v>
      </c>
    </row>
    <row r="164" spans="1:5">
      <c r="A164" t="s">
        <v>69</v>
      </c>
      <c r="B164" s="67">
        <v>2007</v>
      </c>
      <c r="C164" s="69">
        <f>3.4+5.9</f>
        <v>9.3000000000000007</v>
      </c>
      <c r="D164" s="69">
        <f>C164/LOOKUP(B164,pgdp!$A$7:$A$84,pgdp!$C$7:$C$84)</f>
        <v>11.278274591477093</v>
      </c>
      <c r="E164" t="s">
        <v>33</v>
      </c>
    </row>
    <row r="165" spans="1:5">
      <c r="A165" t="s">
        <v>70</v>
      </c>
      <c r="B165" s="67">
        <v>2007</v>
      </c>
      <c r="C165" s="69">
        <v>5.5</v>
      </c>
      <c r="D165" s="69">
        <f>C165/LOOKUP(B165,pgdp!$A$7:$A$84,pgdp!$C$7:$C$84)</f>
        <v>6.6699473390455921</v>
      </c>
      <c r="E165" t="s">
        <v>49</v>
      </c>
    </row>
    <row r="166" spans="1:5">
      <c r="A166" t="s">
        <v>71</v>
      </c>
      <c r="B166" s="67">
        <v>2007</v>
      </c>
      <c r="C166" s="69">
        <v>7.4</v>
      </c>
      <c r="D166" s="69">
        <f>C166/LOOKUP(B166,pgdp!$A$7:$A$84,pgdp!$C$7:$C$84)</f>
        <v>8.9741109652613424</v>
      </c>
      <c r="E166" t="s">
        <v>289</v>
      </c>
    </row>
    <row r="167" spans="1:5">
      <c r="A167" t="s">
        <v>73</v>
      </c>
      <c r="B167" s="67">
        <v>2007</v>
      </c>
      <c r="C167" s="69">
        <v>1.4</v>
      </c>
      <c r="D167" s="69">
        <f>C167/LOOKUP(B167,pgdp!$A$7:$A$84,pgdp!$C$7:$C$84)</f>
        <v>1.6978047772116052</v>
      </c>
      <c r="E167" t="s">
        <v>24</v>
      </c>
    </row>
    <row r="168" spans="1:5">
      <c r="A168" t="s">
        <v>3</v>
      </c>
      <c r="B168" s="67">
        <v>2007</v>
      </c>
      <c r="C168" s="69">
        <v>1</v>
      </c>
      <c r="D168" s="69">
        <f>C168/LOOKUP(B168,pgdp!$A$7:$A$84,pgdp!$C$7:$C$84)</f>
        <v>1.2127176980082894</v>
      </c>
      <c r="E168" t="s">
        <v>52</v>
      </c>
    </row>
    <row r="169" spans="1:5">
      <c r="A169" t="s">
        <v>45</v>
      </c>
      <c r="B169" s="67">
        <v>2007</v>
      </c>
      <c r="C169" s="69">
        <v>0.9</v>
      </c>
      <c r="D169" s="69">
        <f>C169/LOOKUP(B169,pgdp!$A$7:$A$84,pgdp!$C$7:$C$84)</f>
        <v>1.0914459282074604</v>
      </c>
      <c r="E169" t="s">
        <v>331</v>
      </c>
    </row>
    <row r="170" spans="1:5">
      <c r="A170" s="42" t="s">
        <v>5</v>
      </c>
      <c r="B170" s="67">
        <v>2007</v>
      </c>
      <c r="C170" s="69">
        <v>36.299999999999997</v>
      </c>
      <c r="D170" s="69">
        <f>C170/LOOKUP(B170,pgdp!$A$7:$A$84,pgdp!$C$7:$C$84)</f>
        <v>44.021652437700901</v>
      </c>
      <c r="E170" t="s">
        <v>26</v>
      </c>
    </row>
    <row r="171" spans="1:5">
      <c r="A171" t="s">
        <v>82</v>
      </c>
      <c r="B171" s="67">
        <v>2007</v>
      </c>
      <c r="C171" s="69">
        <v>3.6</v>
      </c>
      <c r="D171" s="69">
        <f>C171/LOOKUP(B171,pgdp!$A$7:$A$84,pgdp!$C$7:$C$84)</f>
        <v>4.3657837128298418</v>
      </c>
      <c r="E171" t="s">
        <v>331</v>
      </c>
    </row>
    <row r="172" spans="1:5">
      <c r="A172" t="s">
        <v>111</v>
      </c>
      <c r="B172" s="67">
        <v>2007</v>
      </c>
      <c r="C172" s="69">
        <v>1.5</v>
      </c>
      <c r="D172" s="69">
        <f>C172/LOOKUP(B172,pgdp!$A$7:$A$84,pgdp!$C$7:$C$84)</f>
        <v>1.8190765470124342</v>
      </c>
      <c r="E172" t="s">
        <v>331</v>
      </c>
    </row>
    <row r="173" spans="1:5">
      <c r="A173" t="s">
        <v>112</v>
      </c>
      <c r="B173" s="67">
        <v>2007</v>
      </c>
      <c r="C173" s="69">
        <v>0.9</v>
      </c>
      <c r="D173" s="69">
        <f>C173/LOOKUP(B173,pgdp!$A$7:$A$84,pgdp!$C$7:$C$84)</f>
        <v>1.0914459282074604</v>
      </c>
      <c r="E173" t="s">
        <v>331</v>
      </c>
    </row>
    <row r="174" spans="1:5">
      <c r="A174" t="s">
        <v>399</v>
      </c>
      <c r="B174" s="67">
        <v>2007</v>
      </c>
      <c r="C174" s="69">
        <v>3.137</v>
      </c>
      <c r="D174" s="69">
        <f>C174/LOOKUP(B174,pgdp!$A$7:$A$84,pgdp!$C$7:$C$84)</f>
        <v>3.8042954186520039</v>
      </c>
      <c r="E174" t="s">
        <v>330</v>
      </c>
    </row>
    <row r="175" spans="1:5">
      <c r="A175" t="s">
        <v>542</v>
      </c>
      <c r="B175" s="67">
        <v>2007</v>
      </c>
      <c r="C175" s="69">
        <v>-3.2280000000000002</v>
      </c>
      <c r="D175" s="69">
        <f>C175/LOOKUP(B175,pgdp!$A$7:$A$84,pgdp!$C$7:$C$84)</f>
        <v>-3.9146527291707587</v>
      </c>
      <c r="E175" t="s">
        <v>330</v>
      </c>
    </row>
    <row r="176" spans="1:5">
      <c r="A176" t="s">
        <v>113</v>
      </c>
      <c r="B176" s="67">
        <v>2007</v>
      </c>
      <c r="C176" s="69">
        <f>14.2-5.9</f>
        <v>8.2999999999999989</v>
      </c>
      <c r="D176" s="69">
        <f>C176/LOOKUP(B176,pgdp!$A$7:$A$84,pgdp!$C$7:$C$84)</f>
        <v>10.0655568934688</v>
      </c>
      <c r="E176" t="s">
        <v>330</v>
      </c>
    </row>
    <row r="177" spans="1:5">
      <c r="A177" t="s">
        <v>0</v>
      </c>
      <c r="B177" s="67">
        <v>2006</v>
      </c>
      <c r="C177" s="69">
        <v>67.158000000000001</v>
      </c>
      <c r="D177" s="69">
        <f>C177/LOOKUP(B177,pgdp!$A$7:$A$84,pgdp!$C$7:$C$84)</f>
        <v>83.659681018598405</v>
      </c>
      <c r="E177" t="s">
        <v>51</v>
      </c>
    </row>
    <row r="178" spans="1:5">
      <c r="A178" t="s">
        <v>60</v>
      </c>
      <c r="B178" s="67">
        <v>2006</v>
      </c>
      <c r="C178" s="69">
        <v>5.3584999999999994</v>
      </c>
      <c r="D178" s="69">
        <f>C178/LOOKUP(B178,pgdp!$A$7:$A$84,pgdp!$C$7:$C$84)</f>
        <v>6.6751600812734075</v>
      </c>
      <c r="E178" s="72" t="s">
        <v>51</v>
      </c>
    </row>
    <row r="179" spans="1:5">
      <c r="A179" t="s">
        <v>68</v>
      </c>
      <c r="B179" s="67">
        <v>2006</v>
      </c>
      <c r="C179" s="69">
        <v>3.3180000000000001</v>
      </c>
      <c r="D179" s="69">
        <f>C179/LOOKUP(B179,pgdp!$A$7:$A$84,pgdp!$C$7:$C$84)</f>
        <v>4.1332800503247498</v>
      </c>
      <c r="E179" t="s">
        <v>17</v>
      </c>
    </row>
    <row r="180" spans="1:5">
      <c r="A180" t="s">
        <v>69</v>
      </c>
      <c r="B180" s="67">
        <v>2006</v>
      </c>
      <c r="C180" s="69">
        <v>1.4996999999999998</v>
      </c>
      <c r="D180" s="69">
        <f>C180/LOOKUP(B180,pgdp!$A$7:$A$84,pgdp!$C$7:$C$84)</f>
        <v>1.8681977370319547</v>
      </c>
      <c r="E180" t="s">
        <v>33</v>
      </c>
    </row>
    <row r="181" spans="1:5">
      <c r="A181" t="s">
        <v>98</v>
      </c>
      <c r="B181" s="67">
        <v>2006</v>
      </c>
      <c r="C181" s="69">
        <v>4.9150999999999998</v>
      </c>
      <c r="D181" s="69">
        <f>C181/LOOKUP(B181,pgdp!$A$7:$A$84,pgdp!$C$7:$C$84)</f>
        <v>6.1228103602625596</v>
      </c>
      <c r="E181" t="s">
        <v>49</v>
      </c>
    </row>
    <row r="182" spans="1:5">
      <c r="A182" t="s">
        <v>73</v>
      </c>
      <c r="B182" s="67">
        <v>2006</v>
      </c>
      <c r="C182" s="69">
        <v>1.2</v>
      </c>
      <c r="D182" s="69">
        <f>C182/LOOKUP(B182,pgdp!$A$7:$A$84,pgdp!$C$7:$C$84)</f>
        <v>1.4948571610577754</v>
      </c>
      <c r="E182" t="s">
        <v>24</v>
      </c>
    </row>
    <row r="183" spans="1:5">
      <c r="A183" t="s">
        <v>3</v>
      </c>
      <c r="B183" s="67">
        <v>2006</v>
      </c>
      <c r="C183" s="69">
        <v>0.92300000000000004</v>
      </c>
      <c r="D183" s="69">
        <f>C183/LOOKUP(B183,pgdp!$A$7:$A$84,pgdp!$C$7:$C$84)</f>
        <v>1.1497942997136057</v>
      </c>
      <c r="E183" t="s">
        <v>52</v>
      </c>
    </row>
    <row r="184" spans="1:5">
      <c r="A184" t="s">
        <v>45</v>
      </c>
      <c r="B184" s="67">
        <v>2006</v>
      </c>
      <c r="C184" s="69">
        <v>0.21479999999999999</v>
      </c>
      <c r="D184" s="69">
        <f>C184/LOOKUP(B184,pgdp!$A$7:$A$84,pgdp!$C$7:$C$84)</f>
        <v>0.2675794318293418</v>
      </c>
      <c r="E184" t="s">
        <v>331</v>
      </c>
    </row>
    <row r="185" spans="1:5">
      <c r="A185" t="s">
        <v>100</v>
      </c>
      <c r="B185" s="67">
        <v>2006</v>
      </c>
      <c r="C185" s="69">
        <v>5</v>
      </c>
      <c r="D185" s="69">
        <f>C185/LOOKUP(B185,pgdp!$A$7:$A$84,pgdp!$C$7:$C$84)</f>
        <v>6.2285715044073982</v>
      </c>
      <c r="E185" t="s">
        <v>331</v>
      </c>
    </row>
    <row r="186" spans="1:5">
      <c r="A186" s="42" t="s">
        <v>5</v>
      </c>
      <c r="B186" s="67">
        <v>2006</v>
      </c>
      <c r="C186" s="69">
        <v>19.1998</v>
      </c>
      <c r="D186" s="69">
        <f>C186/LOOKUP(B186,pgdp!$A$7:$A$84,pgdp!$C$7:$C$84)</f>
        <v>23.91746543406423</v>
      </c>
      <c r="E186" t="s">
        <v>26</v>
      </c>
    </row>
    <row r="187" spans="1:5">
      <c r="A187" t="s">
        <v>76</v>
      </c>
      <c r="B187" s="67">
        <v>2006</v>
      </c>
      <c r="C187" s="69">
        <v>5.7402999999999995</v>
      </c>
      <c r="D187" s="69">
        <f>C187/LOOKUP(B187,pgdp!$A$7:$A$84,pgdp!$C$7:$C$84)</f>
        <v>7.1507738013499562</v>
      </c>
      <c r="E187" t="s">
        <v>33</v>
      </c>
    </row>
    <row r="188" spans="1:5">
      <c r="A188" t="s">
        <v>109</v>
      </c>
      <c r="B188" s="67">
        <v>2006</v>
      </c>
      <c r="C188" s="69">
        <v>1.5</v>
      </c>
      <c r="D188" s="69">
        <f>C188/LOOKUP(B188,pgdp!$A$7:$A$84,pgdp!$C$7:$C$84)</f>
        <v>1.8685714513222194</v>
      </c>
      <c r="E188" t="s">
        <v>330</v>
      </c>
    </row>
    <row r="189" spans="1:5">
      <c r="A189" t="s">
        <v>545</v>
      </c>
      <c r="B189" s="67">
        <v>2006</v>
      </c>
      <c r="C189" s="69">
        <v>0.13</v>
      </c>
      <c r="D189" s="69">
        <f>C189/LOOKUP(B189,pgdp!$A$7:$A$84,pgdp!$C$7:$C$84)</f>
        <v>0.16194285911459236</v>
      </c>
      <c r="E189" t="s">
        <v>330</v>
      </c>
    </row>
    <row r="190" spans="1:5">
      <c r="A190" t="s">
        <v>542</v>
      </c>
      <c r="B190" s="67">
        <v>2006</v>
      </c>
      <c r="C190" s="69">
        <v>-0.26400000000000001</v>
      </c>
      <c r="D190" s="69">
        <f>C190/LOOKUP(B190,pgdp!$A$7:$A$84,pgdp!$C$7:$C$84)</f>
        <v>-0.32886857543271064</v>
      </c>
      <c r="E190" t="s">
        <v>330</v>
      </c>
    </row>
    <row r="191" spans="1:5">
      <c r="A191" t="s">
        <v>544</v>
      </c>
      <c r="B191" s="67">
        <v>2006</v>
      </c>
      <c r="C191" s="69">
        <v>8.0229999999999997</v>
      </c>
      <c r="D191" s="69">
        <f>C191/LOOKUP(B191,pgdp!$A$7:$A$84,pgdp!$C$7:$C$84)</f>
        <v>9.9943658359721095</v>
      </c>
      <c r="E191" t="s">
        <v>330</v>
      </c>
    </row>
    <row r="192" spans="1:5">
      <c r="A192" t="s">
        <v>191</v>
      </c>
      <c r="B192" s="67">
        <v>2018</v>
      </c>
      <c r="C192" s="69">
        <v>12.9</v>
      </c>
      <c r="D192" s="69">
        <f>C192/LOOKUP(B192,pgdp!$A$7:$A$84,pgdp!$C$7:$C$84)</f>
        <v>13.153663825037079</v>
      </c>
      <c r="E192" t="s">
        <v>51</v>
      </c>
    </row>
    <row r="193" spans="1:8">
      <c r="A193" t="s">
        <v>165</v>
      </c>
      <c r="B193" s="67">
        <v>2018</v>
      </c>
      <c r="C193" s="69">
        <v>19.2</v>
      </c>
      <c r="D193" s="69">
        <f>C193/LOOKUP(B193,pgdp!$A$7:$A$84,pgdp!$C$7:$C$84)</f>
        <v>19.577546158194721</v>
      </c>
      <c r="E193" t="s">
        <v>52</v>
      </c>
    </row>
    <row r="194" spans="1:8">
      <c r="A194" t="s">
        <v>260</v>
      </c>
      <c r="B194" s="67">
        <v>2018</v>
      </c>
      <c r="C194" s="69">
        <v>0.5</v>
      </c>
      <c r="D194" s="69">
        <f>C194/LOOKUP(B194,pgdp!$A$7:$A$84,pgdp!$C$7:$C$84)</f>
        <v>0.50983193120298753</v>
      </c>
      <c r="E194" t="s">
        <v>17</v>
      </c>
    </row>
    <row r="195" spans="1:8">
      <c r="A195" t="s">
        <v>18</v>
      </c>
      <c r="B195" s="67">
        <v>2018</v>
      </c>
      <c r="C195" s="69">
        <v>4.9000000000000004</v>
      </c>
      <c r="D195" s="69">
        <f>C195/LOOKUP(B195,pgdp!$A$7:$A$84,pgdp!$C$7:$C$84)</f>
        <v>4.996352925789278</v>
      </c>
      <c r="E195" t="s">
        <v>289</v>
      </c>
    </row>
    <row r="196" spans="1:8">
      <c r="A196" t="s">
        <v>174</v>
      </c>
      <c r="B196" s="67">
        <v>2018</v>
      </c>
      <c r="C196" s="69">
        <v>1.3</v>
      </c>
      <c r="D196" s="69">
        <f>C196/LOOKUP(B196,pgdp!$A$7:$A$84,pgdp!$C$7:$C$84)</f>
        <v>1.3255630211277676</v>
      </c>
      <c r="E196" t="s">
        <v>24</v>
      </c>
    </row>
    <row r="197" spans="1:8">
      <c r="A197" t="s">
        <v>315</v>
      </c>
      <c r="B197" s="67">
        <v>2018</v>
      </c>
      <c r="C197" s="69">
        <v>1.8</v>
      </c>
      <c r="D197" s="69">
        <f>C197/LOOKUP(B197,pgdp!$A$7:$A$84,pgdp!$C$7:$C$84)</f>
        <v>1.8353949523307551</v>
      </c>
      <c r="E197" t="s">
        <v>49</v>
      </c>
    </row>
    <row r="198" spans="1:8">
      <c r="A198" t="s">
        <v>26</v>
      </c>
      <c r="B198" s="67">
        <v>2018</v>
      </c>
      <c r="C198" s="69">
        <v>9.1</v>
      </c>
      <c r="D198" s="69">
        <f>C198/LOOKUP(B198,pgdp!$A$7:$A$84,pgdp!$C$7:$C$84)</f>
        <v>9.278941147894372</v>
      </c>
      <c r="E198" t="s">
        <v>26</v>
      </c>
    </row>
    <row r="199" spans="1:8">
      <c r="A199" t="s">
        <v>42</v>
      </c>
      <c r="B199" s="67">
        <v>2018</v>
      </c>
      <c r="C199" s="69">
        <v>10.4</v>
      </c>
      <c r="D199" s="69">
        <f>C199/LOOKUP(B199,pgdp!$A$7:$A$84,pgdp!$C$7:$C$84)</f>
        <v>10.604504169022141</v>
      </c>
      <c r="E199" t="s">
        <v>33</v>
      </c>
    </row>
    <row r="200" spans="1:8">
      <c r="A200" t="s">
        <v>316</v>
      </c>
      <c r="B200" s="67">
        <v>2018</v>
      </c>
      <c r="C200" s="69">
        <v>0.9</v>
      </c>
      <c r="D200" s="69">
        <f>C200/LOOKUP(B200,pgdp!$A$7:$A$84,pgdp!$C$7:$C$84)</f>
        <v>0.91769747616537756</v>
      </c>
      <c r="E200" t="s">
        <v>332</v>
      </c>
    </row>
    <row r="201" spans="1:8">
      <c r="A201" t="s">
        <v>23</v>
      </c>
      <c r="B201" s="67">
        <v>2018</v>
      </c>
      <c r="C201" s="69">
        <v>4.8</v>
      </c>
      <c r="D201" s="69">
        <f>C201/LOOKUP(B201,pgdp!$A$7:$A$84,pgdp!$C$7:$C$84)</f>
        <v>4.8943865395486803</v>
      </c>
      <c r="E201" t="s">
        <v>332</v>
      </c>
    </row>
    <row r="202" spans="1:8">
      <c r="A202" t="s">
        <v>548</v>
      </c>
      <c r="B202" s="67">
        <v>2018</v>
      </c>
      <c r="C202" s="69">
        <v>4.6859999999999999</v>
      </c>
      <c r="D202" s="69">
        <f>C202/LOOKUP(B202,pgdp!$A$7:$A$84,pgdp!$C$7:$C$84)</f>
        <v>4.7781448592343994</v>
      </c>
      <c r="E202" t="s">
        <v>330</v>
      </c>
    </row>
    <row r="203" spans="1:8">
      <c r="A203" t="s">
        <v>558</v>
      </c>
      <c r="B203" s="67">
        <v>2018</v>
      </c>
      <c r="C203" s="69">
        <v>17.399999999999999</v>
      </c>
      <c r="D203" s="69">
        <f>C203/LOOKUP(B203,pgdp!$A$7:$A$84,pgdp!$C$7:$C$84)</f>
        <v>17.742151205863966</v>
      </c>
      <c r="E203" t="s">
        <v>398</v>
      </c>
    </row>
    <row r="204" spans="1:8">
      <c r="A204" t="s">
        <v>191</v>
      </c>
      <c r="B204" s="66">
        <v>2019</v>
      </c>
      <c r="C204" s="69">
        <v>14.7</v>
      </c>
      <c r="D204" s="69">
        <f>C204/LOOKUP(B204,pgdp!$A$7:$A$84,pgdp!$C$7:$C$84)</f>
        <v>14.7</v>
      </c>
      <c r="E204" t="s">
        <v>51</v>
      </c>
    </row>
    <row r="205" spans="1:8">
      <c r="A205" t="s">
        <v>165</v>
      </c>
      <c r="B205" s="66">
        <v>2019</v>
      </c>
      <c r="C205" s="69">
        <v>20</v>
      </c>
      <c r="D205" s="69">
        <f>C205/LOOKUP(B205,pgdp!$A$7:$A$84,pgdp!$C$7:$C$84)</f>
        <v>20</v>
      </c>
      <c r="E205" t="s">
        <v>52</v>
      </c>
    </row>
    <row r="206" spans="1:8">
      <c r="A206" t="s">
        <v>391</v>
      </c>
      <c r="B206" s="66">
        <v>2019</v>
      </c>
      <c r="C206" s="69">
        <v>0.6</v>
      </c>
      <c r="D206" s="69">
        <f>C206/LOOKUP(B206,pgdp!$A$7:$A$84,pgdp!$C$7:$C$84)</f>
        <v>0.6</v>
      </c>
      <c r="E206" t="s">
        <v>17</v>
      </c>
    </row>
    <row r="207" spans="1:8">
      <c r="A207" t="s">
        <v>26</v>
      </c>
      <c r="B207" s="66">
        <v>2019</v>
      </c>
      <c r="C207" s="69">
        <v>8.6999999999999993</v>
      </c>
      <c r="D207" s="69">
        <f>C207/LOOKUP(B207,pgdp!$A$7:$A$84,pgdp!$C$7:$C$84)</f>
        <v>8.6999999999999993</v>
      </c>
      <c r="E207" t="s">
        <v>26</v>
      </c>
    </row>
    <row r="208" spans="1:8">
      <c r="A208" t="s">
        <v>42</v>
      </c>
      <c r="B208" s="66">
        <v>2019</v>
      </c>
      <c r="C208" s="69">
        <v>9.9</v>
      </c>
      <c r="D208" s="69">
        <f>C208/LOOKUP(B208,pgdp!$A$7:$A$84,pgdp!$C$7:$C$84)</f>
        <v>9.9</v>
      </c>
      <c r="E208" t="s">
        <v>33</v>
      </c>
      <c r="F208" s="51"/>
      <c r="G208" s="51"/>
      <c r="H208" s="51"/>
    </row>
    <row r="209" spans="1:8">
      <c r="A209" t="s">
        <v>18</v>
      </c>
      <c r="B209" s="66">
        <v>2019</v>
      </c>
      <c r="C209" s="69">
        <v>5.2</v>
      </c>
      <c r="D209" s="69">
        <f>C209/LOOKUP(B209,pgdp!$A$7:$A$84,pgdp!$C$7:$C$84)</f>
        <v>5.2</v>
      </c>
      <c r="E209" t="s">
        <v>289</v>
      </c>
      <c r="F209" s="51"/>
      <c r="G209" s="51"/>
      <c r="H209" s="51"/>
    </row>
    <row r="210" spans="1:8">
      <c r="A210" t="s">
        <v>174</v>
      </c>
      <c r="B210" s="66">
        <v>2019</v>
      </c>
      <c r="C210" s="69">
        <v>1.1000000000000001</v>
      </c>
      <c r="D210" s="69">
        <f>C210/LOOKUP(B210,pgdp!$A$7:$A$84,pgdp!$C$7:$C$84)</f>
        <v>1.1000000000000001</v>
      </c>
      <c r="E210" t="s">
        <v>24</v>
      </c>
      <c r="F210" s="51"/>
      <c r="G210" s="51"/>
      <c r="H210" s="51"/>
    </row>
    <row r="211" spans="1:8">
      <c r="A211" t="s">
        <v>392</v>
      </c>
      <c r="B211" s="66">
        <v>2019</v>
      </c>
      <c r="C211" s="69">
        <v>1.4</v>
      </c>
      <c r="D211" s="69">
        <f>C211/LOOKUP(B211,pgdp!$A$7:$A$84,pgdp!$C$7:$C$84)</f>
        <v>1.4</v>
      </c>
      <c r="E211" t="s">
        <v>49</v>
      </c>
      <c r="F211" s="51"/>
      <c r="G211" s="51"/>
      <c r="H211" s="51"/>
    </row>
    <row r="212" spans="1:8">
      <c r="A212" t="s">
        <v>354</v>
      </c>
      <c r="B212" s="66">
        <v>2019</v>
      </c>
      <c r="C212" s="69">
        <v>0.9</v>
      </c>
      <c r="D212" s="69">
        <f>C212/LOOKUP(B212,pgdp!$A$7:$A$84,pgdp!$C$7:$C$84)</f>
        <v>0.9</v>
      </c>
      <c r="E212" t="s">
        <v>332</v>
      </c>
      <c r="F212" s="51"/>
      <c r="G212" s="51"/>
      <c r="H212" s="51"/>
    </row>
    <row r="213" spans="1:8">
      <c r="A213" t="s">
        <v>542</v>
      </c>
      <c r="B213" s="67">
        <v>2019</v>
      </c>
      <c r="C213" s="69">
        <v>0</v>
      </c>
      <c r="D213" s="69">
        <f>C213/LOOKUP(B213,pgdp!$A$7:$A$84,pgdp!$C$7:$C$84)</f>
        <v>0</v>
      </c>
      <c r="E213" t="s">
        <v>330</v>
      </c>
    </row>
    <row r="214" spans="1:8">
      <c r="A214" t="s">
        <v>393</v>
      </c>
      <c r="B214" s="66">
        <v>2019</v>
      </c>
      <c r="C214" s="69">
        <v>6.5</v>
      </c>
      <c r="D214" s="69">
        <f>C214/LOOKUP(B214,pgdp!$A$7:$A$84,pgdp!$C$7:$C$84)</f>
        <v>6.5</v>
      </c>
      <c r="E214" t="s">
        <v>332</v>
      </c>
      <c r="F214" s="51"/>
      <c r="G214" s="51"/>
      <c r="H214" s="51"/>
    </row>
    <row r="215" spans="1:8">
      <c r="F215" s="51"/>
      <c r="G215" s="51"/>
      <c r="H215" s="51"/>
    </row>
    <row r="216" spans="1:8">
      <c r="F216" s="51"/>
      <c r="G216" s="51"/>
      <c r="H216" s="51"/>
    </row>
    <row r="217" spans="1:8">
      <c r="F217" s="51"/>
      <c r="G217" s="51"/>
      <c r="H217" s="51"/>
    </row>
    <row r="218" spans="1:8">
      <c r="F218" s="51"/>
      <c r="G218" s="51"/>
      <c r="H218" s="51"/>
    </row>
    <row r="219" spans="1:8">
      <c r="F219" s="52"/>
      <c r="G219" s="52"/>
      <c r="H219" s="52"/>
    </row>
    <row r="220" spans="1:8">
      <c r="F220" s="51"/>
      <c r="G220" s="51"/>
      <c r="H220" s="51"/>
    </row>
    <row r="221" spans="1:8">
      <c r="F221" s="51"/>
      <c r="G221" s="51"/>
      <c r="H221" s="51"/>
    </row>
    <row r="222" spans="1:8">
      <c r="F222" s="51"/>
      <c r="G222" s="51"/>
      <c r="H222" s="51"/>
    </row>
    <row r="223" spans="1:8">
      <c r="F223" s="51"/>
      <c r="G223" s="51"/>
      <c r="H223" s="51"/>
    </row>
    <row r="224" spans="1:8">
      <c r="B224" s="59"/>
      <c r="F224" s="51"/>
      <c r="G224" s="51"/>
      <c r="H224" s="51"/>
    </row>
    <row r="225" spans="2:8">
      <c r="B225" s="59"/>
      <c r="F225" s="51"/>
      <c r="G225" s="51"/>
      <c r="H225" s="51"/>
    </row>
    <row r="226" spans="2:8">
      <c r="B226" s="59"/>
      <c r="F226" s="51"/>
      <c r="G226" s="51"/>
      <c r="H226" s="51"/>
    </row>
    <row r="227" spans="2:8">
      <c r="B227" s="59"/>
      <c r="F227" s="51"/>
      <c r="G227" s="51"/>
      <c r="H227" s="51"/>
    </row>
    <row r="228" spans="2:8">
      <c r="B228" s="59"/>
      <c r="F228" s="52"/>
      <c r="G228" s="52"/>
      <c r="H228" s="52"/>
    </row>
    <row r="229" spans="2:8">
      <c r="B229" s="59"/>
      <c r="F229" s="51"/>
      <c r="G229" s="51"/>
      <c r="H229" s="51"/>
    </row>
    <row r="230" spans="2:8">
      <c r="B230" s="59"/>
      <c r="F230" s="52"/>
      <c r="G230" s="52"/>
      <c r="H230" s="52"/>
    </row>
    <row r="231" spans="2:8">
      <c r="B231" s="59"/>
      <c r="F231" s="51"/>
      <c r="G231" s="51"/>
      <c r="H231" s="51"/>
    </row>
    <row r="232" spans="2:8">
      <c r="B232" s="59"/>
      <c r="F232" s="51"/>
      <c r="G232" s="51"/>
      <c r="H232" s="51"/>
    </row>
    <row r="233" spans="2:8">
      <c r="B233" s="59"/>
    </row>
    <row r="234" spans="2:8">
      <c r="B234" s="59"/>
    </row>
    <row r="235" spans="2:8">
      <c r="B235" s="59"/>
    </row>
    <row r="236" spans="2:8">
      <c r="B236" s="59"/>
    </row>
    <row r="237" spans="2:8">
      <c r="B237" s="59"/>
    </row>
  </sheetData>
  <autoFilter ref="A4:E214" xr:uid="{00000000-0009-0000-0000-000004000000}"/>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filterMode="1"/>
  <dimension ref="A1:AX441"/>
  <sheetViews>
    <sheetView zoomScaleNormal="100" workbookViewId="0">
      <selection activeCell="J2" sqref="I1:J2"/>
    </sheetView>
  </sheetViews>
  <sheetFormatPr baseColWidth="10" defaultRowHeight="16"/>
  <cols>
    <col min="1" max="1" width="20.1640625" style="112" bestFit="1" customWidth="1"/>
    <col min="2" max="2" width="23.6640625" style="112" bestFit="1" customWidth="1"/>
    <col min="3" max="7" width="6.1640625" style="112" bestFit="1" customWidth="1"/>
    <col min="8" max="14" width="7.1640625" style="112" bestFit="1" customWidth="1"/>
    <col min="15" max="23" width="6.1640625" style="112" bestFit="1" customWidth="1"/>
    <col min="24" max="24" width="22.5" style="112" bestFit="1" customWidth="1"/>
    <col min="25" max="25" width="10.1640625" style="113" bestFit="1" customWidth="1"/>
    <col min="26" max="26" width="25.33203125" style="112" bestFit="1" customWidth="1"/>
    <col min="27" max="27" width="9.1640625" style="112" bestFit="1" customWidth="1"/>
    <col min="28" max="28" width="26.33203125" style="112" bestFit="1" customWidth="1"/>
    <col min="29" max="29" width="15.5" style="112" bestFit="1" customWidth="1"/>
    <col min="30" max="30" width="8" style="112" bestFit="1" customWidth="1"/>
    <col min="31" max="31" width="11.5" style="112" bestFit="1" customWidth="1"/>
    <col min="32" max="32" width="6.83203125" style="112" bestFit="1" customWidth="1"/>
    <col min="33" max="33" width="17.83203125" style="112" bestFit="1" customWidth="1"/>
    <col min="34" max="34" width="12.6640625" style="112" bestFit="1" customWidth="1"/>
    <col min="35" max="35" width="20.1640625" style="112" bestFit="1" customWidth="1"/>
    <col min="36" max="36" width="10.1640625" style="112" bestFit="1" customWidth="1"/>
    <col min="37" max="37" width="10.83203125" style="112"/>
    <col min="38" max="38" width="6.1640625" style="112" bestFit="1" customWidth="1"/>
    <col min="39" max="39" width="25.33203125" style="112" bestFit="1" customWidth="1"/>
    <col min="40" max="40" width="14.83203125" style="112" bestFit="1" customWidth="1"/>
    <col min="41" max="41" width="26.33203125" style="112" bestFit="1" customWidth="1"/>
    <col min="42" max="42" width="15.5" style="112" bestFit="1" customWidth="1"/>
    <col min="43" max="43" width="6.6640625" style="112" bestFit="1" customWidth="1"/>
    <col min="44" max="44" width="11.5" style="112" bestFit="1" customWidth="1"/>
    <col min="45" max="45" width="6.6640625" style="112" bestFit="1" customWidth="1"/>
    <col min="46" max="46" width="17.83203125" style="112" bestFit="1" customWidth="1"/>
    <col min="47" max="47" width="12.6640625" style="112" bestFit="1" customWidth="1"/>
    <col min="48" max="48" width="20.1640625" style="112" bestFit="1" customWidth="1"/>
    <col min="49" max="49" width="10.1640625" style="112" bestFit="1" customWidth="1"/>
    <col min="50" max="50" width="114.33203125" style="112" bestFit="1" customWidth="1"/>
    <col min="51" max="16384" width="10.83203125" style="112"/>
  </cols>
  <sheetData>
    <row r="1" spans="1:25" s="111" customFormat="1" ht="15">
      <c r="A1" s="108" t="s">
        <v>339</v>
      </c>
      <c r="B1" s="108" t="s">
        <v>452</v>
      </c>
      <c r="C1" s="108">
        <v>2001</v>
      </c>
      <c r="D1" s="108">
        <v>2002</v>
      </c>
      <c r="E1" s="108">
        <v>2003</v>
      </c>
      <c r="F1" s="108">
        <v>2004</v>
      </c>
      <c r="G1" s="108">
        <v>2005</v>
      </c>
      <c r="H1" s="108">
        <v>2006</v>
      </c>
      <c r="I1" s="108">
        <v>2007</v>
      </c>
      <c r="J1" s="108">
        <v>2008</v>
      </c>
      <c r="K1" s="108">
        <v>2009</v>
      </c>
      <c r="L1" s="108">
        <v>2010</v>
      </c>
      <c r="M1" s="108">
        <v>2011</v>
      </c>
      <c r="N1" s="108">
        <v>2012</v>
      </c>
      <c r="O1" s="108">
        <v>2013</v>
      </c>
      <c r="P1" s="108">
        <v>2014</v>
      </c>
      <c r="Q1" s="108">
        <v>2015</v>
      </c>
      <c r="R1" s="108">
        <v>2016</v>
      </c>
      <c r="S1" s="108">
        <v>2017</v>
      </c>
      <c r="T1" s="108">
        <v>2018</v>
      </c>
      <c r="U1" s="108">
        <v>2019</v>
      </c>
      <c r="V1" s="108">
        <v>2020</v>
      </c>
      <c r="W1" s="108">
        <v>2021</v>
      </c>
      <c r="X1" s="108">
        <v>2022</v>
      </c>
      <c r="Y1" s="108">
        <v>2023</v>
      </c>
    </row>
    <row r="2" spans="1:25" s="111" customFormat="1" ht="15">
      <c r="A2" s="381" t="s">
        <v>44</v>
      </c>
      <c r="B2" s="108" t="s">
        <v>30</v>
      </c>
      <c r="C2" s="206">
        <v>140</v>
      </c>
      <c r="D2" s="206">
        <v>206</v>
      </c>
      <c r="E2" s="206">
        <v>3363</v>
      </c>
      <c r="F2" s="206">
        <v>3450</v>
      </c>
      <c r="G2" s="206">
        <v>1600</v>
      </c>
      <c r="H2" s="206">
        <v>1850</v>
      </c>
      <c r="I2" s="206">
        <v>1626</v>
      </c>
      <c r="J2" s="206">
        <v>1503</v>
      </c>
      <c r="K2" s="206">
        <v>1636</v>
      </c>
      <c r="L2" s="206">
        <v>1792</v>
      </c>
      <c r="M2" s="206">
        <v>1805</v>
      </c>
      <c r="N2" s="206">
        <v>1493</v>
      </c>
      <c r="O2" s="206">
        <v>900</v>
      </c>
      <c r="P2" s="206">
        <v>784</v>
      </c>
      <c r="Q2" s="206">
        <v>756</v>
      </c>
      <c r="R2" s="206">
        <v>778</v>
      </c>
      <c r="S2" s="206">
        <v>915</v>
      </c>
      <c r="T2" s="207">
        <v>915</v>
      </c>
      <c r="U2" s="207">
        <v>991</v>
      </c>
      <c r="V2" s="207"/>
      <c r="W2" s="207"/>
      <c r="X2" s="207"/>
      <c r="Y2" s="207"/>
    </row>
    <row r="3" spans="1:25" s="111" customFormat="1" ht="15">
      <c r="A3" s="381"/>
      <c r="B3" s="108" t="s">
        <v>11</v>
      </c>
      <c r="C3" s="206">
        <v>222</v>
      </c>
      <c r="D3" s="206">
        <v>0</v>
      </c>
      <c r="E3" s="206">
        <v>8574</v>
      </c>
      <c r="F3" s="206">
        <v>13775</v>
      </c>
      <c r="G3" s="206">
        <v>13940</v>
      </c>
      <c r="H3" s="206">
        <v>12156</v>
      </c>
      <c r="I3" s="206">
        <v>14276</v>
      </c>
      <c r="J3" s="206">
        <v>14673</v>
      </c>
      <c r="K3" s="206">
        <v>14934</v>
      </c>
      <c r="L3" s="206">
        <v>12546</v>
      </c>
      <c r="M3" s="206">
        <v>11672</v>
      </c>
      <c r="N3" s="206">
        <v>7827</v>
      </c>
      <c r="O3" s="206">
        <v>8925</v>
      </c>
      <c r="P3" s="206">
        <v>5632</v>
      </c>
      <c r="Q3" s="206">
        <v>3302</v>
      </c>
      <c r="R3" s="206">
        <v>1964</v>
      </c>
      <c r="S3" s="206">
        <v>2349</v>
      </c>
      <c r="T3" s="207">
        <v>2385</v>
      </c>
      <c r="U3" s="207">
        <v>3161</v>
      </c>
      <c r="V3" s="207"/>
      <c r="W3" s="207"/>
      <c r="X3" s="207"/>
      <c r="Y3" s="207"/>
    </row>
    <row r="4" spans="1:25" s="111" customFormat="1" ht="15">
      <c r="A4" s="381"/>
      <c r="B4" s="108" t="s">
        <v>46</v>
      </c>
      <c r="C4" s="206">
        <v>0</v>
      </c>
      <c r="D4" s="206">
        <v>0</v>
      </c>
      <c r="E4" s="206">
        <v>0</v>
      </c>
      <c r="F4" s="206">
        <v>0</v>
      </c>
      <c r="G4" s="206">
        <v>0</v>
      </c>
      <c r="H4" s="206">
        <v>0</v>
      </c>
      <c r="I4" s="206">
        <v>0</v>
      </c>
      <c r="J4" s="206">
        <v>0</v>
      </c>
      <c r="K4" s="206">
        <v>0</v>
      </c>
      <c r="L4" s="206">
        <v>0</v>
      </c>
      <c r="M4" s="206">
        <v>0</v>
      </c>
      <c r="N4" s="206">
        <v>0</v>
      </c>
      <c r="O4" s="206">
        <v>0</v>
      </c>
      <c r="P4" s="206">
        <v>0</v>
      </c>
      <c r="Q4" s="206">
        <v>0</v>
      </c>
      <c r="R4" s="206">
        <v>0</v>
      </c>
      <c r="S4" s="206">
        <v>0</v>
      </c>
      <c r="T4" s="207">
        <v>0</v>
      </c>
      <c r="U4" s="207">
        <v>0</v>
      </c>
      <c r="V4" s="207"/>
      <c r="W4" s="207"/>
      <c r="X4" s="207"/>
      <c r="Y4" s="207"/>
    </row>
    <row r="5" spans="1:25" s="111" customFormat="1" ht="15">
      <c r="A5" s="381"/>
      <c r="B5" s="108" t="s">
        <v>12</v>
      </c>
      <c r="C5" s="206">
        <v>153</v>
      </c>
      <c r="D5" s="206">
        <v>0</v>
      </c>
      <c r="E5" s="206">
        <v>3082</v>
      </c>
      <c r="F5" s="206">
        <v>1839</v>
      </c>
      <c r="G5" s="206">
        <v>1907</v>
      </c>
      <c r="H5" s="206">
        <v>3031</v>
      </c>
      <c r="I5" s="206">
        <v>2992</v>
      </c>
      <c r="J5" s="206">
        <v>2962</v>
      </c>
      <c r="K5" s="206">
        <v>3351</v>
      </c>
      <c r="L5" s="206">
        <v>2532</v>
      </c>
      <c r="M5" s="206">
        <v>2162</v>
      </c>
      <c r="N5" s="206">
        <v>1974</v>
      </c>
      <c r="O5" s="206">
        <v>2298</v>
      </c>
      <c r="P5" s="206">
        <v>1393</v>
      </c>
      <c r="Q5" s="206">
        <v>717</v>
      </c>
      <c r="R5" s="206">
        <v>438</v>
      </c>
      <c r="S5" s="206">
        <v>488</v>
      </c>
      <c r="T5" s="207">
        <v>539</v>
      </c>
      <c r="U5" s="207">
        <v>508</v>
      </c>
      <c r="V5" s="207"/>
      <c r="W5" s="207"/>
      <c r="X5" s="207"/>
      <c r="Y5" s="207"/>
    </row>
    <row r="6" spans="1:25" s="111" customFormat="1" ht="15">
      <c r="A6" s="381"/>
      <c r="B6" s="208" t="s">
        <v>344</v>
      </c>
      <c r="C6" s="209">
        <v>515</v>
      </c>
      <c r="D6" s="209">
        <v>206</v>
      </c>
      <c r="E6" s="209">
        <v>15019</v>
      </c>
      <c r="F6" s="209">
        <v>19064</v>
      </c>
      <c r="G6" s="209">
        <v>17447</v>
      </c>
      <c r="H6" s="209">
        <v>17037</v>
      </c>
      <c r="I6" s="209">
        <v>18894</v>
      </c>
      <c r="J6" s="209">
        <v>19138</v>
      </c>
      <c r="K6" s="209">
        <v>19920</v>
      </c>
      <c r="L6" s="209">
        <v>16869</v>
      </c>
      <c r="M6" s="209">
        <v>15640</v>
      </c>
      <c r="N6" s="209">
        <v>11293</v>
      </c>
      <c r="O6" s="209">
        <v>12123</v>
      </c>
      <c r="P6" s="209">
        <v>7810</v>
      </c>
      <c r="Q6" s="209">
        <v>4775</v>
      </c>
      <c r="R6" s="209">
        <v>3180</v>
      </c>
      <c r="S6" s="209">
        <v>3752</v>
      </c>
      <c r="T6" s="210">
        <v>3839</v>
      </c>
      <c r="U6" s="210">
        <v>4661</v>
      </c>
      <c r="V6" s="210">
        <f>U6</f>
        <v>4661</v>
      </c>
      <c r="W6" s="210">
        <f>V6</f>
        <v>4661</v>
      </c>
      <c r="X6" s="210">
        <f t="shared" ref="X6:Y6" si="0">W6</f>
        <v>4661</v>
      </c>
      <c r="Y6" s="210">
        <f t="shared" si="0"/>
        <v>4661</v>
      </c>
    </row>
    <row r="7" spans="1:25" s="111" customFormat="1" ht="15">
      <c r="A7" s="381" t="s">
        <v>29</v>
      </c>
      <c r="B7" s="108" t="s">
        <v>30</v>
      </c>
      <c r="C7" s="206">
        <v>971</v>
      </c>
      <c r="D7" s="206">
        <v>41</v>
      </c>
      <c r="E7" s="206">
        <v>8887</v>
      </c>
      <c r="F7" s="206">
        <v>6271</v>
      </c>
      <c r="G7" s="206">
        <v>5827</v>
      </c>
      <c r="H7" s="206">
        <v>8674</v>
      </c>
      <c r="I7" s="206">
        <v>9653</v>
      </c>
      <c r="J7" s="206">
        <v>11268</v>
      </c>
      <c r="K7" s="206">
        <v>10876</v>
      </c>
      <c r="L7" s="206">
        <v>13778</v>
      </c>
      <c r="M7" s="206">
        <v>13538</v>
      </c>
      <c r="N7" s="206">
        <v>10595</v>
      </c>
      <c r="O7" s="206">
        <v>9522</v>
      </c>
      <c r="P7" s="206">
        <v>12795</v>
      </c>
      <c r="Q7" s="206">
        <v>10531</v>
      </c>
      <c r="R7" s="206">
        <v>11336</v>
      </c>
      <c r="S7" s="206">
        <v>12859</v>
      </c>
      <c r="T7" s="207">
        <v>12786</v>
      </c>
      <c r="U7" s="207">
        <v>9362</v>
      </c>
      <c r="V7" s="207"/>
      <c r="W7" s="207"/>
      <c r="X7" s="207"/>
      <c r="Y7" s="207"/>
    </row>
    <row r="8" spans="1:25" s="111" customFormat="1" ht="15">
      <c r="A8" s="381"/>
      <c r="B8" s="108" t="s">
        <v>11</v>
      </c>
      <c r="C8" s="206">
        <v>865</v>
      </c>
      <c r="D8" s="206">
        <v>107</v>
      </c>
      <c r="E8" s="206">
        <v>17418</v>
      </c>
      <c r="F8" s="206">
        <v>38677</v>
      </c>
      <c r="G8" s="206">
        <v>24334</v>
      </c>
      <c r="H8" s="206">
        <v>44791</v>
      </c>
      <c r="I8" s="206">
        <v>64400</v>
      </c>
      <c r="J8" s="206">
        <v>59381</v>
      </c>
      <c r="K8" s="206">
        <v>60183</v>
      </c>
      <c r="L8" s="206">
        <v>71017</v>
      </c>
      <c r="M8" s="206">
        <v>72085</v>
      </c>
      <c r="N8" s="206">
        <v>54436</v>
      </c>
      <c r="O8" s="206">
        <v>34473</v>
      </c>
      <c r="P8" s="206">
        <v>35895</v>
      </c>
      <c r="Q8" s="206">
        <v>23328</v>
      </c>
      <c r="R8" s="206">
        <v>19454</v>
      </c>
      <c r="S8" s="206">
        <v>26171</v>
      </c>
      <c r="T8" s="207">
        <v>26266</v>
      </c>
      <c r="U8" s="207">
        <v>24963</v>
      </c>
      <c r="V8" s="207"/>
      <c r="W8" s="207"/>
      <c r="X8" s="207"/>
      <c r="Y8" s="207"/>
    </row>
    <row r="9" spans="1:25" s="111" customFormat="1" ht="15">
      <c r="A9" s="381"/>
      <c r="B9" s="108" t="s">
        <v>46</v>
      </c>
      <c r="C9" s="206">
        <v>23337</v>
      </c>
      <c r="D9" s="206">
        <v>15194</v>
      </c>
      <c r="E9" s="206">
        <v>19065</v>
      </c>
      <c r="F9" s="206">
        <v>11998</v>
      </c>
      <c r="G9" s="206">
        <v>5526</v>
      </c>
      <c r="H9" s="206">
        <v>12738</v>
      </c>
      <c r="I9" s="206">
        <v>9252</v>
      </c>
      <c r="J9" s="206">
        <v>11888</v>
      </c>
      <c r="K9" s="206">
        <v>10906</v>
      </c>
      <c r="L9" s="206">
        <v>10692</v>
      </c>
      <c r="M9" s="206">
        <v>11219</v>
      </c>
      <c r="N9" s="206">
        <v>10578</v>
      </c>
      <c r="O9" s="206">
        <v>9078</v>
      </c>
      <c r="P9" s="206">
        <v>7839</v>
      </c>
      <c r="Q9" s="206">
        <v>6634</v>
      </c>
      <c r="R9" s="206">
        <v>7726</v>
      </c>
      <c r="S9" s="206">
        <v>9238</v>
      </c>
      <c r="T9" s="207">
        <v>10416</v>
      </c>
      <c r="U9" s="207">
        <v>9080</v>
      </c>
      <c r="V9" s="207"/>
      <c r="W9" s="207"/>
      <c r="X9" s="207"/>
      <c r="Y9" s="207"/>
    </row>
    <row r="10" spans="1:25" s="111" customFormat="1" ht="15">
      <c r="A10" s="381"/>
      <c r="B10" s="108" t="s">
        <v>12</v>
      </c>
      <c r="C10" s="206">
        <v>1320</v>
      </c>
      <c r="D10" s="206">
        <v>37</v>
      </c>
      <c r="E10" s="206">
        <v>7415</v>
      </c>
      <c r="F10" s="206">
        <v>5197</v>
      </c>
      <c r="G10" s="206">
        <v>4693</v>
      </c>
      <c r="H10" s="206">
        <v>9087</v>
      </c>
      <c r="I10" s="206">
        <v>10310</v>
      </c>
      <c r="J10" s="206">
        <v>10813</v>
      </c>
      <c r="K10" s="206">
        <v>9609</v>
      </c>
      <c r="L10" s="206">
        <v>13483</v>
      </c>
      <c r="M10" s="206">
        <v>13377</v>
      </c>
      <c r="N10" s="206">
        <v>11167</v>
      </c>
      <c r="O10" s="206">
        <v>8512</v>
      </c>
      <c r="P10" s="206">
        <v>12262</v>
      </c>
      <c r="Q10" s="206">
        <v>8991</v>
      </c>
      <c r="R10" s="206">
        <v>8638</v>
      </c>
      <c r="S10" s="206">
        <v>11868</v>
      </c>
      <c r="T10" s="207">
        <v>12508</v>
      </c>
      <c r="U10" s="207">
        <v>5908</v>
      </c>
      <c r="V10" s="207"/>
      <c r="W10" s="207"/>
      <c r="X10" s="207"/>
      <c r="Y10" s="207"/>
    </row>
    <row r="11" spans="1:25" s="111" customFormat="1" ht="15">
      <c r="A11" s="381"/>
      <c r="B11" s="208" t="s">
        <v>344</v>
      </c>
      <c r="C11" s="209">
        <v>26493</v>
      </c>
      <c r="D11" s="209">
        <v>15379</v>
      </c>
      <c r="E11" s="209">
        <v>52785</v>
      </c>
      <c r="F11" s="209">
        <v>62143</v>
      </c>
      <c r="G11" s="209">
        <v>40380</v>
      </c>
      <c r="H11" s="209">
        <v>75290</v>
      </c>
      <c r="I11" s="209">
        <v>93615</v>
      </c>
      <c r="J11" s="209">
        <v>93349</v>
      </c>
      <c r="K11" s="209">
        <v>91573</v>
      </c>
      <c r="L11" s="209">
        <v>108971</v>
      </c>
      <c r="M11" s="209">
        <v>110219</v>
      </c>
      <c r="N11" s="209">
        <v>86776</v>
      </c>
      <c r="O11" s="209">
        <v>61586</v>
      </c>
      <c r="P11" s="209">
        <v>68792</v>
      </c>
      <c r="Q11" s="209">
        <v>49483</v>
      </c>
      <c r="R11" s="209">
        <v>47154</v>
      </c>
      <c r="S11" s="209">
        <v>60135</v>
      </c>
      <c r="T11" s="210">
        <v>61974</v>
      </c>
      <c r="U11" s="210">
        <v>49313</v>
      </c>
      <c r="V11" s="210">
        <f>20000-V6</f>
        <v>15339</v>
      </c>
      <c r="W11" s="210">
        <f t="shared" ref="W11:Y11" si="1">20000-W6</f>
        <v>15339</v>
      </c>
      <c r="X11" s="210">
        <f t="shared" si="1"/>
        <v>15339</v>
      </c>
      <c r="Y11" s="210">
        <f t="shared" si="1"/>
        <v>15339</v>
      </c>
    </row>
    <row r="12" spans="1:25" s="111" customFormat="1" ht="15">
      <c r="A12" s="381" t="s">
        <v>43</v>
      </c>
      <c r="B12" s="108" t="s">
        <v>30</v>
      </c>
      <c r="C12" s="206">
        <v>1035</v>
      </c>
      <c r="D12" s="206">
        <v>832</v>
      </c>
      <c r="E12" s="206">
        <v>2500</v>
      </c>
      <c r="F12" s="206">
        <v>3624</v>
      </c>
      <c r="G12" s="206">
        <v>2873</v>
      </c>
      <c r="H12" s="206">
        <v>2386</v>
      </c>
      <c r="I12" s="206">
        <v>7945</v>
      </c>
      <c r="J12" s="206">
        <v>8679</v>
      </c>
      <c r="K12" s="206">
        <v>8243</v>
      </c>
      <c r="L12" s="206">
        <v>4556</v>
      </c>
      <c r="M12" s="206">
        <v>5512</v>
      </c>
      <c r="N12" s="206">
        <v>4472</v>
      </c>
      <c r="O12" s="206">
        <v>2611</v>
      </c>
      <c r="P12" s="206">
        <v>3131</v>
      </c>
      <c r="Q12" s="206">
        <v>4484</v>
      </c>
      <c r="R12" s="206">
        <v>4247</v>
      </c>
      <c r="S12" s="206">
        <v>7604</v>
      </c>
      <c r="T12" s="207">
        <v>7802</v>
      </c>
      <c r="U12" s="207">
        <v>6660</v>
      </c>
      <c r="V12" s="207"/>
      <c r="W12" s="207"/>
      <c r="X12" s="207"/>
      <c r="Y12" s="207"/>
    </row>
    <row r="13" spans="1:25" s="111" customFormat="1" ht="15">
      <c r="A13" s="381"/>
      <c r="B13" s="108" t="s">
        <v>11</v>
      </c>
      <c r="C13" s="206">
        <v>7</v>
      </c>
      <c r="D13" s="206">
        <v>57</v>
      </c>
      <c r="E13" s="206">
        <v>750</v>
      </c>
      <c r="F13" s="206">
        <v>2160</v>
      </c>
      <c r="G13" s="206">
        <v>10101</v>
      </c>
      <c r="H13" s="206">
        <v>13609</v>
      </c>
      <c r="I13" s="206">
        <v>28422</v>
      </c>
      <c r="J13" s="206">
        <v>30628</v>
      </c>
      <c r="K13" s="206">
        <v>15900</v>
      </c>
      <c r="L13" s="206">
        <v>20245</v>
      </c>
      <c r="M13" s="206">
        <v>16760</v>
      </c>
      <c r="N13" s="206">
        <v>5265</v>
      </c>
      <c r="O13" s="206">
        <v>3155</v>
      </c>
      <c r="P13" s="206">
        <v>3027</v>
      </c>
      <c r="Q13" s="206">
        <v>1579</v>
      </c>
      <c r="R13" s="206">
        <v>2520</v>
      </c>
      <c r="S13" s="206">
        <v>5248</v>
      </c>
      <c r="T13" s="207">
        <v>5878</v>
      </c>
      <c r="U13" s="207">
        <v>4964</v>
      </c>
      <c r="V13" s="207"/>
      <c r="W13" s="207"/>
      <c r="X13" s="207"/>
      <c r="Y13" s="207"/>
    </row>
    <row r="14" spans="1:25" s="111" customFormat="1" ht="15">
      <c r="A14" s="381"/>
      <c r="B14" s="108" t="s">
        <v>46</v>
      </c>
      <c r="C14" s="206">
        <v>-79</v>
      </c>
      <c r="D14" s="206">
        <v>63</v>
      </c>
      <c r="E14" s="206">
        <v>484</v>
      </c>
      <c r="F14" s="206">
        <v>519</v>
      </c>
      <c r="G14" s="206">
        <v>786</v>
      </c>
      <c r="H14" s="206">
        <v>1542</v>
      </c>
      <c r="I14" s="206">
        <v>2741</v>
      </c>
      <c r="J14" s="206">
        <v>18241</v>
      </c>
      <c r="K14" s="206">
        <v>7151</v>
      </c>
      <c r="L14" s="206">
        <v>3098</v>
      </c>
      <c r="M14" s="206">
        <v>2922</v>
      </c>
      <c r="N14" s="206">
        <v>4006</v>
      </c>
      <c r="O14" s="206">
        <v>1273</v>
      </c>
      <c r="P14" s="206">
        <v>1354</v>
      </c>
      <c r="Q14" s="206">
        <v>1517</v>
      </c>
      <c r="R14" s="206">
        <v>1191</v>
      </c>
      <c r="S14" s="206">
        <v>1786</v>
      </c>
      <c r="T14" s="207">
        <v>3171</v>
      </c>
      <c r="U14" s="207">
        <v>572</v>
      </c>
      <c r="V14" s="207"/>
      <c r="W14" s="207"/>
      <c r="X14" s="207"/>
      <c r="Y14" s="207"/>
    </row>
    <row r="15" spans="1:25" s="111" customFormat="1" ht="15">
      <c r="A15" s="381"/>
      <c r="B15" s="108" t="s">
        <v>12</v>
      </c>
      <c r="C15" s="206">
        <v>15</v>
      </c>
      <c r="D15" s="206">
        <v>242</v>
      </c>
      <c r="E15" s="206">
        <v>0</v>
      </c>
      <c r="F15" s="206">
        <v>617</v>
      </c>
      <c r="G15" s="206">
        <v>3766</v>
      </c>
      <c r="H15" s="206">
        <v>8202</v>
      </c>
      <c r="I15" s="206">
        <v>10358</v>
      </c>
      <c r="J15" s="206">
        <v>8320</v>
      </c>
      <c r="K15" s="206">
        <v>3257</v>
      </c>
      <c r="L15" s="206">
        <v>4733</v>
      </c>
      <c r="M15" s="206">
        <v>4630</v>
      </c>
      <c r="N15" s="206">
        <v>2309</v>
      </c>
      <c r="O15" s="206">
        <v>1097</v>
      </c>
      <c r="P15" s="206">
        <v>732</v>
      </c>
      <c r="Q15" s="206">
        <v>654</v>
      </c>
      <c r="R15" s="206">
        <v>405</v>
      </c>
      <c r="S15" s="206">
        <v>1632</v>
      </c>
      <c r="T15" s="207">
        <v>1571</v>
      </c>
      <c r="U15" s="207">
        <v>586</v>
      </c>
      <c r="V15" s="207"/>
      <c r="W15" s="207"/>
      <c r="X15" s="207"/>
      <c r="Y15" s="207"/>
    </row>
    <row r="16" spans="1:25" s="111" customFormat="1" ht="15">
      <c r="A16" s="381"/>
      <c r="B16" s="208" t="s">
        <v>344</v>
      </c>
      <c r="C16" s="209">
        <v>978</v>
      </c>
      <c r="D16" s="209">
        <v>1194</v>
      </c>
      <c r="E16" s="209">
        <v>3734</v>
      </c>
      <c r="F16" s="209">
        <v>6920</v>
      </c>
      <c r="G16" s="209">
        <v>17526</v>
      </c>
      <c r="H16" s="209">
        <v>25739</v>
      </c>
      <c r="I16" s="209">
        <v>49466</v>
      </c>
      <c r="J16" s="209">
        <v>65869</v>
      </c>
      <c r="K16" s="209">
        <v>34552</v>
      </c>
      <c r="L16" s="209">
        <v>32632</v>
      </c>
      <c r="M16" s="209">
        <v>29825</v>
      </c>
      <c r="N16" s="209">
        <v>16052</v>
      </c>
      <c r="O16" s="209">
        <v>8135</v>
      </c>
      <c r="P16" s="209">
        <v>8243</v>
      </c>
      <c r="Q16" s="209">
        <v>8234</v>
      </c>
      <c r="R16" s="209">
        <v>8363</v>
      </c>
      <c r="S16" s="209">
        <v>16271</v>
      </c>
      <c r="T16" s="210">
        <v>18421</v>
      </c>
      <c r="U16" s="210">
        <v>12782</v>
      </c>
      <c r="V16" s="210">
        <v>0</v>
      </c>
      <c r="W16" s="210">
        <v>0</v>
      </c>
      <c r="X16" s="210">
        <v>0</v>
      </c>
      <c r="Y16" s="210">
        <v>0</v>
      </c>
    </row>
    <row r="17" spans="1:25" s="111" customFormat="1" ht="15">
      <c r="A17" s="381" t="s">
        <v>341</v>
      </c>
      <c r="B17" s="108" t="s">
        <v>30</v>
      </c>
      <c r="C17" s="206">
        <v>277</v>
      </c>
      <c r="D17" s="206">
        <v>-26</v>
      </c>
      <c r="E17" s="206">
        <v>312</v>
      </c>
      <c r="F17" s="206">
        <v>39</v>
      </c>
      <c r="G17" s="206">
        <v>143</v>
      </c>
      <c r="H17" s="206">
        <v>407</v>
      </c>
      <c r="I17" s="206">
        <v>224</v>
      </c>
      <c r="J17" s="206">
        <v>368</v>
      </c>
      <c r="K17" s="206">
        <v>-16</v>
      </c>
      <c r="L17" s="206">
        <v>247</v>
      </c>
      <c r="M17" s="206">
        <v>499</v>
      </c>
      <c r="N17" s="206">
        <v>260</v>
      </c>
      <c r="O17" s="206">
        <v>3</v>
      </c>
      <c r="P17" s="206">
        <v>167</v>
      </c>
      <c r="Q17" s="206">
        <v>15</v>
      </c>
      <c r="R17" s="206">
        <v>17</v>
      </c>
      <c r="S17" s="206">
        <v>387</v>
      </c>
      <c r="T17" s="207">
        <v>621</v>
      </c>
      <c r="U17" s="207">
        <v>314</v>
      </c>
      <c r="V17" s="207"/>
      <c r="W17" s="207"/>
      <c r="X17" s="207"/>
      <c r="Y17" s="207"/>
    </row>
    <row r="18" spans="1:25" s="111" customFormat="1" ht="15">
      <c r="A18" s="381"/>
      <c r="B18" s="108" t="s">
        <v>11</v>
      </c>
      <c r="C18" s="206">
        <v>5</v>
      </c>
      <c r="D18" s="206">
        <v>-7</v>
      </c>
      <c r="E18" s="206">
        <v>12</v>
      </c>
      <c r="F18" s="206">
        <v>0</v>
      </c>
      <c r="G18" s="206">
        <v>39</v>
      </c>
      <c r="H18" s="206">
        <v>68</v>
      </c>
      <c r="I18" s="206">
        <v>100</v>
      </c>
      <c r="J18" s="206">
        <v>150</v>
      </c>
      <c r="K18" s="206">
        <v>-60</v>
      </c>
      <c r="L18" s="206">
        <v>139</v>
      </c>
      <c r="M18" s="206">
        <v>300</v>
      </c>
      <c r="N18" s="206">
        <v>19</v>
      </c>
      <c r="O18" s="206">
        <v>29</v>
      </c>
      <c r="P18" s="206">
        <v>31</v>
      </c>
      <c r="Q18" s="206">
        <v>36</v>
      </c>
      <c r="R18" s="206">
        <v>2</v>
      </c>
      <c r="S18" s="206">
        <v>358</v>
      </c>
      <c r="T18" s="207">
        <v>363</v>
      </c>
      <c r="U18" s="207">
        <v>325</v>
      </c>
      <c r="V18" s="207"/>
      <c r="W18" s="207"/>
      <c r="X18" s="207"/>
      <c r="Y18" s="207"/>
    </row>
    <row r="19" spans="1:25" s="111" customFormat="1" ht="15">
      <c r="A19" s="381"/>
      <c r="B19" s="108" t="s">
        <v>46</v>
      </c>
      <c r="C19" s="206">
        <v>77</v>
      </c>
      <c r="D19" s="206">
        <v>34</v>
      </c>
      <c r="E19" s="206">
        <v>486</v>
      </c>
      <c r="F19" s="206">
        <v>261</v>
      </c>
      <c r="G19" s="206">
        <v>260</v>
      </c>
      <c r="H19" s="206">
        <v>203</v>
      </c>
      <c r="I19" s="206">
        <v>652</v>
      </c>
      <c r="J19" s="206">
        <v>753</v>
      </c>
      <c r="K19" s="206">
        <v>591</v>
      </c>
      <c r="L19" s="206">
        <v>391</v>
      </c>
      <c r="M19" s="206">
        <v>308</v>
      </c>
      <c r="N19" s="206">
        <v>194</v>
      </c>
      <c r="O19" s="206">
        <v>112</v>
      </c>
      <c r="P19" s="206">
        <v>78</v>
      </c>
      <c r="Q19" s="206">
        <v>294</v>
      </c>
      <c r="R19" s="206">
        <v>188</v>
      </c>
      <c r="S19" s="206">
        <v>463</v>
      </c>
      <c r="T19" s="207">
        <v>1455</v>
      </c>
      <c r="U19" s="207">
        <v>501</v>
      </c>
      <c r="V19" s="207"/>
      <c r="W19" s="207"/>
      <c r="X19" s="207"/>
      <c r="Y19" s="207"/>
    </row>
    <row r="20" spans="1:25" s="111" customFormat="1" ht="15">
      <c r="A20" s="381"/>
      <c r="B20" s="108" t="s">
        <v>12</v>
      </c>
      <c r="C20" s="206">
        <v>128</v>
      </c>
      <c r="D20" s="206">
        <v>-15</v>
      </c>
      <c r="E20" s="206">
        <v>-1</v>
      </c>
      <c r="F20" s="206">
        <v>34</v>
      </c>
      <c r="G20" s="206">
        <v>204</v>
      </c>
      <c r="H20" s="206">
        <v>139</v>
      </c>
      <c r="I20" s="206">
        <v>530</v>
      </c>
      <c r="J20" s="206">
        <v>337</v>
      </c>
      <c r="K20" s="206">
        <v>97</v>
      </c>
      <c r="L20" s="206">
        <v>193</v>
      </c>
      <c r="M20" s="206">
        <v>289</v>
      </c>
      <c r="N20" s="206">
        <v>54</v>
      </c>
      <c r="O20" s="206">
        <v>48</v>
      </c>
      <c r="P20" s="206">
        <v>34</v>
      </c>
      <c r="Q20" s="206">
        <v>37</v>
      </c>
      <c r="R20" s="206">
        <v>36</v>
      </c>
      <c r="S20" s="206">
        <v>327</v>
      </c>
      <c r="T20" s="207">
        <v>387</v>
      </c>
      <c r="U20" s="207">
        <v>168</v>
      </c>
      <c r="V20" s="207"/>
      <c r="W20" s="207"/>
      <c r="X20" s="207"/>
      <c r="Y20" s="207"/>
    </row>
    <row r="21" spans="1:25" s="111" customFormat="1" ht="15">
      <c r="A21" s="381"/>
      <c r="B21" s="208" t="s">
        <v>344</v>
      </c>
      <c r="C21" s="209">
        <v>487</v>
      </c>
      <c r="D21" s="209">
        <v>-14</v>
      </c>
      <c r="E21" s="209">
        <v>809</v>
      </c>
      <c r="F21" s="209">
        <v>334</v>
      </c>
      <c r="G21" s="209">
        <v>646</v>
      </c>
      <c r="H21" s="209">
        <v>817</v>
      </c>
      <c r="I21" s="209">
        <v>1506</v>
      </c>
      <c r="J21" s="209">
        <v>1608</v>
      </c>
      <c r="K21" s="209">
        <v>612</v>
      </c>
      <c r="L21" s="209">
        <v>969</v>
      </c>
      <c r="M21" s="209">
        <v>1396</v>
      </c>
      <c r="N21" s="209">
        <v>526</v>
      </c>
      <c r="O21" s="209">
        <v>192</v>
      </c>
      <c r="P21" s="209">
        <v>310</v>
      </c>
      <c r="Q21" s="209">
        <v>381</v>
      </c>
      <c r="R21" s="209">
        <v>242</v>
      </c>
      <c r="S21" s="209">
        <v>1534</v>
      </c>
      <c r="T21" s="210">
        <v>2826</v>
      </c>
      <c r="U21" s="210">
        <v>1308</v>
      </c>
      <c r="V21" s="210">
        <v>0</v>
      </c>
      <c r="W21" s="210">
        <v>0</v>
      </c>
      <c r="X21" s="210">
        <v>0</v>
      </c>
      <c r="Y21" s="210">
        <v>0</v>
      </c>
    </row>
    <row r="22" spans="1:25" s="111" customFormat="1" ht="15">
      <c r="A22" s="381" t="s">
        <v>45</v>
      </c>
      <c r="B22" s="108" t="s">
        <v>30</v>
      </c>
      <c r="C22" s="206">
        <v>24</v>
      </c>
      <c r="D22" s="206">
        <v>47</v>
      </c>
      <c r="E22" s="206">
        <v>138</v>
      </c>
      <c r="F22" s="206">
        <v>293</v>
      </c>
      <c r="G22" s="206">
        <v>141</v>
      </c>
      <c r="H22" s="206">
        <v>219</v>
      </c>
      <c r="I22" s="206">
        <v>43</v>
      </c>
      <c r="J22" s="206">
        <v>582</v>
      </c>
      <c r="K22" s="206">
        <v>512</v>
      </c>
      <c r="L22" s="206">
        <v>881</v>
      </c>
      <c r="M22" s="206">
        <v>195</v>
      </c>
      <c r="N22" s="206">
        <v>-35</v>
      </c>
      <c r="O22" s="206">
        <v>-30</v>
      </c>
      <c r="P22" s="206">
        <v>0</v>
      </c>
      <c r="Q22" s="206">
        <v>133</v>
      </c>
      <c r="R22" s="206">
        <v>0</v>
      </c>
      <c r="S22" s="206">
        <v>203</v>
      </c>
      <c r="T22" s="207">
        <v>216</v>
      </c>
      <c r="U22" s="207">
        <v>346</v>
      </c>
      <c r="V22" s="207"/>
      <c r="W22" s="207"/>
      <c r="X22" s="207"/>
      <c r="Y22" s="207"/>
    </row>
    <row r="23" spans="1:25" s="111" customFormat="1" ht="15">
      <c r="A23" s="381"/>
      <c r="B23" s="108" t="s">
        <v>11</v>
      </c>
      <c r="C23" s="206">
        <v>41</v>
      </c>
      <c r="D23" s="206">
        <v>56</v>
      </c>
      <c r="E23" s="206">
        <v>0</v>
      </c>
      <c r="F23" s="206">
        <v>162</v>
      </c>
      <c r="G23" s="206">
        <v>856</v>
      </c>
      <c r="H23" s="206">
        <v>771</v>
      </c>
      <c r="I23" s="206">
        <v>1256</v>
      </c>
      <c r="J23" s="206">
        <v>1868</v>
      </c>
      <c r="K23" s="206">
        <v>1413</v>
      </c>
      <c r="L23" s="206">
        <v>1167</v>
      </c>
      <c r="M23" s="206">
        <v>981</v>
      </c>
      <c r="N23" s="206">
        <v>-155</v>
      </c>
      <c r="O23" s="206">
        <v>-97</v>
      </c>
      <c r="P23" s="206">
        <v>0</v>
      </c>
      <c r="Q23" s="206">
        <v>37</v>
      </c>
      <c r="R23" s="206">
        <v>0</v>
      </c>
      <c r="S23" s="206">
        <v>80</v>
      </c>
      <c r="T23" s="207">
        <v>80</v>
      </c>
      <c r="U23" s="207">
        <v>261</v>
      </c>
      <c r="V23" s="207"/>
      <c r="W23" s="207"/>
      <c r="X23" s="207"/>
      <c r="Y23" s="207"/>
    </row>
    <row r="24" spans="1:25" s="111" customFormat="1" ht="15">
      <c r="A24" s="381"/>
      <c r="B24" s="108" t="s">
        <v>46</v>
      </c>
      <c r="C24" s="206">
        <v>-5</v>
      </c>
      <c r="D24" s="206">
        <v>0</v>
      </c>
      <c r="E24" s="206">
        <v>0</v>
      </c>
      <c r="F24" s="206">
        <v>0</v>
      </c>
      <c r="G24" s="206">
        <v>0</v>
      </c>
      <c r="H24" s="206">
        <v>66</v>
      </c>
      <c r="I24" s="206">
        <v>3137</v>
      </c>
      <c r="J24" s="206">
        <v>1307</v>
      </c>
      <c r="K24" s="206">
        <v>2475</v>
      </c>
      <c r="L24" s="206">
        <v>0</v>
      </c>
      <c r="M24" s="206">
        <v>47</v>
      </c>
      <c r="N24" s="206">
        <v>0</v>
      </c>
      <c r="O24" s="206">
        <v>0</v>
      </c>
      <c r="P24" s="206">
        <v>0</v>
      </c>
      <c r="Q24" s="206">
        <v>51</v>
      </c>
      <c r="R24" s="206">
        <v>0</v>
      </c>
      <c r="S24" s="206">
        <v>5</v>
      </c>
      <c r="T24" s="207">
        <v>205</v>
      </c>
      <c r="U24" s="207">
        <v>87</v>
      </c>
      <c r="V24" s="207"/>
      <c r="W24" s="207"/>
      <c r="X24" s="207"/>
      <c r="Y24" s="207"/>
    </row>
    <row r="25" spans="1:25" s="111" customFormat="1" ht="15">
      <c r="A25" s="381"/>
      <c r="B25" s="108" t="s">
        <v>12</v>
      </c>
      <c r="C25" s="206">
        <v>3</v>
      </c>
      <c r="D25" s="206">
        <v>2</v>
      </c>
      <c r="E25" s="206">
        <v>48</v>
      </c>
      <c r="F25" s="206">
        <v>46</v>
      </c>
      <c r="G25" s="206">
        <v>279</v>
      </c>
      <c r="H25" s="206">
        <v>419</v>
      </c>
      <c r="I25" s="206">
        <v>371</v>
      </c>
      <c r="J25" s="206">
        <v>476</v>
      </c>
      <c r="K25" s="206">
        <v>516</v>
      </c>
      <c r="L25" s="206">
        <v>0</v>
      </c>
      <c r="M25" s="206">
        <v>0</v>
      </c>
      <c r="N25" s="206">
        <v>190</v>
      </c>
      <c r="O25" s="206">
        <v>143</v>
      </c>
      <c r="P25" s="206">
        <v>0</v>
      </c>
      <c r="Q25" s="206">
        <v>0</v>
      </c>
      <c r="R25" s="206">
        <v>0</v>
      </c>
      <c r="S25" s="206">
        <v>131</v>
      </c>
      <c r="T25" s="207">
        <v>131</v>
      </c>
      <c r="U25" s="207">
        <v>227</v>
      </c>
      <c r="V25" s="207"/>
      <c r="W25" s="207"/>
      <c r="X25" s="207"/>
      <c r="Y25" s="207"/>
    </row>
    <row r="26" spans="1:25" s="111" customFormat="1" ht="15">
      <c r="A26" s="381"/>
      <c r="B26" s="208" t="s">
        <v>344</v>
      </c>
      <c r="C26" s="209">
        <v>63</v>
      </c>
      <c r="D26" s="209">
        <v>105</v>
      </c>
      <c r="E26" s="209">
        <v>186</v>
      </c>
      <c r="F26" s="209">
        <v>501</v>
      </c>
      <c r="G26" s="209">
        <v>1276</v>
      </c>
      <c r="H26" s="209">
        <v>1475</v>
      </c>
      <c r="I26" s="209">
        <v>4807</v>
      </c>
      <c r="J26" s="209">
        <v>4234</v>
      </c>
      <c r="K26" s="209">
        <v>4916</v>
      </c>
      <c r="L26" s="209">
        <v>2048</v>
      </c>
      <c r="M26" s="209">
        <v>1223</v>
      </c>
      <c r="N26" s="209">
        <v>0</v>
      </c>
      <c r="O26" s="209">
        <v>15</v>
      </c>
      <c r="P26" s="209">
        <v>0</v>
      </c>
      <c r="Q26" s="209">
        <v>221</v>
      </c>
      <c r="R26" s="209">
        <v>0</v>
      </c>
      <c r="S26" s="209">
        <v>420</v>
      </c>
      <c r="T26" s="210">
        <v>632</v>
      </c>
      <c r="U26" s="210">
        <v>921</v>
      </c>
      <c r="V26" s="210">
        <v>0</v>
      </c>
      <c r="W26" s="210">
        <v>0</v>
      </c>
      <c r="X26" s="210">
        <v>0</v>
      </c>
      <c r="Y26" s="210">
        <v>0</v>
      </c>
    </row>
    <row r="27" spans="1:25" s="111" customFormat="1" ht="15">
      <c r="A27" s="381" t="s">
        <v>342</v>
      </c>
      <c r="B27" s="108" t="s">
        <v>30</v>
      </c>
      <c r="C27" s="206">
        <v>14</v>
      </c>
      <c r="D27" s="206">
        <v>0</v>
      </c>
      <c r="E27" s="206">
        <v>2</v>
      </c>
      <c r="F27" s="206">
        <v>7</v>
      </c>
      <c r="G27" s="206">
        <v>11</v>
      </c>
      <c r="H27" s="206">
        <v>325</v>
      </c>
      <c r="I27" s="206">
        <v>0</v>
      </c>
      <c r="J27" s="206">
        <v>0</v>
      </c>
      <c r="K27" s="206">
        <v>97</v>
      </c>
      <c r="L27" s="206">
        <v>8</v>
      </c>
      <c r="M27" s="206">
        <v>0</v>
      </c>
      <c r="N27" s="206">
        <v>0</v>
      </c>
      <c r="O27" s="206">
        <v>0</v>
      </c>
      <c r="P27" s="206">
        <v>0</v>
      </c>
      <c r="Q27" s="206">
        <v>0</v>
      </c>
      <c r="R27" s="206">
        <v>0</v>
      </c>
      <c r="S27" s="206">
        <v>0</v>
      </c>
      <c r="T27" s="207">
        <v>0</v>
      </c>
      <c r="U27" s="207">
        <v>0</v>
      </c>
      <c r="V27" s="207"/>
      <c r="W27" s="207"/>
      <c r="X27" s="207"/>
      <c r="Y27" s="207"/>
    </row>
    <row r="28" spans="1:25" s="111" customFormat="1" ht="15">
      <c r="A28" s="381"/>
      <c r="B28" s="108" t="s">
        <v>11</v>
      </c>
      <c r="C28" s="206">
        <v>26</v>
      </c>
      <c r="D28" s="206">
        <v>0</v>
      </c>
      <c r="E28" s="206">
        <v>0</v>
      </c>
      <c r="F28" s="206">
        <v>11</v>
      </c>
      <c r="G28" s="206">
        <v>1</v>
      </c>
      <c r="H28" s="206">
        <v>0</v>
      </c>
      <c r="I28" s="206">
        <v>0</v>
      </c>
      <c r="J28" s="206">
        <v>0</v>
      </c>
      <c r="K28" s="206">
        <v>38</v>
      </c>
      <c r="L28" s="206">
        <v>0</v>
      </c>
      <c r="M28" s="206">
        <v>0</v>
      </c>
      <c r="N28" s="206">
        <v>0</v>
      </c>
      <c r="O28" s="206">
        <v>0</v>
      </c>
      <c r="P28" s="206">
        <v>0</v>
      </c>
      <c r="Q28" s="206">
        <v>0</v>
      </c>
      <c r="R28" s="206">
        <v>0</v>
      </c>
      <c r="S28" s="206">
        <v>0</v>
      </c>
      <c r="T28" s="207">
        <v>0</v>
      </c>
      <c r="U28" s="207">
        <v>0</v>
      </c>
      <c r="V28" s="207"/>
      <c r="W28" s="207"/>
      <c r="X28" s="207"/>
      <c r="Y28" s="207"/>
    </row>
    <row r="29" spans="1:25" s="111" customFormat="1" ht="15">
      <c r="A29" s="381"/>
      <c r="B29" s="108" t="s">
        <v>46</v>
      </c>
      <c r="C29" s="206">
        <v>0</v>
      </c>
      <c r="D29" s="206">
        <v>0</v>
      </c>
      <c r="E29" s="206">
        <v>0</v>
      </c>
      <c r="F29" s="206">
        <v>0</v>
      </c>
      <c r="G29" s="206">
        <v>0</v>
      </c>
      <c r="H29" s="206">
        <v>0</v>
      </c>
      <c r="I29" s="206">
        <v>0</v>
      </c>
      <c r="J29" s="206">
        <v>0</v>
      </c>
      <c r="K29" s="206">
        <v>555</v>
      </c>
      <c r="L29" s="206">
        <v>0</v>
      </c>
      <c r="M29" s="206">
        <v>0</v>
      </c>
      <c r="N29" s="206">
        <v>0</v>
      </c>
      <c r="O29" s="206">
        <v>0</v>
      </c>
      <c r="P29" s="206">
        <v>0</v>
      </c>
      <c r="Q29" s="206">
        <v>0</v>
      </c>
      <c r="R29" s="206">
        <v>0</v>
      </c>
      <c r="S29" s="206">
        <v>0</v>
      </c>
      <c r="T29" s="207">
        <v>0</v>
      </c>
      <c r="U29" s="207">
        <v>0</v>
      </c>
      <c r="V29" s="207"/>
      <c r="W29" s="207"/>
      <c r="X29" s="207"/>
      <c r="Y29" s="207"/>
    </row>
    <row r="30" spans="1:25" s="111" customFormat="1" ht="15">
      <c r="A30" s="381"/>
      <c r="B30" s="108" t="s">
        <v>12</v>
      </c>
      <c r="C30" s="206">
        <v>20</v>
      </c>
      <c r="D30" s="206">
        <v>0</v>
      </c>
      <c r="E30" s="206">
        <v>0</v>
      </c>
      <c r="F30" s="206">
        <v>6</v>
      </c>
      <c r="G30" s="206">
        <v>9</v>
      </c>
      <c r="H30" s="206">
        <v>135</v>
      </c>
      <c r="I30" s="206">
        <v>0</v>
      </c>
      <c r="J30" s="206">
        <v>12</v>
      </c>
      <c r="K30" s="206">
        <v>0</v>
      </c>
      <c r="L30" s="206">
        <v>0</v>
      </c>
      <c r="M30" s="206">
        <v>0</v>
      </c>
      <c r="N30" s="206">
        <v>0</v>
      </c>
      <c r="O30" s="206">
        <v>0</v>
      </c>
      <c r="P30" s="206">
        <v>0</v>
      </c>
      <c r="Q30" s="206">
        <v>0</v>
      </c>
      <c r="R30" s="206">
        <v>0</v>
      </c>
      <c r="S30" s="206">
        <v>0</v>
      </c>
      <c r="T30" s="207">
        <v>0</v>
      </c>
      <c r="U30" s="207">
        <v>0</v>
      </c>
      <c r="V30" s="207"/>
      <c r="W30" s="207"/>
      <c r="X30" s="207"/>
      <c r="Y30" s="207"/>
    </row>
    <row r="31" spans="1:25" s="111" customFormat="1" ht="15">
      <c r="A31" s="381"/>
      <c r="B31" s="208" t="s">
        <v>344</v>
      </c>
      <c r="C31" s="209">
        <v>60</v>
      </c>
      <c r="D31" s="209">
        <v>0</v>
      </c>
      <c r="E31" s="209">
        <v>2</v>
      </c>
      <c r="F31" s="209">
        <v>24</v>
      </c>
      <c r="G31" s="209">
        <v>21</v>
      </c>
      <c r="H31" s="209">
        <v>460</v>
      </c>
      <c r="I31" s="209">
        <v>0</v>
      </c>
      <c r="J31" s="209">
        <v>12</v>
      </c>
      <c r="K31" s="209">
        <v>690</v>
      </c>
      <c r="L31" s="209">
        <v>8</v>
      </c>
      <c r="M31" s="209">
        <v>0</v>
      </c>
      <c r="N31" s="209">
        <v>0</v>
      </c>
      <c r="O31" s="209">
        <v>0</v>
      </c>
      <c r="P31" s="209">
        <v>0</v>
      </c>
      <c r="Q31" s="209">
        <v>0</v>
      </c>
      <c r="R31" s="209">
        <v>0</v>
      </c>
      <c r="S31" s="209">
        <v>0</v>
      </c>
      <c r="T31" s="210">
        <v>0</v>
      </c>
      <c r="U31" s="210">
        <v>0</v>
      </c>
      <c r="V31" s="210">
        <v>0</v>
      </c>
      <c r="W31" s="210">
        <v>0</v>
      </c>
      <c r="X31" s="210">
        <v>0</v>
      </c>
      <c r="Y31" s="210">
        <v>0</v>
      </c>
    </row>
    <row r="32" spans="1:25" s="111" customFormat="1" ht="15">
      <c r="A32" s="381" t="s">
        <v>343</v>
      </c>
      <c r="B32" s="108" t="s">
        <v>30</v>
      </c>
      <c r="C32" s="206">
        <v>0</v>
      </c>
      <c r="D32" s="206">
        <v>0</v>
      </c>
      <c r="E32" s="206">
        <v>0</v>
      </c>
      <c r="F32" s="206">
        <v>0</v>
      </c>
      <c r="G32" s="206">
        <v>0</v>
      </c>
      <c r="H32" s="206">
        <v>0</v>
      </c>
      <c r="I32" s="206">
        <v>0</v>
      </c>
      <c r="J32" s="206">
        <v>548</v>
      </c>
      <c r="K32" s="206">
        <v>15</v>
      </c>
      <c r="L32" s="206">
        <v>863</v>
      </c>
      <c r="M32" s="206">
        <v>17</v>
      </c>
      <c r="N32" s="206">
        <v>12</v>
      </c>
      <c r="O32" s="206">
        <v>10</v>
      </c>
      <c r="P32" s="206">
        <v>0</v>
      </c>
      <c r="Q32" s="206">
        <v>0</v>
      </c>
      <c r="R32" s="206">
        <v>3</v>
      </c>
      <c r="S32" s="206">
        <v>0</v>
      </c>
      <c r="T32" s="207">
        <v>0</v>
      </c>
      <c r="U32" s="207">
        <v>9</v>
      </c>
      <c r="V32" s="207"/>
      <c r="W32" s="207"/>
      <c r="X32" s="207"/>
      <c r="Y32" s="207"/>
    </row>
    <row r="33" spans="1:50" s="111" customFormat="1" ht="15">
      <c r="A33" s="381"/>
      <c r="B33" s="108" t="s">
        <v>11</v>
      </c>
      <c r="C33" s="206">
        <v>0</v>
      </c>
      <c r="D33" s="206">
        <v>0</v>
      </c>
      <c r="E33" s="206">
        <v>0</v>
      </c>
      <c r="F33" s="206">
        <v>0</v>
      </c>
      <c r="G33" s="206">
        <v>0</v>
      </c>
      <c r="H33" s="206">
        <v>0</v>
      </c>
      <c r="I33" s="206">
        <v>0</v>
      </c>
      <c r="J33" s="206">
        <v>1319</v>
      </c>
      <c r="K33" s="206">
        <v>443</v>
      </c>
      <c r="L33" s="206">
        <v>12</v>
      </c>
      <c r="M33" s="206">
        <v>0</v>
      </c>
      <c r="N33" s="206">
        <v>54</v>
      </c>
      <c r="O33" s="206">
        <v>0</v>
      </c>
      <c r="P33" s="206">
        <v>0</v>
      </c>
      <c r="Q33" s="206">
        <v>0</v>
      </c>
      <c r="R33" s="206">
        <v>0</v>
      </c>
      <c r="S33" s="206">
        <v>0</v>
      </c>
      <c r="T33" s="207">
        <v>49</v>
      </c>
      <c r="U33" s="207">
        <v>7</v>
      </c>
      <c r="V33" s="207"/>
      <c r="W33" s="207"/>
      <c r="X33" s="207"/>
      <c r="Y33" s="207"/>
    </row>
    <row r="34" spans="1:50" s="111" customFormat="1" ht="15">
      <c r="A34" s="381"/>
      <c r="B34" s="108" t="s">
        <v>46</v>
      </c>
      <c r="C34" s="206">
        <v>178</v>
      </c>
      <c r="D34" s="206">
        <v>0</v>
      </c>
      <c r="E34" s="206">
        <v>0</v>
      </c>
      <c r="F34" s="206">
        <v>2078</v>
      </c>
      <c r="G34" s="206">
        <v>1515</v>
      </c>
      <c r="H34" s="206">
        <v>3089</v>
      </c>
      <c r="I34" s="206">
        <v>1116</v>
      </c>
      <c r="J34" s="206">
        <v>575</v>
      </c>
      <c r="K34" s="206">
        <v>404</v>
      </c>
      <c r="L34" s="206">
        <v>469</v>
      </c>
      <c r="M34" s="206">
        <v>468</v>
      </c>
      <c r="N34" s="206">
        <v>369</v>
      </c>
      <c r="O34" s="206">
        <v>0</v>
      </c>
      <c r="P34" s="206">
        <v>0</v>
      </c>
      <c r="Q34" s="206">
        <v>0</v>
      </c>
      <c r="R34" s="206">
        <v>0</v>
      </c>
      <c r="S34" s="206">
        <v>378</v>
      </c>
      <c r="T34" s="207">
        <v>378</v>
      </c>
      <c r="U34" s="207">
        <v>0</v>
      </c>
      <c r="V34" s="207"/>
      <c r="W34" s="207"/>
      <c r="X34" s="207"/>
      <c r="Y34" s="207"/>
    </row>
    <row r="35" spans="1:50" s="111" customFormat="1" ht="15">
      <c r="A35" s="381"/>
      <c r="B35" s="108" t="s">
        <v>12</v>
      </c>
      <c r="C35" s="206">
        <v>0</v>
      </c>
      <c r="D35" s="206">
        <v>0</v>
      </c>
      <c r="E35" s="206">
        <v>0</v>
      </c>
      <c r="F35" s="206">
        <v>24</v>
      </c>
      <c r="G35" s="206">
        <v>32</v>
      </c>
      <c r="H35" s="206">
        <v>10</v>
      </c>
      <c r="I35" s="206">
        <v>5</v>
      </c>
      <c r="J35" s="206">
        <v>256</v>
      </c>
      <c r="K35" s="206">
        <v>0</v>
      </c>
      <c r="L35" s="206">
        <v>204</v>
      </c>
      <c r="M35" s="206">
        <v>0</v>
      </c>
      <c r="N35" s="206">
        <v>0</v>
      </c>
      <c r="O35" s="206">
        <v>24</v>
      </c>
      <c r="P35" s="206">
        <v>0</v>
      </c>
      <c r="Q35" s="206">
        <v>0</v>
      </c>
      <c r="R35" s="206">
        <v>0</v>
      </c>
      <c r="S35" s="206">
        <v>0</v>
      </c>
      <c r="T35" s="207">
        <v>0</v>
      </c>
      <c r="U35" s="207">
        <v>0</v>
      </c>
      <c r="V35" s="207"/>
      <c r="W35" s="207"/>
      <c r="X35" s="207"/>
      <c r="Y35" s="207"/>
    </row>
    <row r="36" spans="1:50" s="111" customFormat="1" ht="15">
      <c r="A36" s="381"/>
      <c r="B36" s="208" t="s">
        <v>344</v>
      </c>
      <c r="C36" s="209">
        <v>178</v>
      </c>
      <c r="D36" s="209">
        <v>0</v>
      </c>
      <c r="E36" s="209">
        <v>0</v>
      </c>
      <c r="F36" s="209">
        <v>2102</v>
      </c>
      <c r="G36" s="209">
        <v>1547</v>
      </c>
      <c r="H36" s="209">
        <v>3099</v>
      </c>
      <c r="I36" s="209">
        <v>1121</v>
      </c>
      <c r="J36" s="209">
        <v>2698</v>
      </c>
      <c r="K36" s="209">
        <v>862</v>
      </c>
      <c r="L36" s="209">
        <v>1547</v>
      </c>
      <c r="M36" s="209">
        <v>485</v>
      </c>
      <c r="N36" s="209">
        <v>435</v>
      </c>
      <c r="O36" s="209">
        <v>34</v>
      </c>
      <c r="P36" s="209">
        <v>0</v>
      </c>
      <c r="Q36" s="209">
        <v>0</v>
      </c>
      <c r="R36" s="209">
        <v>3</v>
      </c>
      <c r="S36" s="209">
        <v>378</v>
      </c>
      <c r="T36" s="210">
        <v>426</v>
      </c>
      <c r="U36" s="210">
        <v>15</v>
      </c>
      <c r="V36" s="210">
        <v>0</v>
      </c>
      <c r="W36" s="210">
        <v>0</v>
      </c>
      <c r="X36" s="210">
        <v>0</v>
      </c>
      <c r="Y36" s="210">
        <v>0</v>
      </c>
    </row>
    <row r="37" spans="1:50" s="111" customFormat="1" ht="15">
      <c r="A37" s="381" t="s">
        <v>7</v>
      </c>
      <c r="B37" s="108" t="s">
        <v>30</v>
      </c>
      <c r="C37" s="206">
        <v>2460</v>
      </c>
      <c r="D37" s="206">
        <v>1100</v>
      </c>
      <c r="E37" s="206">
        <v>15202</v>
      </c>
      <c r="F37" s="206">
        <v>13685</v>
      </c>
      <c r="G37" s="206">
        <v>10595</v>
      </c>
      <c r="H37" s="206">
        <v>13860</v>
      </c>
      <c r="I37" s="206">
        <v>19491</v>
      </c>
      <c r="J37" s="206">
        <v>22948</v>
      </c>
      <c r="K37" s="206">
        <v>21362</v>
      </c>
      <c r="L37" s="206">
        <v>22124</v>
      </c>
      <c r="M37" s="206">
        <v>21566</v>
      </c>
      <c r="N37" s="206">
        <v>16797</v>
      </c>
      <c r="O37" s="206">
        <v>13015</v>
      </c>
      <c r="P37" s="206">
        <v>16877</v>
      </c>
      <c r="Q37" s="206">
        <v>15919</v>
      </c>
      <c r="R37" s="206">
        <v>16380</v>
      </c>
      <c r="S37" s="206">
        <v>21968</v>
      </c>
      <c r="T37" s="207">
        <v>22339</v>
      </c>
      <c r="U37" s="207">
        <v>17682</v>
      </c>
      <c r="V37" s="207"/>
      <c r="W37" s="207"/>
      <c r="X37" s="207"/>
      <c r="Y37" s="207"/>
    </row>
    <row r="38" spans="1:50" s="111" customFormat="1" ht="15">
      <c r="A38" s="381"/>
      <c r="B38" s="108" t="s">
        <v>11</v>
      </c>
      <c r="C38" s="206">
        <v>1167</v>
      </c>
      <c r="D38" s="206">
        <v>213</v>
      </c>
      <c r="E38" s="206">
        <v>26754</v>
      </c>
      <c r="F38" s="206">
        <v>54785</v>
      </c>
      <c r="G38" s="206">
        <v>49270</v>
      </c>
      <c r="H38" s="206">
        <v>71395</v>
      </c>
      <c r="I38" s="206">
        <v>108455</v>
      </c>
      <c r="J38" s="206">
        <v>108021</v>
      </c>
      <c r="K38" s="206">
        <v>92851</v>
      </c>
      <c r="L38" s="206">
        <v>105125</v>
      </c>
      <c r="M38" s="206">
        <v>101798</v>
      </c>
      <c r="N38" s="206">
        <v>67446</v>
      </c>
      <c r="O38" s="206">
        <v>46485</v>
      </c>
      <c r="P38" s="206">
        <v>44584</v>
      </c>
      <c r="Q38" s="206">
        <v>28282</v>
      </c>
      <c r="R38" s="206">
        <v>23940</v>
      </c>
      <c r="S38" s="206">
        <v>34207</v>
      </c>
      <c r="T38" s="207">
        <v>35020</v>
      </c>
      <c r="U38" s="207">
        <v>33681</v>
      </c>
      <c r="V38" s="207"/>
      <c r="W38" s="207"/>
      <c r="X38" s="207"/>
      <c r="Y38" s="207"/>
    </row>
    <row r="39" spans="1:50" s="111" customFormat="1" ht="15">
      <c r="A39" s="381"/>
      <c r="B39" s="108" t="s">
        <v>46</v>
      </c>
      <c r="C39" s="206">
        <v>23508</v>
      </c>
      <c r="D39" s="206">
        <v>15291</v>
      </c>
      <c r="E39" s="206">
        <v>20036</v>
      </c>
      <c r="F39" s="206">
        <v>14855</v>
      </c>
      <c r="G39" s="206">
        <v>8086</v>
      </c>
      <c r="H39" s="206">
        <v>17637</v>
      </c>
      <c r="I39" s="206">
        <v>16897</v>
      </c>
      <c r="J39" s="206">
        <v>32763</v>
      </c>
      <c r="K39" s="206">
        <v>22082</v>
      </c>
      <c r="L39" s="206">
        <v>14650</v>
      </c>
      <c r="M39" s="206">
        <v>14965</v>
      </c>
      <c r="N39" s="206">
        <v>15147</v>
      </c>
      <c r="O39" s="206">
        <v>10463</v>
      </c>
      <c r="P39" s="206">
        <v>9271</v>
      </c>
      <c r="Q39" s="206">
        <v>8496</v>
      </c>
      <c r="R39" s="206">
        <v>9105</v>
      </c>
      <c r="S39" s="206">
        <v>11869</v>
      </c>
      <c r="T39" s="207">
        <v>15624</v>
      </c>
      <c r="U39" s="207">
        <v>10239</v>
      </c>
      <c r="V39" s="207"/>
      <c r="W39" s="207"/>
      <c r="X39" s="207"/>
      <c r="Y39" s="207"/>
    </row>
    <row r="40" spans="1:50" s="111" customFormat="1" ht="15">
      <c r="A40" s="381"/>
      <c r="B40" s="108" t="s">
        <v>12</v>
      </c>
      <c r="C40" s="206">
        <v>1639</v>
      </c>
      <c r="D40" s="206">
        <v>266</v>
      </c>
      <c r="E40" s="206">
        <v>10544</v>
      </c>
      <c r="F40" s="206">
        <v>7763</v>
      </c>
      <c r="G40" s="206">
        <v>10890</v>
      </c>
      <c r="H40" s="206">
        <v>21023</v>
      </c>
      <c r="I40" s="206">
        <v>24566</v>
      </c>
      <c r="J40" s="206">
        <v>23176</v>
      </c>
      <c r="K40" s="206">
        <v>16830</v>
      </c>
      <c r="L40" s="206">
        <v>21144</v>
      </c>
      <c r="M40" s="206">
        <v>20459</v>
      </c>
      <c r="N40" s="206">
        <v>15693</v>
      </c>
      <c r="O40" s="206">
        <v>12122</v>
      </c>
      <c r="P40" s="206">
        <v>14421</v>
      </c>
      <c r="Q40" s="206">
        <v>10398</v>
      </c>
      <c r="R40" s="206">
        <v>9517</v>
      </c>
      <c r="S40" s="206">
        <v>14446</v>
      </c>
      <c r="T40" s="207">
        <v>15135</v>
      </c>
      <c r="U40" s="207">
        <v>7397</v>
      </c>
      <c r="V40" s="207"/>
      <c r="W40" s="207"/>
      <c r="X40" s="207"/>
      <c r="Y40" s="207"/>
      <c r="AV40" s="248" t="s">
        <v>540</v>
      </c>
      <c r="AW40" s="249">
        <f>(AW44+AW45)/(AW43+AW44+AW45)</f>
        <v>0.17694541684363987</v>
      </c>
    </row>
    <row r="41" spans="1:50" s="111" customFormat="1" ht="15">
      <c r="A41" s="381"/>
      <c r="B41" s="208" t="s">
        <v>344</v>
      </c>
      <c r="C41" s="209">
        <v>28774</v>
      </c>
      <c r="D41" s="209">
        <v>16870</v>
      </c>
      <c r="E41" s="209">
        <v>72536</v>
      </c>
      <c r="F41" s="209">
        <v>91089</v>
      </c>
      <c r="G41" s="209">
        <v>78842</v>
      </c>
      <c r="H41" s="209">
        <v>123916</v>
      </c>
      <c r="I41" s="209">
        <v>169409</v>
      </c>
      <c r="J41" s="209">
        <v>186908</v>
      </c>
      <c r="K41" s="209">
        <v>153124</v>
      </c>
      <c r="L41" s="209">
        <v>163045</v>
      </c>
      <c r="M41" s="209">
        <v>158788</v>
      </c>
      <c r="N41" s="209">
        <v>115083</v>
      </c>
      <c r="O41" s="209">
        <v>82086</v>
      </c>
      <c r="P41" s="209">
        <v>85154</v>
      </c>
      <c r="Q41" s="209">
        <v>63095</v>
      </c>
      <c r="R41" s="209">
        <v>58942</v>
      </c>
      <c r="S41" s="210">
        <v>82490</v>
      </c>
      <c r="T41" s="210">
        <v>88117</v>
      </c>
      <c r="U41" s="210">
        <v>69000</v>
      </c>
      <c r="V41" s="210">
        <f>V36+V31+V26+V21+V16+V11+V6</f>
        <v>20000</v>
      </c>
      <c r="W41" s="210">
        <f t="shared" ref="W41:Y41" si="2">W36+W31+W26+W21+W16+W11+W6</f>
        <v>20000</v>
      </c>
      <c r="X41" s="210">
        <f t="shared" si="2"/>
        <v>20000</v>
      </c>
      <c r="Y41" s="210">
        <f t="shared" si="2"/>
        <v>20000</v>
      </c>
      <c r="AV41" s="248" t="s">
        <v>541</v>
      </c>
      <c r="AW41" s="249">
        <f>AW45/(AW44+AW45)</f>
        <v>1.3176407093421487E-2</v>
      </c>
    </row>
    <row r="42" spans="1:50" s="110" customFormat="1" ht="24">
      <c r="B42" s="109"/>
      <c r="C42" s="233">
        <v>2001</v>
      </c>
      <c r="D42" s="233">
        <v>2002</v>
      </c>
      <c r="E42" s="233">
        <v>2003</v>
      </c>
      <c r="F42" s="233">
        <v>2004</v>
      </c>
      <c r="G42" s="233">
        <v>2005</v>
      </c>
      <c r="H42" s="233">
        <v>2006</v>
      </c>
      <c r="I42" s="233">
        <v>2007</v>
      </c>
      <c r="J42" s="233">
        <v>2008</v>
      </c>
      <c r="K42" s="233">
        <v>2009</v>
      </c>
      <c r="L42" s="233">
        <v>2010</v>
      </c>
      <c r="M42" s="233">
        <v>2011</v>
      </c>
      <c r="N42" s="233">
        <v>2012</v>
      </c>
      <c r="O42" s="233">
        <v>2013</v>
      </c>
      <c r="P42" s="233">
        <v>2014</v>
      </c>
      <c r="Q42" s="233">
        <v>2015</v>
      </c>
      <c r="R42" s="233">
        <v>2016</v>
      </c>
      <c r="S42" s="233">
        <v>2017</v>
      </c>
      <c r="T42" s="233">
        <v>2018</v>
      </c>
      <c r="U42" s="233">
        <v>2019</v>
      </c>
      <c r="X42" s="119"/>
      <c r="Y42" s="120"/>
      <c r="Z42" s="211" t="s">
        <v>348</v>
      </c>
      <c r="AA42" s="117"/>
      <c r="AB42" s="212"/>
      <c r="AC42" s="213"/>
      <c r="AD42" s="213"/>
      <c r="AE42" s="213"/>
      <c r="AF42" s="213"/>
      <c r="AG42" s="213"/>
      <c r="AH42" s="213"/>
      <c r="AI42" s="213"/>
      <c r="AJ42" s="213"/>
      <c r="AK42" s="212"/>
      <c r="AL42" s="214"/>
      <c r="AM42" s="211" t="s">
        <v>453</v>
      </c>
      <c r="AN42" s="117"/>
      <c r="AO42" s="212"/>
      <c r="AP42" s="213"/>
      <c r="AQ42" s="213"/>
      <c r="AR42" s="213"/>
      <c r="AS42" s="213"/>
      <c r="AT42" s="213"/>
      <c r="AU42" s="213"/>
      <c r="AV42" s="213"/>
      <c r="AW42" s="213"/>
      <c r="AX42" s="212"/>
    </row>
    <row r="43" spans="1:50" s="110" customFormat="1">
      <c r="B43" s="109"/>
      <c r="X43" s="122"/>
      <c r="Y43" s="109"/>
      <c r="Z43" s="116"/>
      <c r="AA43" s="117"/>
      <c r="AB43" s="215" t="s">
        <v>292</v>
      </c>
      <c r="AC43" s="216">
        <f t="array" ref="AC43">SUM(IF((ISNUMBER(FIND("Total",$Z$48:$Z$302)))*(ISNUMBER(FIND("Base",$AB$48:$AB$302))),AC$48:AC$302))/1000</f>
        <v>2294.578</v>
      </c>
      <c r="AD43" s="216">
        <f t="array" ref="AD43">SUM(IF((ISNUMBER(FIND("Total",$Z$48:$Z$302)))*(ISNUMBER(FIND("Base",$AB$48:$AB$302))),AD$48:AD$302))/1000</f>
        <v>3221.2330000000002</v>
      </c>
      <c r="AE43" s="216">
        <f t="array" ref="AE43">SUM(IF((ISNUMBER(FIND("Total",$Z$48:$Z$302)))*(ISNUMBER(FIND("Base",$AB$48:$AB$302))),AE$48:AE$302))/1000</f>
        <v>1757.3019999999999</v>
      </c>
      <c r="AF43" s="216">
        <f t="array" ref="AF43">SUM(IF((ISNUMBER(FIND("Total",$Z$48:$Z$302)))*(ISNUMBER(FIND("Base",$AB$48:$AB$302))),AF$48:AF$302))/1000</f>
        <v>1304.55</v>
      </c>
      <c r="AG43" s="216">
        <f t="array" ref="AG43">SUM(IF((ISNUMBER(FIND("Total",$Z$48:$Z$302)))*(ISNUMBER(FIND("Base",$AB$48:$AB$302))),AG$48:AG$302))/1000</f>
        <v>184.19900000000001</v>
      </c>
      <c r="AH43" s="216">
        <f t="array" ref="AH43">SUM(IF((ISNUMBER(FIND("Total",$Z$48:$Z$302)))*(ISNUMBER(FIND("Base",$AB$48:$AB$302))),AH$48:AH$302))/1000</f>
        <v>48.817</v>
      </c>
      <c r="AI43" s="216">
        <f t="array" ref="AI43">SUM(IF((ISNUMBER(FIND("Total",$Z$48:$Z$302)))*(ISNUMBER(FIND("Base",$AB$48:$AB$302))),AI$48:AI$302))/1000</f>
        <v>42.03</v>
      </c>
      <c r="AJ43" s="216">
        <f t="array" ref="AJ43">SUM(IF((ISNUMBER(FIND("Total",$Z$48:$Z$302)))*(ISNUMBER(FIND("Base",$AB$48:$AB$302))),AJ$48:AJ$302))/1000</f>
        <v>8852.7109999999993</v>
      </c>
      <c r="AK43" s="212"/>
      <c r="AL43" s="214"/>
      <c r="AM43" s="116"/>
      <c r="AN43" s="117"/>
      <c r="AO43" s="215" t="s">
        <v>292</v>
      </c>
      <c r="AP43" s="216">
        <f t="array" ref="AP43">SUM(IF((ISNUMBER(FIND("Total",$AM$48:$AM$302)))*(ISNUMBER(FIND("Base",$AO$48:$AO$302))),AP$48:AP$302))</f>
        <v>2656.9005845378124</v>
      </c>
      <c r="AQ43" s="216">
        <f t="array" ref="AQ43">SUM(IF((ISNUMBER(FIND("Total",$AM$48:$AM$302)))*(ISNUMBER(FIND("Base",$AO$48:$AO$302))),AQ$48:AQ$302))</f>
        <v>3713.0106838193674</v>
      </c>
      <c r="AR43" s="216">
        <f t="array" ref="AR43">SUM(IF((ISNUMBER(FIND("Total",$AM$48:$AM$302)))*(ISNUMBER(FIND("Base",$AO$48:$AO$302))),AR$48:AR$302))</f>
        <v>2033.7723565728365</v>
      </c>
      <c r="AS43" s="216">
        <f t="array" ref="AS43">SUM(IF((ISNUMBER(FIND("Total",$AM$48:$AM$302)))*(ISNUMBER(FIND("Base",$AO$48:$AO$302))),AS$48:AS$302))</f>
        <v>1520.0204992617046</v>
      </c>
      <c r="AT43" s="216">
        <f t="array" ref="AT43">SUM(IF((ISNUMBER(FIND("Total",$AM$48:$AM$302)))*(ISNUMBER(FIND("Base",$AO$48:$AO$302))),AT$48:AT$302))</f>
        <v>215.37244713567313</v>
      </c>
      <c r="AU43" s="216">
        <f t="array" ref="AU43">SUM(IF((ISNUMBER(FIND("Total",$AM$48:$AM$302)))*(ISNUMBER(FIND("Base",$AO$48:$AO$302))),AU$48:AU$302))</f>
        <v>59.999518161340063</v>
      </c>
      <c r="AV43" s="216">
        <f t="array" ref="AV43">SUM(IF((ISNUMBER(FIND("Total",$AM$48:$AM$302)))*(ISNUMBER(FIND("Base",$AO$48:$AO$302))),AV$48:AV$302))</f>
        <v>49.771202525443513</v>
      </c>
      <c r="AW43" s="216">
        <f t="array" ref="AW43">SUM(IF((ISNUMBER(FIND("Total",$AM$48:$AM$302)))*(ISNUMBER(FIND("Base",$AO$48:$AO$302))),AW$48:AW$302))</f>
        <v>10248.849721391281</v>
      </c>
      <c r="AX43" s="212"/>
    </row>
    <row r="44" spans="1:50" s="121" customFormat="1">
      <c r="B44" s="109"/>
      <c r="H44" s="270"/>
      <c r="I44" s="270"/>
      <c r="J44" s="270"/>
      <c r="K44" s="270"/>
      <c r="L44" s="270"/>
      <c r="M44" s="270"/>
      <c r="N44" s="270"/>
      <c r="O44" s="270"/>
      <c r="P44" s="270"/>
      <c r="Q44" s="270"/>
      <c r="R44" s="270"/>
      <c r="S44" s="270"/>
      <c r="T44" s="270"/>
      <c r="U44" s="270"/>
      <c r="X44" s="119"/>
      <c r="Y44" s="120"/>
      <c r="Z44" s="116"/>
      <c r="AA44" s="117"/>
      <c r="AB44" s="215" t="s">
        <v>454</v>
      </c>
      <c r="AC44" s="216">
        <f t="array" ref="AC44">SUM(IF((ISNUMBER(FIND("Total",$Z$48:$Z$302)))*(ISNUMBER(FIND("Global",$AB$48:$AB$302))),AC$48:AC$302))/1000+SUM(IF((ISNUMBER(FIND("Total",$Z$48:$Z$302)))*(ISNUMBER(FIND("Overseas",$AB$48:$AB$302))),AC$48:AC$302))/1000+SUM(IF((ISNUMBER(FIND("Total",$Z$48:$Z$302)))*(ISNUMBER(FIND("Other",$AB$48:$AB$302))),AC$48:AC$302))/1000</f>
        <v>210.63399999999999</v>
      </c>
      <c r="AD44" s="216">
        <f t="array" ref="AD44">SUM(IF((ISNUMBER(FIND("Total",$Z$48:$Z$302)))*(ISNUMBER(FIND("Global",$AB$48:$AB$302))),AD$48:AD$302))/1000+SUM(IF((ISNUMBER(FIND("Total",$Z$48:$Z$302)))*(ISNUMBER(FIND("Overseas",$AB$48:$AB$302))),AD$48:AD$302))/1000+SUM(IF((ISNUMBER(FIND("Total",$Z$48:$Z$302)))*(ISNUMBER(FIND("Other",$AB$48:$AB$302))),AD$48:AD$302))/1000</f>
        <v>1243.913</v>
      </c>
      <c r="AE44" s="216">
        <f t="array" ref="AE44">SUM(IF((ISNUMBER(FIND("Total",$Z$48:$Z$302)))*(ISNUMBER(FIND("Global",$AB$48:$AB$302))),AE$48:AE$302))/1000+SUM(IF((ISNUMBER(FIND("Total",$Z$48:$Z$302)))*(ISNUMBER(FIND("Overseas",$AB$48:$AB$302))),AE$48:AE$302))/1000+SUM(IF((ISNUMBER(FIND("Total",$Z$48:$Z$302)))*(ISNUMBER(FIND("Other",$AB$48:$AB$302))),AE$48:AE$302))/1000</f>
        <v>359.27000000000004</v>
      </c>
      <c r="AF44" s="216">
        <f t="array" ref="AF44">SUM(IF((ISNUMBER(FIND("Total",$Z$48:$Z$302)))*(ISNUMBER(FIND("Global",$AB$48:$AB$302))),AF$48:AF$302))/1000+SUM(IF((ISNUMBER(FIND("Total",$Z$48:$Z$302)))*(ISNUMBER(FIND("Overseas",$AB$48:$AB$302))),AF$48:AF$302))/1000+SUM(IF((ISNUMBER(FIND("Total",$Z$48:$Z$302)))*(ISNUMBER(FIND("Other",$AB$48:$AB$302))),AF$48:AF$302))/1000</f>
        <v>14.685999999999998</v>
      </c>
      <c r="AG44" s="216">
        <f t="array" ref="AG44">SUM(IF((ISNUMBER(FIND("Total",$Z$48:$Z$302)))*(ISNUMBER(FIND("Global",$AB$48:$AB$302))),AG$48:AG$302))/1000+SUM(IF((ISNUMBER(FIND("Total",$Z$48:$Z$302)))*(ISNUMBER(FIND("Overseas",$AB$48:$AB$302))),AG$48:AG$302))/1000+SUM(IF((ISNUMBER(FIND("Total",$Z$48:$Z$302)))*(ISNUMBER(FIND("Other",$AB$48:$AB$302))),AG$48:AG$302))/1000</f>
        <v>19.242000000000001</v>
      </c>
      <c r="AH44" s="216">
        <f t="array" ref="AH44">SUM(IF((ISNUMBER(FIND("Total",$Z$48:$Z$302)))*(ISNUMBER(FIND("Global",$AB$48:$AB$302))),AH$48:AH$302))/1000+SUM(IF((ISNUMBER(FIND("Total",$Z$48:$Z$302)))*(ISNUMBER(FIND("Overseas",$AB$48:$AB$302))),AH$48:AH$302))/1000+SUM(IF((ISNUMBER(FIND("Total",$Z$48:$Z$302)))*(ISNUMBER(FIND("Other",$AB$48:$AB$302))),AH$48:AH$302))/1000</f>
        <v>0.106</v>
      </c>
      <c r="AI44" s="216">
        <f t="array" ref="AI44">SUM(IF((ISNUMBER(FIND("Total",$Z$48:$Z$302)))*(ISNUMBER(FIND("Global",$AB$48:$AB$302))),AI$48:AI$302))/1000+SUM(IF((ISNUMBER(FIND("Total",$Z$48:$Z$302)))*(ISNUMBER(FIND("Overseas",$AB$48:$AB$302))),AI$48:AI$302))/1000+SUM(IF((ISNUMBER(FIND("Total",$Z$48:$Z$302)))*(ISNUMBER(FIND("Other",$AB$48:$AB$302))),AI$48:AI$302))/1000</f>
        <v>14.836</v>
      </c>
      <c r="AJ44" s="216">
        <f t="array" ref="AJ44">SUM(IF((ISNUMBER(FIND("Total",$Z$48:$Z$302)))*(ISNUMBER(FIND("Global",$AB$48:$AB$302))),AJ$48:AJ$302))/1000+SUM(IF((ISNUMBER(FIND("Total",$Z$48:$Z$302)))*(ISNUMBER(FIND("Overseas",$AB$48:$AB$302))),AJ$48:AJ$302))/1000+SUM(IF((ISNUMBER(FIND("Total",$Z$48:$Z$302)))*(ISNUMBER(FIND("Other",$AB$48:$AB$302))),AJ$48:AJ$302))/1000</f>
        <v>1862.6890000000001</v>
      </c>
      <c r="AK44" s="212"/>
      <c r="AL44" s="217"/>
      <c r="AM44" s="116"/>
      <c r="AN44" s="117"/>
      <c r="AO44" s="215" t="s">
        <v>454</v>
      </c>
      <c r="AP44" s="216">
        <f t="array" ref="AP44">SUM(IF((ISNUMBER(FIND("Total",$AM$48:$AM$302)))*(ISNUMBER(FIND("Global",$AO$48:$AO$302))),AP$48:AP$302))+SUM(IF((ISNUMBER(FIND("Total",$AM$48:$AM$302)))*(ISNUMBER(FIND("Overseas",$AO$48:$AO$302))),AP$48:AP$302))+SUM(IF((ISNUMBER(FIND("Total",$AM$48:$AM$302)))*(ISNUMBER(FIND("Other",$AO$48:$AO$302))),AP$48:AP$302))</f>
        <v>251.63718101465548</v>
      </c>
      <c r="AQ44" s="216">
        <f t="array" ref="AQ44">SUM(IF((ISNUMBER(FIND("Total",$AM$48:$AM$302)))*(ISNUMBER(FIND("Global",$AO$48:$AO$302))),AQ$48:AQ$302))+SUM(IF((ISNUMBER(FIND("Total",$AM$48:$AM$302)))*(ISNUMBER(FIND("Overseas",$AO$48:$AO$302))),AQ$48:AQ$302))+SUM(IF((ISNUMBER(FIND("Total",$AM$48:$AM$302)))*(ISNUMBER(FIND("Other",$AO$48:$AO$302))),AQ$48:AQ$302))</f>
        <v>1446.5354863319508</v>
      </c>
      <c r="AR44" s="216">
        <f t="array" ref="AR44">SUM(IF((ISNUMBER(FIND("Total",$AM$48:$AM$302)))*(ISNUMBER(FIND("Global",$AO$48:$AO$302))),AR$48:AR$302))+SUM(IF((ISNUMBER(FIND("Total",$AM$48:$AM$302)))*(ISNUMBER(FIND("Overseas",$AO$48:$AO$302))),AR$48:AR$302))+SUM(IF((ISNUMBER(FIND("Total",$AM$48:$AM$302)))*(ISNUMBER(FIND("Other",$AO$48:$AO$302))),AR$48:AR$302))</f>
        <v>418.25726980811868</v>
      </c>
      <c r="AS44" s="216">
        <f t="array" ref="AS44">SUM(IF((ISNUMBER(FIND("Total",$AM$48:$AM$302)))*(ISNUMBER(FIND("Global",$AO$48:$AO$302))),AS$48:AS$302))+SUM(IF((ISNUMBER(FIND("Total",$AM$48:$AM$302)))*(ISNUMBER(FIND("Overseas",$AO$48:$AO$302))),AS$48:AS$302))+SUM(IF((ISNUMBER(FIND("Total",$AM$48:$AM$302)))*(ISNUMBER(FIND("Other",$AO$48:$AO$302))),AS$48:AS$302))</f>
        <v>16.914156848273315</v>
      </c>
      <c r="AT44" s="216">
        <f t="array" ref="AT44">SUM(IF((ISNUMBER(FIND("Total",$AM$48:$AM$302)))*(ISNUMBER(FIND("Global",$AO$48:$AO$302))),AT$48:AT$302))+SUM(IF((ISNUMBER(FIND("Total",$AM$48:$AM$302)))*(ISNUMBER(FIND("Overseas",$AO$48:$AO$302))),AT$48:AT$302))+SUM(IF((ISNUMBER(FIND("Total",$AM$48:$AM$302)))*(ISNUMBER(FIND("Other",$AO$48:$AO$302))),AT$48:AT$302))</f>
        <v>22.762250585975671</v>
      </c>
      <c r="AU44" s="216">
        <f t="array" ref="AU44">SUM(IF((ISNUMBER(FIND("Total",$AM$48:$AM$302)))*(ISNUMBER(FIND("Global",$AO$48:$AO$302))),AU$48:AU$302))+SUM(IF((ISNUMBER(FIND("Total",$AM$48:$AM$302)))*(ISNUMBER(FIND("Overseas",$AO$48:$AO$302))),AU$48:AU$302))+SUM(IF((ISNUMBER(FIND("Total",$AM$48:$AM$302)))*(ISNUMBER(FIND("Other",$AO$48:$AO$302))),AU$48:AU$302))</f>
        <v>0.14259731339186726</v>
      </c>
      <c r="AV44" s="216">
        <f t="array" ref="AV44">SUM(IF((ISNUMBER(FIND("Total",$AM$48:$AM$302)))*(ISNUMBER(FIND("Global",$AO$48:$AO$302))),AV$48:AV$302))+SUM(IF((ISNUMBER(FIND("Total",$AM$48:$AM$302)))*(ISNUMBER(FIND("Overseas",$AO$48:$AO$302))),AV$48:AV$302))+SUM(IF((ISNUMBER(FIND("Total",$AM$48:$AM$302)))*(ISNUMBER(FIND("Other",$AO$48:$AO$302))),AV$48:AV$302))</f>
        <v>18.077652187618625</v>
      </c>
      <c r="AW44" s="216">
        <f t="array" ref="AW44">SUM(IF((ISNUMBER(FIND("Total",$AM$48:$AM$302)))*(ISNUMBER(FIND("Global",$AO$48:$AO$302))),AW$48:AW$302))+SUM(IF((ISNUMBER(FIND("Total",$AM$48:$AM$302)))*(ISNUMBER(FIND("Overseas",$AO$48:$AO$302))),AW$48:AW$302))+SUM(IF((ISNUMBER(FIND("Total",$AM$48:$AM$302)))*(ISNUMBER(FIND("Other",$AO$48:$AO$302))),AW$48:AW$302))</f>
        <v>2174.3293579250903</v>
      </c>
      <c r="AX44" s="212"/>
    </row>
    <row r="45" spans="1:50" s="121" customFormat="1">
      <c r="B45" s="109"/>
      <c r="X45" s="122"/>
      <c r="Y45" s="109"/>
      <c r="Z45" s="116"/>
      <c r="AA45" s="117"/>
      <c r="AB45" s="215" t="s">
        <v>455</v>
      </c>
      <c r="AC45" s="216">
        <f t="array" ref="AC45">SUM(IF((ISNUMBER(FIND("Total",$Z$48:$Z$302))),AC$48:AC$302))/1000-AC44-AC43</f>
        <v>0.54800000000022919</v>
      </c>
      <c r="AD45" s="216">
        <f t="array" ref="AD45">SUM(IF((ISNUMBER(FIND("Total",$Z$48:$Z$302))),AD$48:AD$302))/1000-AD44-AD43</f>
        <v>11.496999999999844</v>
      </c>
      <c r="AE45" s="216">
        <f t="array" ref="AE45">SUM(IF((ISNUMBER(FIND("Total",$Z$48:$Z$302))),AE$48:AE$302))/1000-AE44-AE43</f>
        <v>5.66599999999994</v>
      </c>
      <c r="AF45" s="216">
        <f t="array" ref="AF45">SUM(IF((ISNUMBER(FIND("Total",$Z$48:$Z$302))),AF$48:AF$302))/1000-AF44-AF43</f>
        <v>1.803000000000111</v>
      </c>
      <c r="AG45" s="216">
        <f t="array" ref="AG45">SUM(IF((ISNUMBER(FIND("Total",$Z$48:$Z$302))),AG$48:AG$302))/1000-AG44-AG43</f>
        <v>3.8009999999999877</v>
      </c>
      <c r="AH45" s="216">
        <f t="array" ref="AH45">SUM(IF((ISNUMBER(FIND("Total",$Z$48:$Z$302))),AH$48:AH$302))/1000-AH44-AH43</f>
        <v>1.1709999999999994</v>
      </c>
      <c r="AI45" s="216">
        <f t="array" ref="AI45">SUM(IF((ISNUMBER(FIND("Total",$Z$48:$Z$302))),AI$48:AI$302))/1000-AI44-AI43</f>
        <v>9.4000000000001194E-2</v>
      </c>
      <c r="AJ45" s="216">
        <f t="array" ref="AJ45">SUM(IF((ISNUMBER(FIND("Total",$Z$48:$Z$302))),AJ$48:AJ$302))/1000-AJ44-AJ43</f>
        <v>24.578999999999724</v>
      </c>
      <c r="AK45" s="212"/>
      <c r="AL45" s="217"/>
      <c r="AM45" s="116"/>
      <c r="AN45" s="117"/>
      <c r="AO45" s="215" t="s">
        <v>455</v>
      </c>
      <c r="AP45" s="216">
        <f t="array" ref="AP45">SUM(IF((ISNUMBER(FIND("Total",$AM$48:$AM$302))),AP$48:AP$302))-AP44-AP43</f>
        <v>0.68265143688222452</v>
      </c>
      <c r="AQ45" s="216">
        <f t="array" ref="AQ45">SUM(IF((ISNUMBER(FIND("Total",$AM$48:$AM$302))),AQ$48:AQ$302))-AQ44-AQ43</f>
        <v>13.910530921890768</v>
      </c>
      <c r="AR45" s="216">
        <f t="array" ref="AR45">SUM(IF((ISNUMBER(FIND("Total",$AM$48:$AM$302))),AR$48:AR$302))-AR44-AR43</f>
        <v>6.4766349250364783</v>
      </c>
      <c r="AS45" s="216">
        <f t="array" ref="AS45">SUM(IF((ISNUMBER(FIND("Total",$AM$48:$AM$302))),AS$48:AS$302))-AS44-AS43</f>
        <v>1.9036331012191567</v>
      </c>
      <c r="AT45" s="216">
        <f t="array" ref="AT45">SUM(IF((ISNUMBER(FIND("Total",$AM$48:$AM$302))),AT$48:AT$302))-AT44-AT43</f>
        <v>4.5361698891081801</v>
      </c>
      <c r="AU45" s="216">
        <f t="array" ref="AU45">SUM(IF((ISNUMBER(FIND("Total",$AM$48:$AM$302))),AU$48:AU$302))-AU44-AU43</f>
        <v>1.4103941580705666</v>
      </c>
      <c r="AV45" s="216">
        <f t="array" ref="AV45">SUM(IF((ISNUMBER(FIND("Total",$AM$48:$AM$302))),AV$48:AV$302))-AV44-AV43</f>
        <v>0.11380694458449625</v>
      </c>
      <c r="AW45" s="216">
        <f t="array" ref="AW45">SUM(IF((ISNUMBER(FIND("Total",$AM$48:$AM$302))),AW$48:AW$302))-AW44-AW43</f>
        <v>29.032391382956121</v>
      </c>
      <c r="AX45" s="212"/>
    </row>
    <row r="46" spans="1:50" s="121" customFormat="1">
      <c r="B46" s="109"/>
      <c r="X46" s="119"/>
      <c r="Y46" s="120"/>
      <c r="Z46" s="218" t="s">
        <v>456</v>
      </c>
      <c r="AA46" s="219">
        <f>SUBTOTAL(3,AB48:AB302)</f>
        <v>3</v>
      </c>
      <c r="AB46" s="218" t="s">
        <v>457</v>
      </c>
      <c r="AC46" s="216">
        <f>SUBTOTAL(9,AC48:AC302)/1000</f>
        <v>129.304</v>
      </c>
      <c r="AD46" s="216">
        <f t="shared" ref="AD46:AJ46" si="3">SUBTOTAL(9,AD48:AD302)/1000</f>
        <v>239.22800000000001</v>
      </c>
      <c r="AE46" s="216">
        <f t="shared" si="3"/>
        <v>133.589</v>
      </c>
      <c r="AF46" s="216">
        <f t="shared" si="3"/>
        <v>77.399000000000001</v>
      </c>
      <c r="AG46" s="216">
        <f t="shared" si="3"/>
        <v>13.961</v>
      </c>
      <c r="AH46" s="216">
        <f t="shared" si="3"/>
        <v>4.0220000000000002</v>
      </c>
      <c r="AI46" s="216">
        <f t="shared" si="3"/>
        <v>3.4</v>
      </c>
      <c r="AJ46" s="247">
        <f t="shared" si="3"/>
        <v>600.904</v>
      </c>
      <c r="AK46" s="212"/>
      <c r="AL46" s="214"/>
      <c r="AM46" s="116"/>
      <c r="AN46" s="117"/>
      <c r="AO46" s="220">
        <f>SUBTOTAL(3,AO48:AO302)</f>
        <v>3</v>
      </c>
      <c r="AP46" s="216">
        <f>SUBTOTAL(9,AP48:AP302)</f>
        <v>156.80924922326386</v>
      </c>
      <c r="AQ46" s="216">
        <f t="shared" ref="AQ46:AW46" si="4">SUBTOTAL(9,AQ48:AQ302)</f>
        <v>290.11602945912705</v>
      </c>
      <c r="AR46" s="216">
        <f t="shared" si="4"/>
        <v>162.00574455922938</v>
      </c>
      <c r="AS46" s="216">
        <f t="shared" si="4"/>
        <v>93.863137108143604</v>
      </c>
      <c r="AT46" s="216">
        <f t="shared" si="4"/>
        <v>16.930751781893729</v>
      </c>
      <c r="AU46" s="216">
        <f t="shared" si="4"/>
        <v>4.8775505813893396</v>
      </c>
      <c r="AV46" s="216">
        <f t="shared" si="4"/>
        <v>4.1232401732281838</v>
      </c>
      <c r="AW46" s="247">
        <f t="shared" si="4"/>
        <v>728.72691560397323</v>
      </c>
      <c r="AX46" s="212"/>
    </row>
    <row r="47" spans="1:50" s="121" customFormat="1" ht="17">
      <c r="B47" s="109"/>
      <c r="X47" s="122"/>
      <c r="Y47" s="109"/>
      <c r="Z47" s="189" t="s">
        <v>340</v>
      </c>
      <c r="AA47" s="189" t="s">
        <v>345</v>
      </c>
      <c r="AB47" s="189" t="s">
        <v>458</v>
      </c>
      <c r="AC47" s="189" t="s">
        <v>44</v>
      </c>
      <c r="AD47" s="189" t="s">
        <v>29</v>
      </c>
      <c r="AE47" s="189" t="s">
        <v>43</v>
      </c>
      <c r="AF47" s="189" t="s">
        <v>341</v>
      </c>
      <c r="AG47" s="189" t="s">
        <v>45</v>
      </c>
      <c r="AH47" s="189" t="s">
        <v>441</v>
      </c>
      <c r="AI47" s="189" t="s">
        <v>343</v>
      </c>
      <c r="AJ47" s="189" t="s">
        <v>7</v>
      </c>
      <c r="AK47" s="217"/>
      <c r="AL47" s="115" t="s">
        <v>346</v>
      </c>
      <c r="AM47" s="189" t="s">
        <v>340</v>
      </c>
      <c r="AN47" s="189" t="s">
        <v>345</v>
      </c>
      <c r="AO47" s="189" t="s">
        <v>458</v>
      </c>
      <c r="AP47" s="189" t="s">
        <v>44</v>
      </c>
      <c r="AQ47" s="189" t="s">
        <v>29</v>
      </c>
      <c r="AR47" s="189" t="s">
        <v>43</v>
      </c>
      <c r="AS47" s="189" t="s">
        <v>341</v>
      </c>
      <c r="AT47" s="189" t="s">
        <v>45</v>
      </c>
      <c r="AU47" s="189" t="s">
        <v>441</v>
      </c>
      <c r="AV47" s="189" t="s">
        <v>343</v>
      </c>
      <c r="AW47" s="189" t="s">
        <v>7</v>
      </c>
      <c r="AX47" s="212"/>
    </row>
    <row r="48" spans="1:50" s="121" customFormat="1" hidden="1">
      <c r="B48" s="109"/>
      <c r="X48" s="122"/>
      <c r="Y48" s="109"/>
      <c r="Z48" s="188" t="s">
        <v>344</v>
      </c>
      <c r="AA48" s="188">
        <v>2001</v>
      </c>
      <c r="AB48" s="188" t="s">
        <v>459</v>
      </c>
      <c r="AC48" s="188">
        <v>76374</v>
      </c>
      <c r="AD48" s="188">
        <v>98251</v>
      </c>
      <c r="AE48" s="188">
        <v>61628</v>
      </c>
      <c r="AF48" s="188">
        <v>41108</v>
      </c>
      <c r="AG48" s="188">
        <v>5360</v>
      </c>
      <c r="AH48" s="188">
        <v>3622</v>
      </c>
      <c r="AI48" s="188">
        <v>1075</v>
      </c>
      <c r="AJ48" s="188">
        <v>287418</v>
      </c>
      <c r="AK48" s="214"/>
      <c r="AL48" s="221">
        <f>VLOOKUP(AA48,pgdp!$A$13:$C$90,3,FALSE)</f>
        <v>0.71033050332114134</v>
      </c>
      <c r="AM48" s="188" t="s">
        <v>344</v>
      </c>
      <c r="AN48" s="188">
        <v>2001</v>
      </c>
      <c r="AO48" s="188" t="s">
        <v>459</v>
      </c>
      <c r="AP48" s="222">
        <f>AC48/$AL48/1000</f>
        <v>107.51896426088184</v>
      </c>
      <c r="AQ48" s="222">
        <f t="shared" ref="AQ48:AW84" si="5">AD48/$AL48/1000</f>
        <v>138.31730376300703</v>
      </c>
      <c r="AR48" s="222">
        <f t="shared" si="5"/>
        <v>86.759613605017748</v>
      </c>
      <c r="AS48" s="222">
        <f t="shared" si="5"/>
        <v>57.871652431931416</v>
      </c>
      <c r="AT48" s="222">
        <f t="shared" si="5"/>
        <v>7.5457832303968191</v>
      </c>
      <c r="AU48" s="222">
        <f t="shared" si="5"/>
        <v>5.0990348620330739</v>
      </c>
      <c r="AV48" s="222">
        <f t="shared" si="5"/>
        <v>1.51338003221578</v>
      </c>
      <c r="AW48" s="222">
        <f t="shared" si="5"/>
        <v>404.62573218548374</v>
      </c>
      <c r="AX48" s="214"/>
    </row>
    <row r="49" spans="2:50" s="121" customFormat="1" hidden="1">
      <c r="B49" s="109"/>
      <c r="X49" s="119"/>
      <c r="Y49" s="120"/>
      <c r="Z49" s="188" t="s">
        <v>344</v>
      </c>
      <c r="AA49" s="188">
        <v>2001</v>
      </c>
      <c r="AB49" s="188" t="s">
        <v>460</v>
      </c>
      <c r="AC49" s="188">
        <v>0</v>
      </c>
      <c r="AD49" s="188">
        <v>21769</v>
      </c>
      <c r="AE49" s="188">
        <v>1165</v>
      </c>
      <c r="AF49" s="188">
        <v>0</v>
      </c>
      <c r="AG49" s="188">
        <v>0</v>
      </c>
      <c r="AH49" s="188">
        <v>0</v>
      </c>
      <c r="AI49" s="188">
        <v>0</v>
      </c>
      <c r="AJ49" s="188">
        <v>22934</v>
      </c>
      <c r="AK49" s="217"/>
      <c r="AL49" s="221">
        <f>VLOOKUP(AA49,pgdp!$A$13:$C$90,3,FALSE)</f>
        <v>0.71033050332114134</v>
      </c>
      <c r="AM49" s="188" t="s">
        <v>344</v>
      </c>
      <c r="AN49" s="188">
        <v>2001</v>
      </c>
      <c r="AO49" s="188" t="s">
        <v>460</v>
      </c>
      <c r="AP49" s="222">
        <f t="shared" ref="AP49:AS112" si="6">AC49/$AL49/1000</f>
        <v>0</v>
      </c>
      <c r="AQ49" s="222">
        <f t="shared" si="5"/>
        <v>30.646297601214243</v>
      </c>
      <c r="AR49" s="222">
        <f t="shared" si="5"/>
        <v>1.6400816163082639</v>
      </c>
      <c r="AS49" s="222">
        <f t="shared" si="5"/>
        <v>0</v>
      </c>
      <c r="AT49" s="222">
        <f t="shared" si="5"/>
        <v>0</v>
      </c>
      <c r="AU49" s="222">
        <f t="shared" si="5"/>
        <v>0</v>
      </c>
      <c r="AV49" s="222">
        <f t="shared" si="5"/>
        <v>0</v>
      </c>
      <c r="AW49" s="222">
        <f t="shared" si="5"/>
        <v>32.286379217522509</v>
      </c>
      <c r="AX49" s="214"/>
    </row>
    <row r="50" spans="2:50" s="121" customFormat="1" hidden="1">
      <c r="B50" s="109"/>
      <c r="X50" s="122"/>
      <c r="Y50" s="109"/>
      <c r="Z50" s="188" t="s">
        <v>344</v>
      </c>
      <c r="AA50" s="188">
        <v>2001</v>
      </c>
      <c r="AB50" s="188" t="s">
        <v>461</v>
      </c>
      <c r="AC50" s="188">
        <v>515</v>
      </c>
      <c r="AD50" s="188">
        <v>4724</v>
      </c>
      <c r="AE50" s="188">
        <v>-187</v>
      </c>
      <c r="AF50" s="188">
        <v>487</v>
      </c>
      <c r="AG50" s="188">
        <v>63</v>
      </c>
      <c r="AH50" s="188">
        <v>60</v>
      </c>
      <c r="AI50" s="188">
        <v>178</v>
      </c>
      <c r="AJ50" s="188">
        <v>5840</v>
      </c>
      <c r="AK50" s="214"/>
      <c r="AL50" s="221">
        <f>VLOOKUP(AA50,pgdp!$A$13:$C$90,3,FALSE)</f>
        <v>0.71033050332114134</v>
      </c>
      <c r="AM50" s="188" t="s">
        <v>344</v>
      </c>
      <c r="AN50" s="188">
        <v>2001</v>
      </c>
      <c r="AO50" s="188" t="s">
        <v>461</v>
      </c>
      <c r="AP50" s="222">
        <f t="shared" si="6"/>
        <v>0.72501462008476891</v>
      </c>
      <c r="AQ50" s="222">
        <f t="shared" si="5"/>
        <v>6.6504253694765998</v>
      </c>
      <c r="AR50" s="222">
        <f t="shared" si="5"/>
        <v>-0.26325773583660544</v>
      </c>
      <c r="AS50" s="222">
        <f t="shared" si="5"/>
        <v>0.68559634947821835</v>
      </c>
      <c r="AT50" s="222">
        <f t="shared" si="5"/>
        <v>8.869110886473873E-2</v>
      </c>
      <c r="AU50" s="222">
        <f t="shared" si="5"/>
        <v>8.4467722728322606E-2</v>
      </c>
      <c r="AV50" s="222">
        <f t="shared" si="5"/>
        <v>0.25058757742735704</v>
      </c>
      <c r="AW50" s="222">
        <f t="shared" si="5"/>
        <v>8.2215250122233989</v>
      </c>
      <c r="AX50" s="214"/>
    </row>
    <row r="51" spans="2:50" s="121" customFormat="1" hidden="1">
      <c r="B51" s="109"/>
      <c r="X51" s="119"/>
      <c r="Y51" s="120"/>
      <c r="Z51" s="188" t="s">
        <v>344</v>
      </c>
      <c r="AA51" s="188">
        <v>2002</v>
      </c>
      <c r="AB51" s="188" t="s">
        <v>459</v>
      </c>
      <c r="AC51" s="188">
        <v>86724</v>
      </c>
      <c r="AD51" s="188">
        <v>117962</v>
      </c>
      <c r="AE51" s="188">
        <v>61547</v>
      </c>
      <c r="AF51" s="188">
        <v>48732</v>
      </c>
      <c r="AG51" s="188">
        <v>6526</v>
      </c>
      <c r="AH51" s="188">
        <v>4049</v>
      </c>
      <c r="AI51" s="188">
        <v>2644</v>
      </c>
      <c r="AJ51" s="188">
        <v>328184</v>
      </c>
      <c r="AK51" s="217"/>
      <c r="AL51" s="221">
        <f>VLOOKUP(AA51,pgdp!$A$13:$C$90,3,FALSE)</f>
        <v>0.72177029812501559</v>
      </c>
      <c r="AM51" s="188" t="s">
        <v>344</v>
      </c>
      <c r="AN51" s="188">
        <v>2002</v>
      </c>
      <c r="AO51" s="188" t="s">
        <v>459</v>
      </c>
      <c r="AP51" s="222">
        <f t="shared" si="6"/>
        <v>120.15457026326513</v>
      </c>
      <c r="AQ51" s="222">
        <f t="shared" si="5"/>
        <v>163.43426753142475</v>
      </c>
      <c r="AR51" s="222">
        <f t="shared" si="5"/>
        <v>85.272281444504159</v>
      </c>
      <c r="AS51" s="222">
        <f t="shared" si="5"/>
        <v>67.517325285612245</v>
      </c>
      <c r="AT51" s="222">
        <f t="shared" si="5"/>
        <v>9.0416577364751198</v>
      </c>
      <c r="AU51" s="222">
        <f t="shared" si="5"/>
        <v>5.6098179857474344</v>
      </c>
      <c r="AV51" s="222">
        <f t="shared" si="5"/>
        <v>3.6632153011400876</v>
      </c>
      <c r="AW51" s="222">
        <f t="shared" si="5"/>
        <v>454.69313554816893</v>
      </c>
      <c r="AX51" s="214"/>
    </row>
    <row r="52" spans="2:50" s="121" customFormat="1" hidden="1">
      <c r="B52" s="109"/>
      <c r="X52" s="122"/>
      <c r="Y52" s="109"/>
      <c r="Z52" s="188" t="s">
        <v>344</v>
      </c>
      <c r="AA52" s="188">
        <v>2002</v>
      </c>
      <c r="AB52" s="188" t="s">
        <v>462</v>
      </c>
      <c r="AC52" s="188">
        <v>206</v>
      </c>
      <c r="AD52" s="188">
        <v>15379</v>
      </c>
      <c r="AE52" s="188">
        <v>1194</v>
      </c>
      <c r="AF52" s="188">
        <v>-14</v>
      </c>
      <c r="AG52" s="188">
        <v>105</v>
      </c>
      <c r="AH52" s="188">
        <v>0</v>
      </c>
      <c r="AI52" s="188">
        <v>0</v>
      </c>
      <c r="AJ52" s="188">
        <v>16870</v>
      </c>
      <c r="AK52" s="217"/>
      <c r="AL52" s="221">
        <f>VLOOKUP(AA52,pgdp!$A$13:$C$90,3,FALSE)</f>
        <v>0.72177029812501559</v>
      </c>
      <c r="AM52" s="188" t="s">
        <v>344</v>
      </c>
      <c r="AN52" s="188">
        <v>2002</v>
      </c>
      <c r="AO52" s="188" t="s">
        <v>462</v>
      </c>
      <c r="AP52" s="222">
        <f t="shared" si="6"/>
        <v>0.2854093615865575</v>
      </c>
      <c r="AQ52" s="222">
        <f t="shared" si="5"/>
        <v>21.307332873008097</v>
      </c>
      <c r="AR52" s="222">
        <f t="shared" si="5"/>
        <v>1.6542659113317946</v>
      </c>
      <c r="AS52" s="222">
        <f t="shared" si="5"/>
        <v>-1.9396752729183522E-2</v>
      </c>
      <c r="AT52" s="222">
        <f t="shared" si="5"/>
        <v>0.14547564546887642</v>
      </c>
      <c r="AU52" s="222">
        <f t="shared" si="5"/>
        <v>0</v>
      </c>
      <c r="AV52" s="222">
        <f t="shared" si="5"/>
        <v>0</v>
      </c>
      <c r="AW52" s="222">
        <f t="shared" si="5"/>
        <v>23.373087038666146</v>
      </c>
      <c r="AX52" s="217"/>
    </row>
    <row r="53" spans="2:50" s="121" customFormat="1" hidden="1">
      <c r="B53" s="109"/>
      <c r="X53" s="119"/>
      <c r="Y53" s="120"/>
      <c r="Z53" s="188" t="s">
        <v>344</v>
      </c>
      <c r="AA53" s="188">
        <v>2003</v>
      </c>
      <c r="AB53" s="188" t="s">
        <v>459</v>
      </c>
      <c r="AC53" s="188">
        <v>93934</v>
      </c>
      <c r="AD53" s="188">
        <v>124931</v>
      </c>
      <c r="AE53" s="188">
        <v>74756</v>
      </c>
      <c r="AF53" s="188">
        <v>57294</v>
      </c>
      <c r="AG53" s="188">
        <v>6483</v>
      </c>
      <c r="AH53" s="188">
        <v>4181</v>
      </c>
      <c r="AI53" s="188">
        <v>3342</v>
      </c>
      <c r="AJ53" s="188">
        <v>364919</v>
      </c>
      <c r="AK53" s="214"/>
      <c r="AL53" s="221">
        <f>VLOOKUP(AA53,pgdp!$A$13:$C$90,3,FALSE)</f>
        <v>0.73558157581522121</v>
      </c>
      <c r="AM53" s="188" t="s">
        <v>344</v>
      </c>
      <c r="AN53" s="188">
        <v>2003</v>
      </c>
      <c r="AO53" s="188" t="s">
        <v>459</v>
      </c>
      <c r="AP53" s="222">
        <f t="shared" si="6"/>
        <v>127.70031644130836</v>
      </c>
      <c r="AQ53" s="222">
        <f t="shared" si="5"/>
        <v>169.83976231533944</v>
      </c>
      <c r="AR53" s="222">
        <f t="shared" si="5"/>
        <v>101.62842906600855</v>
      </c>
      <c r="AS53" s="222">
        <f t="shared" si="5"/>
        <v>77.88938967986374</v>
      </c>
      <c r="AT53" s="222">
        <f t="shared" si="5"/>
        <v>8.8134344485383576</v>
      </c>
      <c r="AU53" s="222">
        <f t="shared" si="5"/>
        <v>5.683937903646286</v>
      </c>
      <c r="AV53" s="222">
        <f t="shared" si="5"/>
        <v>4.5433438110466122</v>
      </c>
      <c r="AW53" s="222">
        <f t="shared" si="5"/>
        <v>496.09589472870101</v>
      </c>
      <c r="AX53" s="217"/>
    </row>
    <row r="54" spans="2:50" s="110" customFormat="1" hidden="1">
      <c r="B54" s="109"/>
      <c r="X54" s="122"/>
      <c r="Y54" s="109"/>
      <c r="Z54" s="188" t="s">
        <v>344</v>
      </c>
      <c r="AA54" s="188">
        <v>2003</v>
      </c>
      <c r="AB54" s="188" t="s">
        <v>463</v>
      </c>
      <c r="AC54" s="188">
        <v>15019</v>
      </c>
      <c r="AD54" s="188">
        <v>52785</v>
      </c>
      <c r="AE54" s="188">
        <v>3734</v>
      </c>
      <c r="AF54" s="188">
        <v>809</v>
      </c>
      <c r="AG54" s="188">
        <v>186</v>
      </c>
      <c r="AH54" s="188">
        <v>2</v>
      </c>
      <c r="AI54" s="188">
        <v>0</v>
      </c>
      <c r="AJ54" s="188">
        <v>72536</v>
      </c>
      <c r="AK54" s="217"/>
      <c r="AL54" s="221">
        <f>VLOOKUP(AA54,pgdp!$A$13:$C$90,3,FALSE)</f>
        <v>0.73558157581522121</v>
      </c>
      <c r="AM54" s="188" t="s">
        <v>344</v>
      </c>
      <c r="AN54" s="188">
        <v>2003</v>
      </c>
      <c r="AO54" s="188" t="s">
        <v>463</v>
      </c>
      <c r="AP54" s="222">
        <f t="shared" si="6"/>
        <v>20.417857779206784</v>
      </c>
      <c r="AQ54" s="222">
        <f t="shared" si="5"/>
        <v>71.759546099968716</v>
      </c>
      <c r="AR54" s="222">
        <f t="shared" si="5"/>
        <v>5.0762554729048626</v>
      </c>
      <c r="AS54" s="222">
        <f t="shared" si="5"/>
        <v>1.0998100368452153</v>
      </c>
      <c r="AT54" s="222">
        <f t="shared" si="5"/>
        <v>0.25286114567763912</v>
      </c>
      <c r="AU54" s="222">
        <f t="shared" si="5"/>
        <v>2.7189370502971946E-3</v>
      </c>
      <c r="AV54" s="222">
        <f t="shared" si="5"/>
        <v>0</v>
      </c>
      <c r="AW54" s="222">
        <f t="shared" si="5"/>
        <v>98.610408940178658</v>
      </c>
      <c r="AX54" s="214"/>
    </row>
    <row r="55" spans="2:50" s="110" customFormat="1" hidden="1">
      <c r="B55" s="109"/>
      <c r="X55" s="122"/>
      <c r="Y55" s="109"/>
      <c r="Z55" s="188" t="s">
        <v>344</v>
      </c>
      <c r="AA55" s="188">
        <v>2004</v>
      </c>
      <c r="AB55" s="188" t="s">
        <v>459</v>
      </c>
      <c r="AC55" s="188">
        <v>97048</v>
      </c>
      <c r="AD55" s="188">
        <v>126984</v>
      </c>
      <c r="AE55" s="188">
        <v>76153</v>
      </c>
      <c r="AF55" s="188">
        <v>64307</v>
      </c>
      <c r="AG55" s="188">
        <v>5637</v>
      </c>
      <c r="AH55" s="188">
        <v>3801</v>
      </c>
      <c r="AI55" s="188">
        <v>2586</v>
      </c>
      <c r="AJ55" s="188">
        <v>376516</v>
      </c>
      <c r="AK55" s="217"/>
      <c r="AL55" s="221">
        <f>VLOOKUP(AA55,pgdp!$A$13:$C$90,3,FALSE)</f>
        <v>0.75378638244667995</v>
      </c>
      <c r="AM55" s="188" t="s">
        <v>344</v>
      </c>
      <c r="AN55" s="188">
        <v>2004</v>
      </c>
      <c r="AO55" s="188" t="s">
        <v>459</v>
      </c>
      <c r="AP55" s="222">
        <f t="shared" si="6"/>
        <v>128.74735105322074</v>
      </c>
      <c r="AQ55" s="222">
        <f t="shared" si="5"/>
        <v>168.46152034191513</v>
      </c>
      <c r="AR55" s="222">
        <f t="shared" si="5"/>
        <v>101.02729602625421</v>
      </c>
      <c r="AS55" s="222">
        <f t="shared" si="5"/>
        <v>85.3119683474102</v>
      </c>
      <c r="AT55" s="222">
        <f t="shared" si="5"/>
        <v>7.4782460008140843</v>
      </c>
      <c r="AU55" s="222">
        <f t="shared" si="5"/>
        <v>5.0425426732471763</v>
      </c>
      <c r="AV55" s="222">
        <f t="shared" si="5"/>
        <v>3.4306801770631932</v>
      </c>
      <c r="AW55" s="222">
        <f t="shared" si="5"/>
        <v>499.49960461992475</v>
      </c>
      <c r="AX55" s="217"/>
    </row>
    <row r="56" spans="2:50" s="110" customFormat="1" hidden="1">
      <c r="B56" s="109"/>
      <c r="X56" s="119"/>
      <c r="Y56" s="120"/>
      <c r="Z56" s="188" t="s">
        <v>344</v>
      </c>
      <c r="AA56" s="188">
        <v>2004</v>
      </c>
      <c r="AB56" s="188" t="s">
        <v>464</v>
      </c>
      <c r="AC56" s="188">
        <v>19064</v>
      </c>
      <c r="AD56" s="188">
        <v>61833</v>
      </c>
      <c r="AE56" s="188">
        <v>6918</v>
      </c>
      <c r="AF56" s="188">
        <v>334</v>
      </c>
      <c r="AG56" s="188">
        <v>501</v>
      </c>
      <c r="AH56" s="188">
        <v>24</v>
      </c>
      <c r="AI56" s="188">
        <v>2102</v>
      </c>
      <c r="AJ56" s="188">
        <v>90776</v>
      </c>
      <c r="AK56" s="214"/>
      <c r="AL56" s="221">
        <f>VLOOKUP(AA56,pgdp!$A$13:$C$90,3,FALSE)</f>
        <v>0.75378638244667995</v>
      </c>
      <c r="AM56" s="188" t="s">
        <v>344</v>
      </c>
      <c r="AN56" s="188">
        <v>2004</v>
      </c>
      <c r="AO56" s="188" t="s">
        <v>464</v>
      </c>
      <c r="AP56" s="222">
        <f t="shared" si="6"/>
        <v>25.290984878396255</v>
      </c>
      <c r="AQ56" s="222">
        <f t="shared" si="5"/>
        <v>82.029871379871778</v>
      </c>
      <c r="AR56" s="222">
        <f t="shared" si="5"/>
        <v>9.1776664597537394</v>
      </c>
      <c r="AS56" s="222">
        <f t="shared" si="5"/>
        <v>0.44309635697567928</v>
      </c>
      <c r="AT56" s="222">
        <f t="shared" si="5"/>
        <v>0.66464453546351887</v>
      </c>
      <c r="AU56" s="222">
        <f t="shared" si="5"/>
        <v>3.1839259183881148E-2</v>
      </c>
      <c r="AV56" s="222">
        <f t="shared" si="5"/>
        <v>2.7885884501882567</v>
      </c>
      <c r="AW56" s="222">
        <f t="shared" si="5"/>
        <v>120.42669131983311</v>
      </c>
      <c r="AX56" s="214"/>
    </row>
    <row r="57" spans="2:50" s="110" customFormat="1" hidden="1">
      <c r="B57" s="109"/>
      <c r="X57" s="122"/>
      <c r="Y57" s="109"/>
      <c r="Z57" s="188" t="s">
        <v>344</v>
      </c>
      <c r="AA57" s="188">
        <v>2004</v>
      </c>
      <c r="AB57" s="188" t="s">
        <v>465</v>
      </c>
      <c r="AC57" s="188">
        <v>0</v>
      </c>
      <c r="AD57" s="188">
        <v>310</v>
      </c>
      <c r="AE57" s="188">
        <v>2</v>
      </c>
      <c r="AF57" s="188">
        <v>0</v>
      </c>
      <c r="AG57" s="188">
        <v>0</v>
      </c>
      <c r="AH57" s="188">
        <v>0</v>
      </c>
      <c r="AI57" s="188">
        <v>0</v>
      </c>
      <c r="AJ57" s="188">
        <v>313</v>
      </c>
      <c r="AK57" s="217"/>
      <c r="AL57" s="221">
        <f>VLOOKUP(AA57,pgdp!$A$13:$C$90,3,FALSE)</f>
        <v>0.75378638244667995</v>
      </c>
      <c r="AM57" s="188" t="s">
        <v>344</v>
      </c>
      <c r="AN57" s="188">
        <v>2004</v>
      </c>
      <c r="AO57" s="188" t="s">
        <v>465</v>
      </c>
      <c r="AP57" s="222">
        <f t="shared" si="6"/>
        <v>0</v>
      </c>
      <c r="AQ57" s="222">
        <f t="shared" si="5"/>
        <v>0.41125709779179814</v>
      </c>
      <c r="AR57" s="222">
        <f t="shared" si="5"/>
        <v>2.6532715986567622E-3</v>
      </c>
      <c r="AS57" s="222">
        <f t="shared" si="5"/>
        <v>0</v>
      </c>
      <c r="AT57" s="222">
        <f t="shared" si="5"/>
        <v>0</v>
      </c>
      <c r="AU57" s="222">
        <f t="shared" si="5"/>
        <v>0</v>
      </c>
      <c r="AV57" s="222">
        <f t="shared" si="5"/>
        <v>0</v>
      </c>
      <c r="AW57" s="222">
        <f t="shared" si="5"/>
        <v>0.41523700518978324</v>
      </c>
      <c r="AX57" s="217"/>
    </row>
    <row r="58" spans="2:50" s="110" customFormat="1" hidden="1">
      <c r="B58" s="109"/>
      <c r="X58" s="122"/>
      <c r="Y58" s="109"/>
      <c r="Z58" s="188" t="s">
        <v>344</v>
      </c>
      <c r="AA58" s="188">
        <v>2005</v>
      </c>
      <c r="AB58" s="188" t="s">
        <v>459</v>
      </c>
      <c r="AC58" s="188">
        <v>102294</v>
      </c>
      <c r="AD58" s="188">
        <v>138192</v>
      </c>
      <c r="AE58" s="188">
        <v>79088</v>
      </c>
      <c r="AF58" s="188">
        <v>68179</v>
      </c>
      <c r="AG58" s="188">
        <v>5984</v>
      </c>
      <c r="AH58" s="188">
        <v>4075</v>
      </c>
      <c r="AI58" s="188">
        <v>2260</v>
      </c>
      <c r="AJ58" s="188">
        <v>400074</v>
      </c>
      <c r="AK58" s="217"/>
      <c r="AL58" s="221">
        <f>VLOOKUP(AA58,pgdp!$A$13:$C$90,3,FALSE)</f>
        <v>0.77750760344715164</v>
      </c>
      <c r="AM58" s="188" t="s">
        <v>344</v>
      </c>
      <c r="AN58" s="188">
        <v>2005</v>
      </c>
      <c r="AO58" s="188" t="s">
        <v>459</v>
      </c>
      <c r="AP58" s="222">
        <f t="shared" si="6"/>
        <v>131.56655902330746</v>
      </c>
      <c r="AQ58" s="222">
        <f t="shared" si="5"/>
        <v>177.73716859785426</v>
      </c>
      <c r="AR58" s="222">
        <f t="shared" si="5"/>
        <v>101.71990556665435</v>
      </c>
      <c r="AS58" s="222">
        <f t="shared" si="5"/>
        <v>87.689174610926145</v>
      </c>
      <c r="AT58" s="222">
        <f t="shared" si="5"/>
        <v>7.6963877568134187</v>
      </c>
      <c r="AU58" s="222">
        <f t="shared" si="5"/>
        <v>5.2411063016401531</v>
      </c>
      <c r="AV58" s="222">
        <f t="shared" si="5"/>
        <v>2.9067239856949074</v>
      </c>
      <c r="AW58" s="222">
        <f t="shared" si="5"/>
        <v>514.55959816500194</v>
      </c>
      <c r="AX58" s="214"/>
    </row>
    <row r="59" spans="2:50" s="110" customFormat="1" hidden="1">
      <c r="B59" s="109"/>
      <c r="X59" s="119"/>
      <c r="Y59" s="120"/>
      <c r="Z59" s="188" t="s">
        <v>344</v>
      </c>
      <c r="AA59" s="188">
        <v>2005</v>
      </c>
      <c r="AB59" s="188" t="s">
        <v>466</v>
      </c>
      <c r="AC59" s="188">
        <v>17447</v>
      </c>
      <c r="AD59" s="188">
        <v>37508</v>
      </c>
      <c r="AE59" s="188">
        <v>17376</v>
      </c>
      <c r="AF59" s="188">
        <v>640</v>
      </c>
      <c r="AG59" s="188">
        <v>1128</v>
      </c>
      <c r="AH59" s="188">
        <v>0</v>
      </c>
      <c r="AI59" s="188">
        <v>1543</v>
      </c>
      <c r="AJ59" s="188">
        <v>75642</v>
      </c>
      <c r="AK59" s="217"/>
      <c r="AL59" s="221">
        <f>VLOOKUP(AA59,pgdp!$A$13:$C$90,3,FALSE)</f>
        <v>0.77750760344715164</v>
      </c>
      <c r="AM59" s="188" t="s">
        <v>344</v>
      </c>
      <c r="AN59" s="188">
        <v>2005</v>
      </c>
      <c r="AO59" s="188" t="s">
        <v>466</v>
      </c>
      <c r="AP59" s="222">
        <f t="shared" si="6"/>
        <v>22.43965193735356</v>
      </c>
      <c r="AQ59" s="222">
        <f t="shared" si="5"/>
        <v>48.24132887409052</v>
      </c>
      <c r="AR59" s="222">
        <f t="shared" si="5"/>
        <v>22.348334502404736</v>
      </c>
      <c r="AS59" s="222">
        <f t="shared" si="5"/>
        <v>0.82314307559501798</v>
      </c>
      <c r="AT59" s="222">
        <f t="shared" si="5"/>
        <v>1.4507896707362193</v>
      </c>
      <c r="AU59" s="222">
        <f t="shared" si="5"/>
        <v>0</v>
      </c>
      <c r="AV59" s="222">
        <f t="shared" si="5"/>
        <v>1.9845465088173637</v>
      </c>
      <c r="AW59" s="222">
        <f t="shared" si="5"/>
        <v>97.287794568997413</v>
      </c>
      <c r="AX59" s="217"/>
    </row>
    <row r="60" spans="2:50" s="110" customFormat="1" hidden="1">
      <c r="B60" s="109"/>
      <c r="X60" s="122"/>
      <c r="Y60" s="109"/>
      <c r="Z60" s="188" t="s">
        <v>344</v>
      </c>
      <c r="AA60" s="188">
        <v>2005</v>
      </c>
      <c r="AB60" s="188" t="s">
        <v>467</v>
      </c>
      <c r="AC60" s="188">
        <v>0</v>
      </c>
      <c r="AD60" s="188">
        <v>2872</v>
      </c>
      <c r="AE60" s="188">
        <v>150</v>
      </c>
      <c r="AF60" s="188">
        <v>6</v>
      </c>
      <c r="AG60" s="188">
        <v>148</v>
      </c>
      <c r="AH60" s="188">
        <v>21</v>
      </c>
      <c r="AI60" s="188">
        <v>4</v>
      </c>
      <c r="AJ60" s="188">
        <v>3200</v>
      </c>
      <c r="AK60" s="214"/>
      <c r="AL60" s="221">
        <f>VLOOKUP(AA60,pgdp!$A$13:$C$90,3,FALSE)</f>
        <v>0.77750760344715164</v>
      </c>
      <c r="AM60" s="188" t="s">
        <v>344</v>
      </c>
      <c r="AN60" s="188">
        <v>2005</v>
      </c>
      <c r="AO60" s="188" t="s">
        <v>467</v>
      </c>
      <c r="AP60" s="222">
        <f t="shared" si="6"/>
        <v>0</v>
      </c>
      <c r="AQ60" s="222">
        <f t="shared" si="5"/>
        <v>3.6938545517326435</v>
      </c>
      <c r="AR60" s="222">
        <f t="shared" si="5"/>
        <v>0.19292415834258234</v>
      </c>
      <c r="AS60" s="222">
        <f t="shared" si="5"/>
        <v>7.7169663337032937E-3</v>
      </c>
      <c r="AT60" s="222">
        <f t="shared" si="5"/>
        <v>0.19035183623134791</v>
      </c>
      <c r="AU60" s="222">
        <f t="shared" si="5"/>
        <v>2.7009382167961525E-2</v>
      </c>
      <c r="AV60" s="222">
        <f t="shared" si="5"/>
        <v>5.1446442224688622E-3</v>
      </c>
      <c r="AW60" s="222">
        <f t="shared" si="5"/>
        <v>4.1157153779750901</v>
      </c>
      <c r="AX60" s="217"/>
    </row>
    <row r="61" spans="2:50" s="110" customFormat="1" hidden="1">
      <c r="B61" s="109"/>
      <c r="X61" s="122"/>
      <c r="Y61" s="109"/>
      <c r="Z61" s="188" t="s">
        <v>344</v>
      </c>
      <c r="AA61" s="188">
        <v>2006</v>
      </c>
      <c r="AB61" s="188" t="s">
        <v>459</v>
      </c>
      <c r="AC61" s="188">
        <v>109103</v>
      </c>
      <c r="AD61" s="188">
        <v>137187</v>
      </c>
      <c r="AE61" s="188">
        <v>79632</v>
      </c>
      <c r="AF61" s="188">
        <v>72037</v>
      </c>
      <c r="AG61" s="188">
        <v>8055</v>
      </c>
      <c r="AH61" s="188">
        <v>3965</v>
      </c>
      <c r="AI61" s="188">
        <v>589</v>
      </c>
      <c r="AJ61" s="188">
        <v>410570</v>
      </c>
      <c r="AK61" s="217"/>
      <c r="AL61" s="221">
        <f>VLOOKUP(AA61,pgdp!$A$13:$C$90,3,FALSE)</f>
        <v>0.80275228380407149</v>
      </c>
      <c r="AM61" s="188" t="s">
        <v>344</v>
      </c>
      <c r="AN61" s="188">
        <v>2006</v>
      </c>
      <c r="AO61" s="188" t="s">
        <v>459</v>
      </c>
      <c r="AP61" s="222">
        <f t="shared" si="6"/>
        <v>135.91116736907207</v>
      </c>
      <c r="AQ61" s="222">
        <f t="shared" si="5"/>
        <v>170.89580779502754</v>
      </c>
      <c r="AR61" s="222">
        <f t="shared" si="5"/>
        <v>99.19872120779398</v>
      </c>
      <c r="AS61" s="222">
        <f t="shared" si="5"/>
        <v>89.737521092599138</v>
      </c>
      <c r="AT61" s="222">
        <f t="shared" si="5"/>
        <v>10.034228693600319</v>
      </c>
      <c r="AU61" s="222">
        <f t="shared" si="5"/>
        <v>4.9392572029950665</v>
      </c>
      <c r="AV61" s="222">
        <f t="shared" si="5"/>
        <v>0.73372572321919138</v>
      </c>
      <c r="AW61" s="222">
        <f t="shared" si="5"/>
        <v>511.45292051290909</v>
      </c>
      <c r="AX61" s="214"/>
    </row>
    <row r="62" spans="2:50" s="110" customFormat="1" hidden="1">
      <c r="B62" s="109"/>
      <c r="X62" s="122"/>
      <c r="Y62" s="109"/>
      <c r="Z62" s="188" t="s">
        <v>344</v>
      </c>
      <c r="AA62" s="188">
        <v>2006</v>
      </c>
      <c r="AB62" s="188" t="s">
        <v>468</v>
      </c>
      <c r="AC62" s="188">
        <v>16489</v>
      </c>
      <c r="AD62" s="188">
        <v>72354</v>
      </c>
      <c r="AE62" s="188">
        <v>22889</v>
      </c>
      <c r="AF62" s="188">
        <v>762</v>
      </c>
      <c r="AG62" s="188">
        <v>236</v>
      </c>
      <c r="AH62" s="188">
        <v>0</v>
      </c>
      <c r="AI62" s="188">
        <v>3033</v>
      </c>
      <c r="AJ62" s="188">
        <v>115763</v>
      </c>
      <c r="AK62" s="217"/>
      <c r="AL62" s="221">
        <f>VLOOKUP(AA62,pgdp!$A$13:$C$90,3,FALSE)</f>
        <v>0.80275228380407149</v>
      </c>
      <c r="AM62" s="188" t="s">
        <v>344</v>
      </c>
      <c r="AN62" s="188">
        <v>2006</v>
      </c>
      <c r="AO62" s="188" t="s">
        <v>468</v>
      </c>
      <c r="AP62" s="222">
        <f t="shared" si="6"/>
        <v>20.540583107234717</v>
      </c>
      <c r="AQ62" s="222">
        <f t="shared" si="5"/>
        <v>90.13241252597858</v>
      </c>
      <c r="AR62" s="222">
        <f t="shared" si="5"/>
        <v>28.513154632876187</v>
      </c>
      <c r="AS62" s="222">
        <f t="shared" si="5"/>
        <v>0.9492342972716874</v>
      </c>
      <c r="AT62" s="222">
        <f t="shared" si="5"/>
        <v>0.29398857500802916</v>
      </c>
      <c r="AU62" s="222">
        <f t="shared" si="5"/>
        <v>0</v>
      </c>
      <c r="AV62" s="222">
        <f t="shared" si="5"/>
        <v>3.7782514745735276</v>
      </c>
      <c r="AW62" s="222">
        <f t="shared" si="5"/>
        <v>144.20762461294271</v>
      </c>
      <c r="AX62" s="217"/>
    </row>
    <row r="63" spans="2:50" s="110" customFormat="1" hidden="1">
      <c r="B63" s="109"/>
      <c r="X63" s="119"/>
      <c r="Y63" s="120"/>
      <c r="Z63" s="188" t="s">
        <v>344</v>
      </c>
      <c r="AA63" s="188">
        <v>2006</v>
      </c>
      <c r="AB63" s="188" t="s">
        <v>469</v>
      </c>
      <c r="AC63" s="188">
        <v>548</v>
      </c>
      <c r="AD63" s="188">
        <v>2806</v>
      </c>
      <c r="AE63" s="188">
        <v>2850</v>
      </c>
      <c r="AF63" s="188">
        <v>55</v>
      </c>
      <c r="AG63" s="188">
        <v>1239</v>
      </c>
      <c r="AH63" s="188">
        <v>460</v>
      </c>
      <c r="AI63" s="188">
        <v>66</v>
      </c>
      <c r="AJ63" s="188">
        <v>8023</v>
      </c>
      <c r="AK63" s="214"/>
      <c r="AL63" s="221">
        <f>VLOOKUP(AA63,pgdp!$A$13:$C$90,3,FALSE)</f>
        <v>0.80275228380407149</v>
      </c>
      <c r="AM63" s="188" t="s">
        <v>344</v>
      </c>
      <c r="AN63" s="188">
        <v>2006</v>
      </c>
      <c r="AO63" s="188" t="s">
        <v>469</v>
      </c>
      <c r="AP63" s="222">
        <f t="shared" si="6"/>
        <v>0.68265143688305074</v>
      </c>
      <c r="AQ63" s="222">
        <f t="shared" si="5"/>
        <v>3.4954743282734317</v>
      </c>
      <c r="AR63" s="222">
        <f t="shared" si="5"/>
        <v>3.5502857575122166</v>
      </c>
      <c r="AS63" s="222">
        <f t="shared" si="5"/>
        <v>6.8514286548481379E-2</v>
      </c>
      <c r="AT63" s="222">
        <f t="shared" si="5"/>
        <v>1.5434400187921533</v>
      </c>
      <c r="AU63" s="222">
        <f t="shared" si="5"/>
        <v>0.5730285784054806</v>
      </c>
      <c r="AV63" s="222">
        <f t="shared" si="5"/>
        <v>8.2217143858177646E-2</v>
      </c>
      <c r="AW63" s="222">
        <f t="shared" si="5"/>
        <v>9.9943658359721095</v>
      </c>
      <c r="AX63" s="217"/>
    </row>
    <row r="64" spans="2:50" s="110" customFormat="1" hidden="1">
      <c r="B64" s="109"/>
      <c r="X64" s="122"/>
      <c r="Y64" s="109"/>
      <c r="Z64" s="188" t="s">
        <v>344</v>
      </c>
      <c r="AA64" s="188">
        <v>2006</v>
      </c>
      <c r="AB64" s="188" t="s">
        <v>470</v>
      </c>
      <c r="AC64" s="188">
        <v>0</v>
      </c>
      <c r="AD64" s="188">
        <v>130</v>
      </c>
      <c r="AE64" s="188">
        <v>0</v>
      </c>
      <c r="AF64" s="188">
        <v>0</v>
      </c>
      <c r="AG64" s="188">
        <v>0</v>
      </c>
      <c r="AH64" s="188">
        <v>0</v>
      </c>
      <c r="AI64" s="188">
        <v>0</v>
      </c>
      <c r="AJ64" s="188">
        <v>130</v>
      </c>
      <c r="AK64" s="217"/>
      <c r="AL64" s="221">
        <f>VLOOKUP(AA64,pgdp!$A$13:$C$90,3,FALSE)</f>
        <v>0.80275228380407149</v>
      </c>
      <c r="AM64" s="188" t="s">
        <v>344</v>
      </c>
      <c r="AN64" s="188">
        <v>2006</v>
      </c>
      <c r="AO64" s="188" t="s">
        <v>470</v>
      </c>
      <c r="AP64" s="222">
        <f t="shared" si="6"/>
        <v>0</v>
      </c>
      <c r="AQ64" s="222">
        <f t="shared" si="5"/>
        <v>0.16194285911459236</v>
      </c>
      <c r="AR64" s="222">
        <f t="shared" si="5"/>
        <v>0</v>
      </c>
      <c r="AS64" s="222">
        <f t="shared" si="5"/>
        <v>0</v>
      </c>
      <c r="AT64" s="222">
        <f t="shared" si="5"/>
        <v>0</v>
      </c>
      <c r="AU64" s="222">
        <f t="shared" si="5"/>
        <v>0</v>
      </c>
      <c r="AV64" s="222">
        <f t="shared" si="5"/>
        <v>0</v>
      </c>
      <c r="AW64" s="222">
        <f t="shared" si="5"/>
        <v>0.16194285911459236</v>
      </c>
      <c r="AX64" s="214"/>
    </row>
    <row r="65" spans="2:50" s="110" customFormat="1">
      <c r="B65" s="109"/>
      <c r="X65" s="122"/>
      <c r="Y65" s="109"/>
      <c r="Z65" s="188" t="s">
        <v>344</v>
      </c>
      <c r="AA65" s="188">
        <v>2007</v>
      </c>
      <c r="AB65" s="188" t="s">
        <v>459</v>
      </c>
      <c r="AC65" s="188">
        <v>110410</v>
      </c>
      <c r="AD65" s="188">
        <v>145613</v>
      </c>
      <c r="AE65" s="188">
        <v>84123</v>
      </c>
      <c r="AF65" s="188">
        <v>75893</v>
      </c>
      <c r="AG65" s="188">
        <v>9154</v>
      </c>
      <c r="AH65" s="188">
        <v>4022</v>
      </c>
      <c r="AI65" s="188">
        <v>2279</v>
      </c>
      <c r="AJ65" s="188">
        <v>431495</v>
      </c>
      <c r="AK65" s="214"/>
      <c r="AL65" s="221">
        <f>VLOOKUP(AA65,pgdp!$A$13:$C$90,3,FALSE)</f>
        <v>0.82459421647952613</v>
      </c>
      <c r="AM65" s="188" t="s">
        <v>344</v>
      </c>
      <c r="AN65" s="188">
        <v>2007</v>
      </c>
      <c r="AO65" s="188" t="s">
        <v>459</v>
      </c>
      <c r="AP65" s="222">
        <f t="shared" si="6"/>
        <v>133.89616103709525</v>
      </c>
      <c r="AQ65" s="222">
        <f t="shared" si="5"/>
        <v>176.58746216008106</v>
      </c>
      <c r="AR65" s="222">
        <f t="shared" si="5"/>
        <v>102.01745090955133</v>
      </c>
      <c r="AS65" s="222">
        <f t="shared" si="5"/>
        <v>92.036784254943115</v>
      </c>
      <c r="AT65" s="222">
        <f t="shared" si="5"/>
        <v>11.101217807567883</v>
      </c>
      <c r="AU65" s="222">
        <f t="shared" si="5"/>
        <v>4.8775505813893396</v>
      </c>
      <c r="AV65" s="222">
        <f t="shared" si="5"/>
        <v>2.7637836337608914</v>
      </c>
      <c r="AW65" s="222">
        <f t="shared" si="5"/>
        <v>523.28162310208688</v>
      </c>
      <c r="AX65" s="217"/>
    </row>
    <row r="66" spans="2:50" s="110" customFormat="1">
      <c r="B66" s="109"/>
      <c r="X66" s="119"/>
      <c r="Y66" s="120"/>
      <c r="Z66" s="188" t="s">
        <v>344</v>
      </c>
      <c r="AA66" s="188">
        <v>2007</v>
      </c>
      <c r="AB66" s="188" t="s">
        <v>471</v>
      </c>
      <c r="AC66" s="188">
        <v>18894</v>
      </c>
      <c r="AD66" s="188">
        <v>93615</v>
      </c>
      <c r="AE66" s="188">
        <v>49466</v>
      </c>
      <c r="AF66" s="188">
        <v>1506</v>
      </c>
      <c r="AG66" s="188">
        <v>1670</v>
      </c>
      <c r="AH66" s="188">
        <v>0</v>
      </c>
      <c r="AI66" s="188">
        <v>1121</v>
      </c>
      <c r="AJ66" s="188">
        <v>166272</v>
      </c>
      <c r="AK66" s="217"/>
      <c r="AL66" s="221">
        <f>VLOOKUP(AA66,pgdp!$A$13:$C$90,3,FALSE)</f>
        <v>0.82459421647952613</v>
      </c>
      <c r="AM66" s="188" t="s">
        <v>344</v>
      </c>
      <c r="AN66" s="188">
        <v>2007</v>
      </c>
      <c r="AO66" s="188" t="s">
        <v>471</v>
      </c>
      <c r="AP66" s="222">
        <f t="shared" si="6"/>
        <v>22.913088186168622</v>
      </c>
      <c r="AQ66" s="222">
        <f t="shared" si="5"/>
        <v>113.52856729904602</v>
      </c>
      <c r="AR66" s="222">
        <f t="shared" si="5"/>
        <v>59.988293649678049</v>
      </c>
      <c r="AS66" s="222">
        <f t="shared" si="5"/>
        <v>1.8263528532004838</v>
      </c>
      <c r="AT66" s="222">
        <f t="shared" si="5"/>
        <v>2.0252385556738433</v>
      </c>
      <c r="AU66" s="222">
        <f t="shared" si="5"/>
        <v>0</v>
      </c>
      <c r="AV66" s="222">
        <f t="shared" si="5"/>
        <v>1.3594565394672924</v>
      </c>
      <c r="AW66" s="222">
        <f t="shared" si="5"/>
        <v>201.64099708323431</v>
      </c>
      <c r="AX66" s="217"/>
    </row>
    <row r="67" spans="2:50" s="110" customFormat="1">
      <c r="B67" s="109"/>
      <c r="X67" s="122"/>
      <c r="Y67" s="109"/>
      <c r="Z67" s="188" t="s">
        <v>344</v>
      </c>
      <c r="AA67" s="188">
        <v>2007</v>
      </c>
      <c r="AB67" s="188" t="s">
        <v>472</v>
      </c>
      <c r="AC67" s="188">
        <v>0</v>
      </c>
      <c r="AD67" s="188">
        <v>0</v>
      </c>
      <c r="AE67" s="188">
        <v>0</v>
      </c>
      <c r="AF67" s="188">
        <v>0</v>
      </c>
      <c r="AG67" s="188">
        <v>3137</v>
      </c>
      <c r="AH67" s="188">
        <v>0</v>
      </c>
      <c r="AI67" s="188">
        <v>0</v>
      </c>
      <c r="AJ67" s="188">
        <v>3137</v>
      </c>
      <c r="AK67" s="217"/>
      <c r="AL67" s="221">
        <f>VLOOKUP(AA67,pgdp!$A$13:$C$90,3,FALSE)</f>
        <v>0.82459421647952613</v>
      </c>
      <c r="AM67" s="188" t="s">
        <v>344</v>
      </c>
      <c r="AN67" s="188">
        <v>2007</v>
      </c>
      <c r="AO67" s="188" t="s">
        <v>472</v>
      </c>
      <c r="AP67" s="222">
        <f t="shared" si="6"/>
        <v>0</v>
      </c>
      <c r="AQ67" s="222">
        <f t="shared" si="5"/>
        <v>0</v>
      </c>
      <c r="AR67" s="222">
        <f t="shared" si="5"/>
        <v>0</v>
      </c>
      <c r="AS67" s="222">
        <f t="shared" si="5"/>
        <v>0</v>
      </c>
      <c r="AT67" s="222">
        <f t="shared" si="5"/>
        <v>3.8042954186520039</v>
      </c>
      <c r="AU67" s="222">
        <f t="shared" si="5"/>
        <v>0</v>
      </c>
      <c r="AV67" s="222">
        <f t="shared" si="5"/>
        <v>0</v>
      </c>
      <c r="AW67" s="222">
        <f t="shared" si="5"/>
        <v>3.8042954186520039</v>
      </c>
      <c r="AX67" s="217"/>
    </row>
    <row r="68" spans="2:50" s="110" customFormat="1" hidden="1">
      <c r="B68" s="109"/>
      <c r="X68" s="119"/>
      <c r="Y68" s="120"/>
      <c r="Z68" s="188" t="s">
        <v>344</v>
      </c>
      <c r="AA68" s="188">
        <v>2008</v>
      </c>
      <c r="AB68" s="188" t="s">
        <v>459</v>
      </c>
      <c r="AC68" s="188">
        <v>117119</v>
      </c>
      <c r="AD68" s="188">
        <v>161778</v>
      </c>
      <c r="AE68" s="188">
        <v>99111</v>
      </c>
      <c r="AF68" s="188">
        <v>77959</v>
      </c>
      <c r="AG68" s="188">
        <v>17831</v>
      </c>
      <c r="AH68" s="188">
        <v>2832</v>
      </c>
      <c r="AI68" s="188">
        <v>2402</v>
      </c>
      <c r="AJ68" s="188">
        <v>479032</v>
      </c>
      <c r="AK68" s="217"/>
      <c r="AL68" s="221">
        <f>VLOOKUP(AA68,pgdp!$A$13:$C$90,3,FALSE)</f>
        <v>0.84165483055935886</v>
      </c>
      <c r="AM68" s="188" t="s">
        <v>344</v>
      </c>
      <c r="AN68" s="188">
        <v>2008</v>
      </c>
      <c r="AO68" s="188" t="s">
        <v>459</v>
      </c>
      <c r="AP68" s="222">
        <f t="shared" si="6"/>
        <v>139.15324399928102</v>
      </c>
      <c r="AQ68" s="222">
        <f t="shared" si="5"/>
        <v>192.21418819931597</v>
      </c>
      <c r="AR68" s="222">
        <f t="shared" si="5"/>
        <v>117.75729955013911</v>
      </c>
      <c r="AS68" s="222">
        <f t="shared" si="5"/>
        <v>92.625857025247399</v>
      </c>
      <c r="AT68" s="222">
        <f t="shared" si="5"/>
        <v>21.185644462052956</v>
      </c>
      <c r="AU68" s="222">
        <f t="shared" si="5"/>
        <v>3.3647997934234746</v>
      </c>
      <c r="AV68" s="222">
        <f t="shared" si="5"/>
        <v>2.8539015197045146</v>
      </c>
      <c r="AW68" s="222">
        <f t="shared" si="5"/>
        <v>569.15493454916452</v>
      </c>
      <c r="AX68" s="214"/>
    </row>
    <row r="69" spans="2:50" s="110" customFormat="1" hidden="1">
      <c r="B69" s="109"/>
      <c r="X69" s="122"/>
      <c r="Y69" s="109"/>
      <c r="Z69" s="188" t="s">
        <v>344</v>
      </c>
      <c r="AA69" s="188">
        <v>2008</v>
      </c>
      <c r="AB69" s="188" t="s">
        <v>473</v>
      </c>
      <c r="AC69" s="188">
        <v>19138</v>
      </c>
      <c r="AD69" s="188">
        <v>93349</v>
      </c>
      <c r="AE69" s="188">
        <v>65869</v>
      </c>
      <c r="AF69" s="188">
        <v>1608</v>
      </c>
      <c r="AG69" s="188">
        <v>4234</v>
      </c>
      <c r="AH69" s="188">
        <v>12</v>
      </c>
      <c r="AI69" s="188">
        <v>2698</v>
      </c>
      <c r="AJ69" s="188">
        <v>186908</v>
      </c>
      <c r="AK69" s="214"/>
      <c r="AL69" s="221">
        <f>VLOOKUP(AA69,pgdp!$A$13:$C$90,3,FALSE)</f>
        <v>0.84165483055935886</v>
      </c>
      <c r="AM69" s="188" t="s">
        <v>344</v>
      </c>
      <c r="AN69" s="188">
        <v>2008</v>
      </c>
      <c r="AO69" s="188" t="s">
        <v>473</v>
      </c>
      <c r="AP69" s="222">
        <f t="shared" si="6"/>
        <v>22.738537587054541</v>
      </c>
      <c r="AQ69" s="222">
        <f t="shared" si="5"/>
        <v>110.91126268230505</v>
      </c>
      <c r="AR69" s="222">
        <f t="shared" si="5"/>
        <v>78.261298585102693</v>
      </c>
      <c r="AS69" s="222">
        <f t="shared" si="5"/>
        <v>1.9105219166048542</v>
      </c>
      <c r="AT69" s="222">
        <f t="shared" si="5"/>
        <v>5.0305657928513385</v>
      </c>
      <c r="AU69" s="222">
        <f t="shared" si="5"/>
        <v>1.4257626243319808E-2</v>
      </c>
      <c r="AV69" s="222">
        <f t="shared" si="5"/>
        <v>3.2055896337064032</v>
      </c>
      <c r="AW69" s="222">
        <f t="shared" si="5"/>
        <v>222.0720338238682</v>
      </c>
      <c r="AX69" s="217"/>
    </row>
    <row r="70" spans="2:50" s="110" customFormat="1" hidden="1">
      <c r="B70" s="109"/>
      <c r="X70" s="122"/>
      <c r="Y70" s="109"/>
      <c r="Z70" s="188" t="s">
        <v>344</v>
      </c>
      <c r="AA70" s="188">
        <v>2009</v>
      </c>
      <c r="AB70" s="188" t="s">
        <v>459</v>
      </c>
      <c r="AC70" s="188">
        <v>125625</v>
      </c>
      <c r="AD70" s="188">
        <v>179102</v>
      </c>
      <c r="AE70" s="188">
        <v>100886</v>
      </c>
      <c r="AF70" s="188">
        <v>79393</v>
      </c>
      <c r="AG70" s="188">
        <v>21899</v>
      </c>
      <c r="AH70" s="188">
        <v>3158</v>
      </c>
      <c r="AI70" s="188">
        <v>3156</v>
      </c>
      <c r="AJ70" s="188">
        <v>513219</v>
      </c>
      <c r="AK70" s="217"/>
      <c r="AL70" s="221">
        <f>VLOOKUP(AA70,pgdp!$A$13:$C$90,3,FALSE)</f>
        <v>0.85147741466177274</v>
      </c>
      <c r="AM70" s="188" t="s">
        <v>344</v>
      </c>
      <c r="AN70" s="188">
        <v>2009</v>
      </c>
      <c r="AO70" s="188" t="s">
        <v>459</v>
      </c>
      <c r="AP70" s="222">
        <f t="shared" si="6"/>
        <v>147.53767726170548</v>
      </c>
      <c r="AQ70" s="222">
        <f t="shared" si="5"/>
        <v>210.34263142627643</v>
      </c>
      <c r="AR70" s="222">
        <f t="shared" si="5"/>
        <v>118.4834715082541</v>
      </c>
      <c r="AS70" s="222">
        <f t="shared" si="5"/>
        <v>93.241463170854402</v>
      </c>
      <c r="AT70" s="222">
        <f t="shared" si="5"/>
        <v>25.718826621724084</v>
      </c>
      <c r="AU70" s="222">
        <f t="shared" si="5"/>
        <v>3.708847640139032</v>
      </c>
      <c r="AV70" s="222">
        <f t="shared" si="5"/>
        <v>3.7064987815955623</v>
      </c>
      <c r="AW70" s="222">
        <f t="shared" si="5"/>
        <v>602.7394164105491</v>
      </c>
      <c r="AX70" s="217"/>
    </row>
    <row r="71" spans="2:50" s="110" customFormat="1" hidden="1">
      <c r="B71" s="109"/>
      <c r="X71" s="122"/>
      <c r="Y71" s="109"/>
      <c r="Z71" s="188" t="s">
        <v>344</v>
      </c>
      <c r="AA71" s="188">
        <v>2009</v>
      </c>
      <c r="AB71" s="188" t="s">
        <v>474</v>
      </c>
      <c r="AC71" s="188">
        <v>0</v>
      </c>
      <c r="AD71" s="188">
        <v>4255</v>
      </c>
      <c r="AE71" s="188">
        <v>0</v>
      </c>
      <c r="AF71" s="188">
        <v>300</v>
      </c>
      <c r="AG71" s="188">
        <v>2190</v>
      </c>
      <c r="AH71" s="188">
        <v>690</v>
      </c>
      <c r="AI71" s="188">
        <v>0</v>
      </c>
      <c r="AJ71" s="188">
        <v>7435</v>
      </c>
      <c r="AK71" s="217"/>
      <c r="AL71" s="221">
        <f>VLOOKUP(AA71,pgdp!$A$13:$C$90,3,FALSE)</f>
        <v>0.85147741466177274</v>
      </c>
      <c r="AM71" s="188" t="s">
        <v>344</v>
      </c>
      <c r="AN71" s="188">
        <v>2009</v>
      </c>
      <c r="AO71" s="188" t="s">
        <v>474</v>
      </c>
      <c r="AP71" s="222">
        <f t="shared" si="6"/>
        <v>0</v>
      </c>
      <c r="AQ71" s="222">
        <f t="shared" si="5"/>
        <v>4.9971965512322933</v>
      </c>
      <c r="AR71" s="222">
        <f t="shared" si="5"/>
        <v>0</v>
      </c>
      <c r="AS71" s="222">
        <f t="shared" si="5"/>
        <v>0.35232878152049074</v>
      </c>
      <c r="AT71" s="222">
        <f t="shared" si="5"/>
        <v>2.572000105099582</v>
      </c>
      <c r="AU71" s="222">
        <f t="shared" si="5"/>
        <v>0.81035619749712862</v>
      </c>
      <c r="AV71" s="222">
        <f t="shared" si="5"/>
        <v>0</v>
      </c>
      <c r="AW71" s="222">
        <f t="shared" si="5"/>
        <v>8.7318816353494952</v>
      </c>
      <c r="AX71" s="214"/>
    </row>
    <row r="72" spans="2:50" s="110" customFormat="1" hidden="1">
      <c r="B72" s="109"/>
      <c r="X72" s="119"/>
      <c r="Y72" s="120"/>
      <c r="Z72" s="188" t="s">
        <v>344</v>
      </c>
      <c r="AA72" s="188">
        <v>2009</v>
      </c>
      <c r="AB72" s="188" t="s">
        <v>475</v>
      </c>
      <c r="AC72" s="188">
        <v>1194</v>
      </c>
      <c r="AD72" s="188">
        <v>54089</v>
      </c>
      <c r="AE72" s="188">
        <v>7997</v>
      </c>
      <c r="AF72" s="188">
        <v>171</v>
      </c>
      <c r="AG72" s="188">
        <v>-143</v>
      </c>
      <c r="AH72" s="188">
        <v>0</v>
      </c>
      <c r="AI72" s="188">
        <v>0</v>
      </c>
      <c r="AJ72" s="188">
        <v>63308</v>
      </c>
      <c r="AK72" s="214"/>
      <c r="AL72" s="221">
        <f>VLOOKUP(AA72,pgdp!$A$13:$C$90,3,FALSE)</f>
        <v>0.85147741466177274</v>
      </c>
      <c r="AM72" s="188" t="s">
        <v>344</v>
      </c>
      <c r="AN72" s="188">
        <v>2009</v>
      </c>
      <c r="AO72" s="188" t="s">
        <v>475</v>
      </c>
      <c r="AP72" s="222">
        <f t="shared" si="6"/>
        <v>1.4022685504515531</v>
      </c>
      <c r="AQ72" s="222">
        <f t="shared" si="5"/>
        <v>63.523704878872742</v>
      </c>
      <c r="AR72" s="222">
        <f t="shared" si="5"/>
        <v>9.3919108860645473</v>
      </c>
      <c r="AS72" s="222">
        <f t="shared" si="5"/>
        <v>0.20082740546667968</v>
      </c>
      <c r="AT72" s="222">
        <f t="shared" si="5"/>
        <v>-0.16794338585810059</v>
      </c>
      <c r="AU72" s="222">
        <f t="shared" si="5"/>
        <v>0</v>
      </c>
      <c r="AV72" s="222">
        <f t="shared" si="5"/>
        <v>0</v>
      </c>
      <c r="AW72" s="222">
        <f t="shared" si="5"/>
        <v>74.350768334997426</v>
      </c>
      <c r="AX72" s="217"/>
    </row>
    <row r="73" spans="2:50" s="110" customFormat="1" hidden="1">
      <c r="B73" s="109"/>
      <c r="X73" s="122"/>
      <c r="Y73" s="109"/>
      <c r="Z73" s="188" t="s">
        <v>344</v>
      </c>
      <c r="AA73" s="188">
        <v>2009</v>
      </c>
      <c r="AB73" s="188" t="s">
        <v>476</v>
      </c>
      <c r="AC73" s="188">
        <v>18726</v>
      </c>
      <c r="AD73" s="188">
        <v>33229</v>
      </c>
      <c r="AE73" s="188">
        <v>26555</v>
      </c>
      <c r="AF73" s="188">
        <v>141</v>
      </c>
      <c r="AG73" s="188">
        <v>2869</v>
      </c>
      <c r="AH73" s="188">
        <v>0</v>
      </c>
      <c r="AI73" s="188">
        <v>862</v>
      </c>
      <c r="AJ73" s="188">
        <v>82381</v>
      </c>
      <c r="AK73" s="217"/>
      <c r="AL73" s="221">
        <f>VLOOKUP(AA73,pgdp!$A$13:$C$90,3,FALSE)</f>
        <v>0.85147741466177274</v>
      </c>
      <c r="AM73" s="188" t="s">
        <v>344</v>
      </c>
      <c r="AN73" s="188">
        <v>2009</v>
      </c>
      <c r="AO73" s="188" t="s">
        <v>476</v>
      </c>
      <c r="AP73" s="222">
        <f t="shared" si="6"/>
        <v>21.992362542509028</v>
      </c>
      <c r="AQ73" s="222">
        <f t="shared" si="5"/>
        <v>39.025110270481285</v>
      </c>
      <c r="AR73" s="222">
        <f t="shared" si="5"/>
        <v>31.186969310922105</v>
      </c>
      <c r="AS73" s="222">
        <f t="shared" si="5"/>
        <v>0.16559452731463062</v>
      </c>
      <c r="AT73" s="222">
        <f t="shared" si="5"/>
        <v>3.3694375806076264</v>
      </c>
      <c r="AU73" s="222">
        <f t="shared" si="5"/>
        <v>0</v>
      </c>
      <c r="AV73" s="222">
        <f t="shared" si="5"/>
        <v>1.0123580322355432</v>
      </c>
      <c r="AW73" s="222">
        <f t="shared" si="5"/>
        <v>96.750657834798488</v>
      </c>
      <c r="AX73" s="214"/>
    </row>
    <row r="74" spans="2:50" s="110" customFormat="1" hidden="1">
      <c r="B74" s="109"/>
      <c r="X74" s="122"/>
      <c r="Y74" s="109"/>
      <c r="Z74" s="188" t="s">
        <v>344</v>
      </c>
      <c r="AA74" s="188">
        <v>2010</v>
      </c>
      <c r="AB74" s="188" t="s">
        <v>459</v>
      </c>
      <c r="AC74" s="188">
        <v>135714</v>
      </c>
      <c r="AD74" s="188">
        <v>183855</v>
      </c>
      <c r="AE74" s="188">
        <v>103182</v>
      </c>
      <c r="AF74" s="188">
        <v>79264</v>
      </c>
      <c r="AG74" s="188">
        <v>20529</v>
      </c>
      <c r="AH74" s="188">
        <v>2259</v>
      </c>
      <c r="AI74" s="188">
        <v>3119</v>
      </c>
      <c r="AJ74" s="188">
        <v>527922</v>
      </c>
      <c r="AK74" s="214"/>
      <c r="AL74" s="221">
        <f>VLOOKUP(AA74,pgdp!$A$13:$C$90,3,FALSE)</f>
        <v>0.85894343086456204</v>
      </c>
      <c r="AM74" s="188" t="s">
        <v>344</v>
      </c>
      <c r="AN74" s="188">
        <v>2010</v>
      </c>
      <c r="AO74" s="188" t="s">
        <v>459</v>
      </c>
      <c r="AP74" s="222">
        <f t="shared" si="6"/>
        <v>158.00109195013957</v>
      </c>
      <c r="AQ74" s="222">
        <f t="shared" si="5"/>
        <v>214.04785623069768</v>
      </c>
      <c r="AR74" s="222">
        <f t="shared" si="5"/>
        <v>120.12665362158141</v>
      </c>
      <c r="AS74" s="222">
        <f t="shared" si="5"/>
        <v>92.280815187348836</v>
      </c>
      <c r="AT74" s="222">
        <f t="shared" si="5"/>
        <v>23.900293386418607</v>
      </c>
      <c r="AU74" s="222">
        <f t="shared" si="5"/>
        <v>2.6299752915348842</v>
      </c>
      <c r="AV74" s="222">
        <f t="shared" si="5"/>
        <v>3.6312053715348838</v>
      </c>
      <c r="AW74" s="222">
        <f t="shared" si="5"/>
        <v>614.61789103925594</v>
      </c>
      <c r="AX74" s="217"/>
    </row>
    <row r="75" spans="2:50" s="110" customFormat="1" hidden="1">
      <c r="B75" s="109"/>
      <c r="X75" s="119"/>
      <c r="Y75" s="120"/>
      <c r="Z75" s="188" t="s">
        <v>344</v>
      </c>
      <c r="AA75" s="188">
        <v>2010</v>
      </c>
      <c r="AB75" s="188" t="s">
        <v>477</v>
      </c>
      <c r="AC75" s="188">
        <v>16869</v>
      </c>
      <c r="AD75" s="188">
        <v>108316</v>
      </c>
      <c r="AE75" s="188">
        <v>32632</v>
      </c>
      <c r="AF75" s="188">
        <v>969</v>
      </c>
      <c r="AG75" s="188">
        <v>2048</v>
      </c>
      <c r="AH75" s="188">
        <v>8</v>
      </c>
      <c r="AI75" s="188">
        <v>1547</v>
      </c>
      <c r="AJ75" s="188">
        <v>162390</v>
      </c>
      <c r="AK75" s="217"/>
      <c r="AL75" s="221">
        <f>VLOOKUP(AA75,pgdp!$A$13:$C$90,3,FALSE)</f>
        <v>0.85894343086456204</v>
      </c>
      <c r="AM75" s="188" t="s">
        <v>344</v>
      </c>
      <c r="AN75" s="188">
        <v>2010</v>
      </c>
      <c r="AO75" s="188" t="s">
        <v>477</v>
      </c>
      <c r="AP75" s="222">
        <f t="shared" si="6"/>
        <v>19.639244441302324</v>
      </c>
      <c r="AQ75" s="222">
        <f t="shared" si="5"/>
        <v>126.10376435497675</v>
      </c>
      <c r="AR75" s="222">
        <f t="shared" si="5"/>
        <v>37.990860430883721</v>
      </c>
      <c r="AS75" s="222">
        <f t="shared" si="5"/>
        <v>1.1281301715348839</v>
      </c>
      <c r="AT75" s="222">
        <f t="shared" si="5"/>
        <v>2.3843246556279074</v>
      </c>
      <c r="AU75" s="222">
        <f t="shared" si="5"/>
        <v>9.3137681860465133E-3</v>
      </c>
      <c r="AV75" s="222">
        <f t="shared" si="5"/>
        <v>1.8010499229767443</v>
      </c>
      <c r="AW75" s="222">
        <f t="shared" si="5"/>
        <v>189.05785196651163</v>
      </c>
      <c r="AX75" s="217"/>
    </row>
    <row r="76" spans="2:50" s="110" customFormat="1" hidden="1">
      <c r="B76" s="109"/>
      <c r="X76" s="122"/>
      <c r="Y76" s="109"/>
      <c r="Z76" s="188" t="s">
        <v>344</v>
      </c>
      <c r="AA76" s="188">
        <v>2010</v>
      </c>
      <c r="AB76" s="188" t="s">
        <v>478</v>
      </c>
      <c r="AC76" s="188">
        <v>0</v>
      </c>
      <c r="AD76" s="188">
        <v>655</v>
      </c>
      <c r="AE76" s="188">
        <v>0</v>
      </c>
      <c r="AF76" s="188">
        <v>0</v>
      </c>
      <c r="AG76" s="188">
        <v>0</v>
      </c>
      <c r="AH76" s="188">
        <v>0</v>
      </c>
      <c r="AI76" s="188">
        <v>0</v>
      </c>
      <c r="AJ76" s="188">
        <v>655</v>
      </c>
      <c r="AK76" s="214"/>
      <c r="AL76" s="221">
        <f>VLOOKUP(AA76,pgdp!$A$13:$C$90,3,FALSE)</f>
        <v>0.85894343086456204</v>
      </c>
      <c r="AM76" s="188" t="s">
        <v>344</v>
      </c>
      <c r="AN76" s="188">
        <v>2010</v>
      </c>
      <c r="AO76" s="188" t="s">
        <v>478</v>
      </c>
      <c r="AP76" s="222">
        <f t="shared" si="6"/>
        <v>0</v>
      </c>
      <c r="AQ76" s="222">
        <f t="shared" si="5"/>
        <v>0.7625647702325582</v>
      </c>
      <c r="AR76" s="222">
        <f t="shared" si="5"/>
        <v>0</v>
      </c>
      <c r="AS76" s="222">
        <f t="shared" si="5"/>
        <v>0</v>
      </c>
      <c r="AT76" s="222">
        <f t="shared" si="5"/>
        <v>0</v>
      </c>
      <c r="AU76" s="222">
        <f t="shared" si="5"/>
        <v>0</v>
      </c>
      <c r="AV76" s="222">
        <f t="shared" si="5"/>
        <v>0</v>
      </c>
      <c r="AW76" s="193">
        <f t="shared" si="5"/>
        <v>0.7625647702325582</v>
      </c>
      <c r="AX76" s="217"/>
    </row>
    <row r="77" spans="2:50" s="110" customFormat="1" hidden="1">
      <c r="B77" s="109"/>
      <c r="X77" s="119"/>
      <c r="Y77" s="120"/>
      <c r="Z77" s="188" t="s">
        <v>344</v>
      </c>
      <c r="AA77" s="188">
        <v>2011</v>
      </c>
      <c r="AB77" s="188" t="s">
        <v>459</v>
      </c>
      <c r="AC77" s="188">
        <v>137799</v>
      </c>
      <c r="AD77" s="188">
        <v>194134</v>
      </c>
      <c r="AE77" s="188">
        <v>102074</v>
      </c>
      <c r="AF77" s="188">
        <v>75291</v>
      </c>
      <c r="AG77" s="188">
        <v>14768</v>
      </c>
      <c r="AH77" s="188">
        <v>1820</v>
      </c>
      <c r="AI77" s="188">
        <v>2349</v>
      </c>
      <c r="AJ77" s="188">
        <v>528234</v>
      </c>
      <c r="AK77" s="217"/>
      <c r="AL77" s="221">
        <f>VLOOKUP(AA77,pgdp!$A$13:$C$90,3,FALSE)</f>
        <v>0.87638757317399019</v>
      </c>
      <c r="AM77" s="188" t="s">
        <v>344</v>
      </c>
      <c r="AN77" s="188">
        <v>2011</v>
      </c>
      <c r="AO77" s="188" t="s">
        <v>459</v>
      </c>
      <c r="AP77" s="222">
        <f t="shared" si="6"/>
        <v>157.23522813192903</v>
      </c>
      <c r="AQ77" s="222">
        <f t="shared" si="5"/>
        <v>221.51614872505542</v>
      </c>
      <c r="AR77" s="222">
        <f t="shared" si="5"/>
        <v>116.47130005543237</v>
      </c>
      <c r="AS77" s="222">
        <f t="shared" si="5"/>
        <v>85.910620260532141</v>
      </c>
      <c r="AT77" s="222">
        <f t="shared" si="5"/>
        <v>16.850992017738356</v>
      </c>
      <c r="AU77" s="222">
        <f t="shared" si="5"/>
        <v>2.0767067627494455</v>
      </c>
      <c r="AV77" s="222">
        <f t="shared" si="5"/>
        <v>2.6803209811529931</v>
      </c>
      <c r="AW77" s="222">
        <f t="shared" si="5"/>
        <v>602.740175886918</v>
      </c>
      <c r="AX77" s="214"/>
    </row>
    <row r="78" spans="2:50" s="110" customFormat="1" hidden="1">
      <c r="B78" s="109"/>
      <c r="X78" s="122"/>
      <c r="Y78" s="109"/>
      <c r="Z78" s="188" t="s">
        <v>344</v>
      </c>
      <c r="AA78" s="188">
        <v>2011</v>
      </c>
      <c r="AB78" s="188" t="s">
        <v>479</v>
      </c>
      <c r="AC78" s="188">
        <v>15640</v>
      </c>
      <c r="AD78" s="188">
        <v>110219</v>
      </c>
      <c r="AE78" s="188">
        <v>29825</v>
      </c>
      <c r="AF78" s="188">
        <v>1396</v>
      </c>
      <c r="AG78" s="188">
        <v>1223</v>
      </c>
      <c r="AH78" s="188">
        <v>0</v>
      </c>
      <c r="AI78" s="188">
        <v>485</v>
      </c>
      <c r="AJ78" s="188">
        <v>158788</v>
      </c>
      <c r="AK78" s="217"/>
      <c r="AL78" s="221">
        <f>VLOOKUP(AA78,pgdp!$A$13:$C$90,3,FALSE)</f>
        <v>0.87638757317399019</v>
      </c>
      <c r="AM78" s="188" t="s">
        <v>344</v>
      </c>
      <c r="AN78" s="188">
        <v>2011</v>
      </c>
      <c r="AO78" s="188" t="s">
        <v>479</v>
      </c>
      <c r="AP78" s="222">
        <f t="shared" si="6"/>
        <v>17.845985587583151</v>
      </c>
      <c r="AQ78" s="222">
        <f t="shared" si="5"/>
        <v>125.76513334257206</v>
      </c>
      <c r="AR78" s="222">
        <f t="shared" si="5"/>
        <v>34.03174681263858</v>
      </c>
      <c r="AS78" s="222">
        <f t="shared" si="5"/>
        <v>1.5929025498891352</v>
      </c>
      <c r="AT78" s="222">
        <f t="shared" si="5"/>
        <v>1.3955013026607537</v>
      </c>
      <c r="AU78" s="222">
        <f t="shared" si="5"/>
        <v>0</v>
      </c>
      <c r="AV78" s="222">
        <f t="shared" si="5"/>
        <v>0.55340812084257196</v>
      </c>
      <c r="AW78" s="222">
        <f t="shared" si="5"/>
        <v>181.18467771618623</v>
      </c>
      <c r="AX78" s="217"/>
    </row>
    <row r="79" spans="2:50" s="110" customFormat="1" hidden="1">
      <c r="B79" s="109"/>
      <c r="X79" s="119"/>
      <c r="Y79" s="120"/>
      <c r="Z79" s="188" t="s">
        <v>344</v>
      </c>
      <c r="AA79" s="188">
        <v>2012</v>
      </c>
      <c r="AB79" s="188" t="s">
        <v>459</v>
      </c>
      <c r="AC79" s="188">
        <v>141682</v>
      </c>
      <c r="AD79" s="188">
        <v>199213</v>
      </c>
      <c r="AE79" s="188">
        <v>102263</v>
      </c>
      <c r="AF79" s="188">
        <v>71508</v>
      </c>
      <c r="AG79" s="188">
        <v>11367</v>
      </c>
      <c r="AH79" s="188">
        <v>1683</v>
      </c>
      <c r="AI79" s="188">
        <v>2695</v>
      </c>
      <c r="AJ79" s="188">
        <v>530411</v>
      </c>
      <c r="AK79" s="214"/>
      <c r="AL79" s="221">
        <f>VLOOKUP(AA79,pgdp!$A$13:$C$90,3,FALSE)</f>
        <v>0.89246166741880806</v>
      </c>
      <c r="AM79" s="188" t="s">
        <v>344</v>
      </c>
      <c r="AN79" s="188">
        <v>2012</v>
      </c>
      <c r="AO79" s="188" t="s">
        <v>459</v>
      </c>
      <c r="AP79" s="222">
        <f t="shared" si="6"/>
        <v>158.75415737437211</v>
      </c>
      <c r="AQ79" s="222">
        <f t="shared" si="5"/>
        <v>223.21743025240181</v>
      </c>
      <c r="AR79" s="222">
        <f t="shared" si="5"/>
        <v>114.58531355835898</v>
      </c>
      <c r="AS79" s="222">
        <f t="shared" si="5"/>
        <v>80.124449722100209</v>
      </c>
      <c r="AT79" s="222">
        <f t="shared" si="5"/>
        <v>12.736681490058638</v>
      </c>
      <c r="AU79" s="222">
        <f t="shared" si="5"/>
        <v>1.8857952800007642</v>
      </c>
      <c r="AV79" s="222">
        <f t="shared" si="5"/>
        <v>3.0197375398705049</v>
      </c>
      <c r="AW79" s="222">
        <f t="shared" si="5"/>
        <v>594.32356521716292</v>
      </c>
      <c r="AX79" s="217"/>
    </row>
    <row r="80" spans="2:50" s="110" customFormat="1" hidden="1">
      <c r="B80" s="109"/>
      <c r="X80" s="122"/>
      <c r="Y80" s="109"/>
      <c r="Z80" s="188" t="s">
        <v>344</v>
      </c>
      <c r="AA80" s="188">
        <v>2012</v>
      </c>
      <c r="AB80" s="188" t="s">
        <v>480</v>
      </c>
      <c r="AC80" s="188">
        <v>11293</v>
      </c>
      <c r="AD80" s="188">
        <v>86776</v>
      </c>
      <c r="AE80" s="188">
        <v>16052</v>
      </c>
      <c r="AF80" s="188">
        <v>526</v>
      </c>
      <c r="AG80" s="188">
        <v>0</v>
      </c>
      <c r="AH80" s="188">
        <v>0</v>
      </c>
      <c r="AI80" s="188">
        <v>435</v>
      </c>
      <c r="AJ80" s="188">
        <v>115083</v>
      </c>
      <c r="AK80" s="217"/>
      <c r="AL80" s="221">
        <f>VLOOKUP(AA80,pgdp!$A$13:$C$90,3,FALSE)</f>
        <v>0.89246166741880806</v>
      </c>
      <c r="AM80" s="188" t="s">
        <v>344</v>
      </c>
      <c r="AN80" s="188">
        <v>2012</v>
      </c>
      <c r="AO80" s="188" t="s">
        <v>480</v>
      </c>
      <c r="AP80" s="222">
        <f t="shared" si="6"/>
        <v>12.653764763546423</v>
      </c>
      <c r="AQ80" s="222">
        <f t="shared" si="5"/>
        <v>97.232187294917594</v>
      </c>
      <c r="AR80" s="222">
        <f t="shared" si="5"/>
        <v>17.986206675325175</v>
      </c>
      <c r="AS80" s="222">
        <f t="shared" si="5"/>
        <v>0.5893810560192525</v>
      </c>
      <c r="AT80" s="222">
        <f t="shared" si="5"/>
        <v>0</v>
      </c>
      <c r="AU80" s="222">
        <f t="shared" si="5"/>
        <v>0</v>
      </c>
      <c r="AV80" s="222">
        <f t="shared" si="5"/>
        <v>0.48741589233531341</v>
      </c>
      <c r="AW80" s="222">
        <f t="shared" si="5"/>
        <v>128.95007617844797</v>
      </c>
      <c r="AX80" s="214"/>
    </row>
    <row r="81" spans="2:50" s="110" customFormat="1" hidden="1">
      <c r="B81" s="109"/>
      <c r="X81" s="122"/>
      <c r="Y81" s="109"/>
      <c r="Z81" s="188" t="s">
        <v>344</v>
      </c>
      <c r="AA81" s="188">
        <v>2013</v>
      </c>
      <c r="AB81" s="188" t="s">
        <v>459</v>
      </c>
      <c r="AC81" s="188">
        <v>134617</v>
      </c>
      <c r="AD81" s="188">
        <v>196091</v>
      </c>
      <c r="AE81" s="188">
        <v>89627</v>
      </c>
      <c r="AF81" s="188">
        <v>63154</v>
      </c>
      <c r="AG81" s="188">
        <v>8053</v>
      </c>
      <c r="AH81" s="188">
        <v>1479</v>
      </c>
      <c r="AI81" s="188">
        <v>2445</v>
      </c>
      <c r="AJ81" s="188">
        <v>495466</v>
      </c>
      <c r="AK81" s="217"/>
      <c r="AL81" s="221">
        <f>VLOOKUP(AA81,pgdp!$A$13:$C$90,3,FALSE)</f>
        <v>0.9075385882666781</v>
      </c>
      <c r="AM81" s="188" t="s">
        <v>344</v>
      </c>
      <c r="AN81" s="188">
        <v>2013</v>
      </c>
      <c r="AO81" s="188" t="s">
        <v>459</v>
      </c>
      <c r="AP81" s="222">
        <f t="shared" si="6"/>
        <v>148.33198471164411</v>
      </c>
      <c r="AQ81" s="222">
        <f t="shared" si="5"/>
        <v>216.06904933322693</v>
      </c>
      <c r="AR81" s="222">
        <f t="shared" si="5"/>
        <v>98.758335082125811</v>
      </c>
      <c r="AS81" s="222">
        <f t="shared" si="5"/>
        <v>69.588225576852651</v>
      </c>
      <c r="AT81" s="222">
        <f t="shared" si="5"/>
        <v>8.8734518885643734</v>
      </c>
      <c r="AU81" s="222">
        <f t="shared" si="5"/>
        <v>1.6296827695500693</v>
      </c>
      <c r="AV81" s="222">
        <f t="shared" si="5"/>
        <v>2.6941003188302362</v>
      </c>
      <c r="AW81" s="222">
        <f t="shared" si="5"/>
        <v>545.94482968079421</v>
      </c>
      <c r="AX81" s="217"/>
    </row>
    <row r="82" spans="2:50" s="110" customFormat="1" hidden="1">
      <c r="B82" s="109"/>
      <c r="X82" s="119"/>
      <c r="Y82" s="120"/>
      <c r="Z82" s="188" t="s">
        <v>344</v>
      </c>
      <c r="AA82" s="188">
        <v>2013</v>
      </c>
      <c r="AB82" s="188" t="s">
        <v>481</v>
      </c>
      <c r="AC82" s="188">
        <v>12123</v>
      </c>
      <c r="AD82" s="188">
        <v>61523</v>
      </c>
      <c r="AE82" s="188">
        <v>8134</v>
      </c>
      <c r="AF82" s="188">
        <v>192</v>
      </c>
      <c r="AG82" s="188">
        <v>-9</v>
      </c>
      <c r="AH82" s="188">
        <v>0</v>
      </c>
      <c r="AI82" s="188">
        <v>10</v>
      </c>
      <c r="AJ82" s="188">
        <v>81973</v>
      </c>
      <c r="AK82" s="214"/>
      <c r="AL82" s="221">
        <f>VLOOKUP(AA82,pgdp!$A$13:$C$90,3,FALSE)</f>
        <v>0.9075385882666781</v>
      </c>
      <c r="AM82" s="188" t="s">
        <v>344</v>
      </c>
      <c r="AN82" s="188">
        <v>2013</v>
      </c>
      <c r="AO82" s="188" t="s">
        <v>481</v>
      </c>
      <c r="AP82" s="222">
        <f t="shared" si="6"/>
        <v>13.358109679009798</v>
      </c>
      <c r="AQ82" s="222">
        <f t="shared" si="5"/>
        <v>67.791056816111507</v>
      </c>
      <c r="AR82" s="222">
        <f t="shared" si="5"/>
        <v>8.9627042917648847</v>
      </c>
      <c r="AS82" s="222">
        <f t="shared" si="5"/>
        <v>0.21156125203084064</v>
      </c>
      <c r="AT82" s="222">
        <f t="shared" si="5"/>
        <v>-9.916933688945655E-3</v>
      </c>
      <c r="AU82" s="222">
        <f t="shared" si="5"/>
        <v>0</v>
      </c>
      <c r="AV82" s="222">
        <f t="shared" si="5"/>
        <v>1.1018815209939616E-2</v>
      </c>
      <c r="AW82" s="222">
        <f t="shared" si="5"/>
        <v>90.324533920438014</v>
      </c>
      <c r="AX82" s="214"/>
    </row>
    <row r="83" spans="2:50" s="110" customFormat="1" hidden="1">
      <c r="B83" s="109"/>
      <c r="X83" s="122"/>
      <c r="Y83" s="109"/>
      <c r="Z83" s="188" t="s">
        <v>344</v>
      </c>
      <c r="AA83" s="188">
        <v>2013</v>
      </c>
      <c r="AB83" s="188" t="s">
        <v>482</v>
      </c>
      <c r="AC83" s="188">
        <v>0</v>
      </c>
      <c r="AD83" s="188">
        <v>63</v>
      </c>
      <c r="AE83" s="188">
        <v>1</v>
      </c>
      <c r="AF83" s="188">
        <v>0</v>
      </c>
      <c r="AG83" s="188">
        <v>24</v>
      </c>
      <c r="AH83" s="188">
        <v>0</v>
      </c>
      <c r="AI83" s="188">
        <v>24</v>
      </c>
      <c r="AJ83" s="188">
        <v>113</v>
      </c>
      <c r="AK83" s="217"/>
      <c r="AL83" s="221">
        <f>VLOOKUP(AA83,pgdp!$A$13:$C$90,3,FALSE)</f>
        <v>0.9075385882666781</v>
      </c>
      <c r="AM83" s="188" t="s">
        <v>344</v>
      </c>
      <c r="AN83" s="188">
        <v>2013</v>
      </c>
      <c r="AO83" s="188" t="s">
        <v>482</v>
      </c>
      <c r="AP83" s="222">
        <f t="shared" si="6"/>
        <v>0</v>
      </c>
      <c r="AQ83" s="222">
        <f t="shared" si="5"/>
        <v>6.9418535822619587E-2</v>
      </c>
      <c r="AR83" s="222">
        <f t="shared" si="5"/>
        <v>1.1018815209939616E-3</v>
      </c>
      <c r="AS83" s="222">
        <f t="shared" si="5"/>
        <v>0</v>
      </c>
      <c r="AT83" s="222">
        <f t="shared" si="5"/>
        <v>2.644515650385508E-2</v>
      </c>
      <c r="AU83" s="222">
        <f t="shared" si="5"/>
        <v>0</v>
      </c>
      <c r="AV83" s="222">
        <f t="shared" si="5"/>
        <v>2.644515650385508E-2</v>
      </c>
      <c r="AW83" s="222">
        <f t="shared" si="5"/>
        <v>0.12451261187231766</v>
      </c>
      <c r="AX83" s="217"/>
    </row>
    <row r="84" spans="2:50" s="110" customFormat="1" hidden="1">
      <c r="B84" s="109"/>
      <c r="X84" s="122"/>
      <c r="Y84" s="109"/>
      <c r="Z84" s="188" t="s">
        <v>344</v>
      </c>
      <c r="AA84" s="188">
        <v>2014</v>
      </c>
      <c r="AB84" s="188" t="s">
        <v>459</v>
      </c>
      <c r="AC84" s="188">
        <v>136039</v>
      </c>
      <c r="AD84" s="188">
        <v>192615</v>
      </c>
      <c r="AE84" s="188">
        <v>92163</v>
      </c>
      <c r="AF84" s="188">
        <v>63172</v>
      </c>
      <c r="AG84" s="188">
        <v>8392</v>
      </c>
      <c r="AH84" s="188">
        <v>1416</v>
      </c>
      <c r="AI84" s="188">
        <v>2487</v>
      </c>
      <c r="AJ84" s="188">
        <v>496285</v>
      </c>
      <c r="AK84" s="217"/>
      <c r="AL84" s="221">
        <f>VLOOKUP(AA84,pgdp!$A$13:$C$90,3,FALSE)</f>
        <v>0.9240281714268912</v>
      </c>
      <c r="AM84" s="188" t="s">
        <v>344</v>
      </c>
      <c r="AN84" s="188">
        <v>2014</v>
      </c>
      <c r="AO84" s="188" t="s">
        <v>459</v>
      </c>
      <c r="AP84" s="222">
        <f t="shared" si="6"/>
        <v>147.2238663350789</v>
      </c>
      <c r="AQ84" s="222">
        <f t="shared" si="5"/>
        <v>208.45143682422849</v>
      </c>
      <c r="AR84" s="222">
        <f t="shared" si="5"/>
        <v>99.740465550613251</v>
      </c>
      <c r="AS84" s="222">
        <f t="shared" si="5"/>
        <v>68.365880990889409</v>
      </c>
      <c r="AT84" s="222">
        <f t="shared" ref="AT84:AW147" si="7">AG84/$AL84/1000</f>
        <v>9.0819741859612471</v>
      </c>
      <c r="AU84" s="222">
        <f t="shared" si="7"/>
        <v>1.532420811167913</v>
      </c>
      <c r="AV84" s="222">
        <f t="shared" si="7"/>
        <v>2.6914763823266949</v>
      </c>
      <c r="AW84" s="222">
        <f t="shared" si="7"/>
        <v>537.08860329835295</v>
      </c>
      <c r="AX84" s="214"/>
    </row>
    <row r="85" spans="2:50" s="110" customFormat="1" hidden="1">
      <c r="B85" s="109"/>
      <c r="X85" s="119"/>
      <c r="Y85" s="120"/>
      <c r="Z85" s="188" t="s">
        <v>344</v>
      </c>
      <c r="AA85" s="188">
        <v>2014</v>
      </c>
      <c r="AB85" s="188" t="s">
        <v>483</v>
      </c>
      <c r="AC85" s="188">
        <v>7810</v>
      </c>
      <c r="AD85" s="188">
        <v>68792</v>
      </c>
      <c r="AE85" s="188">
        <v>8018</v>
      </c>
      <c r="AF85" s="188">
        <v>310</v>
      </c>
      <c r="AG85" s="188">
        <v>0</v>
      </c>
      <c r="AH85" s="188">
        <v>0</v>
      </c>
      <c r="AI85" s="188"/>
      <c r="AJ85" s="188">
        <v>84929</v>
      </c>
      <c r="AK85" s="214"/>
      <c r="AL85" s="221">
        <f>VLOOKUP(AA85,pgdp!$A$13:$C$90,3,FALSE)</f>
        <v>0.9240281714268912</v>
      </c>
      <c r="AM85" s="188" t="s">
        <v>344</v>
      </c>
      <c r="AN85" s="188">
        <v>2014</v>
      </c>
      <c r="AO85" s="188" t="s">
        <v>483</v>
      </c>
      <c r="AP85" s="222">
        <f t="shared" si="6"/>
        <v>8.4521232593371476</v>
      </c>
      <c r="AQ85" s="222">
        <f t="shared" si="6"/>
        <v>74.447946639733814</v>
      </c>
      <c r="AR85" s="222">
        <f t="shared" si="6"/>
        <v>8.6772246214296089</v>
      </c>
      <c r="AS85" s="222">
        <f t="shared" si="6"/>
        <v>0.33548760696472668</v>
      </c>
      <c r="AT85" s="222">
        <f t="shared" si="7"/>
        <v>0</v>
      </c>
      <c r="AU85" s="222">
        <f t="shared" si="7"/>
        <v>0</v>
      </c>
      <c r="AV85" s="222">
        <f t="shared" si="7"/>
        <v>0</v>
      </c>
      <c r="AW85" s="222">
        <f t="shared" si="7"/>
        <v>91.911699909378314</v>
      </c>
      <c r="AX85" s="217"/>
    </row>
    <row r="86" spans="2:50" s="110" customFormat="1" hidden="1">
      <c r="B86" s="109"/>
      <c r="X86" s="122"/>
      <c r="Y86" s="109"/>
      <c r="Z86" s="188" t="s">
        <v>344</v>
      </c>
      <c r="AA86" s="188">
        <v>2014</v>
      </c>
      <c r="AB86" s="188" t="s">
        <v>484</v>
      </c>
      <c r="AC86" s="188"/>
      <c r="AD86" s="188"/>
      <c r="AE86" s="188">
        <v>225</v>
      </c>
      <c r="AF86" s="188"/>
      <c r="AG86" s="188"/>
      <c r="AH86" s="188"/>
      <c r="AI86" s="188"/>
      <c r="AJ86" s="188">
        <v>225</v>
      </c>
      <c r="AK86" s="217"/>
      <c r="AL86" s="221">
        <f>VLOOKUP(AA86,pgdp!$A$13:$C$90,3,FALSE)</f>
        <v>0.9240281714268912</v>
      </c>
      <c r="AM86" s="188" t="s">
        <v>344</v>
      </c>
      <c r="AN86" s="188">
        <v>2014</v>
      </c>
      <c r="AO86" s="188" t="s">
        <v>484</v>
      </c>
      <c r="AP86" s="222">
        <f t="shared" si="6"/>
        <v>0</v>
      </c>
      <c r="AQ86" s="222">
        <f t="shared" si="6"/>
        <v>0</v>
      </c>
      <c r="AR86" s="222">
        <f t="shared" si="6"/>
        <v>0.24349906957117262</v>
      </c>
      <c r="AS86" s="222">
        <f t="shared" si="6"/>
        <v>0</v>
      </c>
      <c r="AT86" s="222">
        <f t="shared" si="7"/>
        <v>0</v>
      </c>
      <c r="AU86" s="222">
        <f t="shared" si="7"/>
        <v>0</v>
      </c>
      <c r="AV86" s="222">
        <f t="shared" si="7"/>
        <v>0</v>
      </c>
      <c r="AW86" s="222">
        <f t="shared" si="7"/>
        <v>0.24349906957117262</v>
      </c>
      <c r="AX86" s="217"/>
    </row>
    <row r="87" spans="2:50" s="110" customFormat="1" hidden="1">
      <c r="B87" s="109"/>
      <c r="X87" s="122"/>
      <c r="Y87" s="109"/>
      <c r="Z87" s="188" t="s">
        <v>344</v>
      </c>
      <c r="AA87" s="188">
        <v>2015</v>
      </c>
      <c r="AB87" s="188" t="s">
        <v>459</v>
      </c>
      <c r="AC87" s="188">
        <v>134887</v>
      </c>
      <c r="AD87" s="188">
        <v>196335</v>
      </c>
      <c r="AE87" s="188">
        <v>93875</v>
      </c>
      <c r="AF87" s="188">
        <v>63461</v>
      </c>
      <c r="AG87" s="188">
        <v>5431</v>
      </c>
      <c r="AH87" s="188">
        <v>1127</v>
      </c>
      <c r="AI87" s="188">
        <v>2226</v>
      </c>
      <c r="AJ87" s="188">
        <v>497341</v>
      </c>
      <c r="AK87" s="214"/>
      <c r="AL87" s="221">
        <f>VLOOKUP(AA87,pgdp!$A$13:$C$90,3,FALSE)</f>
        <v>0.9351696664966358</v>
      </c>
      <c r="AM87" s="188" t="s">
        <v>344</v>
      </c>
      <c r="AN87" s="188">
        <v>2015</v>
      </c>
      <c r="AO87" s="188" t="s">
        <v>459</v>
      </c>
      <c r="AP87" s="222">
        <f t="shared" si="6"/>
        <v>144.23799748051948</v>
      </c>
      <c r="AQ87" s="222">
        <f t="shared" si="6"/>
        <v>209.94586012987011</v>
      </c>
      <c r="AR87" s="222">
        <f t="shared" si="6"/>
        <v>100.3828538961039</v>
      </c>
      <c r="AS87" s="222">
        <f t="shared" si="6"/>
        <v>67.860413220779222</v>
      </c>
      <c r="AT87" s="222">
        <f t="shared" si="7"/>
        <v>5.807502311688312</v>
      </c>
      <c r="AU87" s="222">
        <f t="shared" si="7"/>
        <v>1.205128909090909</v>
      </c>
      <c r="AV87" s="222">
        <f t="shared" si="7"/>
        <v>2.3803167272727275</v>
      </c>
      <c r="AW87" s="222">
        <f t="shared" si="7"/>
        <v>531.81900335064938</v>
      </c>
      <c r="AX87" s="214"/>
    </row>
    <row r="88" spans="2:50" s="110" customFormat="1" hidden="1">
      <c r="B88" s="109"/>
      <c r="X88" s="119"/>
      <c r="Y88" s="120"/>
      <c r="Z88" s="188" t="s">
        <v>344</v>
      </c>
      <c r="AA88" s="188">
        <v>2015</v>
      </c>
      <c r="AB88" s="188" t="s">
        <v>485</v>
      </c>
      <c r="AC88" s="188">
        <v>4775</v>
      </c>
      <c r="AD88" s="188">
        <v>49483</v>
      </c>
      <c r="AE88" s="188">
        <v>8217</v>
      </c>
      <c r="AF88" s="188">
        <v>286</v>
      </c>
      <c r="AG88" s="188">
        <v>221</v>
      </c>
      <c r="AH88" s="188"/>
      <c r="AI88" s="188"/>
      <c r="AJ88" s="188">
        <v>62983</v>
      </c>
      <c r="AK88" s="217"/>
      <c r="AL88" s="221">
        <f>VLOOKUP(AA88,pgdp!$A$13:$C$90,3,FALSE)</f>
        <v>0.9351696664966358</v>
      </c>
      <c r="AM88" s="188" t="s">
        <v>344</v>
      </c>
      <c r="AN88" s="188">
        <v>2015</v>
      </c>
      <c r="AO88" s="188" t="s">
        <v>485</v>
      </c>
      <c r="AP88" s="222">
        <f t="shared" si="6"/>
        <v>5.1060253246753247</v>
      </c>
      <c r="AQ88" s="222">
        <f t="shared" si="6"/>
        <v>52.913392909090909</v>
      </c>
      <c r="AR88" s="222">
        <f t="shared" si="6"/>
        <v>8.7866408571428565</v>
      </c>
      <c r="AS88" s="222">
        <f t="shared" si="6"/>
        <v>0.30582685714285712</v>
      </c>
      <c r="AT88" s="222">
        <f t="shared" si="7"/>
        <v>0.23632075324675325</v>
      </c>
      <c r="AU88" s="222">
        <f t="shared" si="7"/>
        <v>0</v>
      </c>
      <c r="AV88" s="222">
        <f t="shared" si="7"/>
        <v>0</v>
      </c>
      <c r="AW88" s="222">
        <f t="shared" si="7"/>
        <v>67.349276025974035</v>
      </c>
      <c r="AX88" s="217"/>
    </row>
    <row r="89" spans="2:50" s="110" customFormat="1" hidden="1">
      <c r="B89" s="109"/>
      <c r="X89" s="122"/>
      <c r="Y89" s="109"/>
      <c r="Z89" s="188" t="s">
        <v>344</v>
      </c>
      <c r="AA89" s="188">
        <v>2015</v>
      </c>
      <c r="AB89" s="188" t="s">
        <v>486</v>
      </c>
      <c r="AC89" s="188"/>
      <c r="AD89" s="188"/>
      <c r="AE89" s="188">
        <v>17</v>
      </c>
      <c r="AF89" s="188">
        <v>95</v>
      </c>
      <c r="AG89" s="188"/>
      <c r="AH89" s="188"/>
      <c r="AI89" s="188"/>
      <c r="AJ89" s="188">
        <v>112</v>
      </c>
      <c r="AK89" s="214"/>
      <c r="AL89" s="221">
        <f>VLOOKUP(AA89,pgdp!$A$13:$C$90,3,FALSE)</f>
        <v>0.9351696664966358</v>
      </c>
      <c r="AM89" s="188" t="s">
        <v>344</v>
      </c>
      <c r="AN89" s="188">
        <v>2015</v>
      </c>
      <c r="AO89" s="188" t="s">
        <v>486</v>
      </c>
      <c r="AP89" s="222">
        <f t="shared" si="6"/>
        <v>0</v>
      </c>
      <c r="AQ89" s="222">
        <f t="shared" si="6"/>
        <v>0</v>
      </c>
      <c r="AR89" s="222">
        <f t="shared" si="6"/>
        <v>1.8178519480519479E-2</v>
      </c>
      <c r="AS89" s="222">
        <f t="shared" si="6"/>
        <v>0.10158584415584415</v>
      </c>
      <c r="AT89" s="222">
        <f t="shared" si="7"/>
        <v>0</v>
      </c>
      <c r="AU89" s="222">
        <f t="shared" si="7"/>
        <v>0</v>
      </c>
      <c r="AV89" s="222">
        <f t="shared" si="7"/>
        <v>0</v>
      </c>
      <c r="AW89" s="222">
        <f t="shared" si="7"/>
        <v>0.11976436363636364</v>
      </c>
      <c r="AX89" s="217"/>
    </row>
    <row r="90" spans="2:50" s="110" customFormat="1" hidden="1">
      <c r="B90" s="109"/>
      <c r="X90" s="119"/>
      <c r="Y90" s="120"/>
      <c r="Z90" s="188" t="s">
        <v>344</v>
      </c>
      <c r="AA90" s="188">
        <v>2016</v>
      </c>
      <c r="AB90" s="188" t="s">
        <v>459</v>
      </c>
      <c r="AC90" s="188">
        <v>135396</v>
      </c>
      <c r="AD90" s="188">
        <v>197153</v>
      </c>
      <c r="AE90" s="188">
        <v>110454</v>
      </c>
      <c r="AF90" s="188">
        <v>68907</v>
      </c>
      <c r="AG90" s="188">
        <v>6927</v>
      </c>
      <c r="AH90" s="188">
        <v>1251</v>
      </c>
      <c r="AI90" s="188">
        <v>1262</v>
      </c>
      <c r="AJ90" s="188">
        <v>521350</v>
      </c>
      <c r="AK90" s="217"/>
      <c r="AL90" s="221">
        <f>VLOOKUP(AA90,pgdp!$A$13:$C$90,3,FALSE)</f>
        <v>0.94602138468179731</v>
      </c>
      <c r="AM90" s="188" t="s">
        <v>344</v>
      </c>
      <c r="AN90" s="188">
        <v>2016</v>
      </c>
      <c r="AO90" s="188" t="s">
        <v>459</v>
      </c>
      <c r="AP90" s="222">
        <f t="shared" si="6"/>
        <v>143.12150041464616</v>
      </c>
      <c r="AQ90" s="222">
        <f t="shared" si="6"/>
        <v>208.40226573346877</v>
      </c>
      <c r="AR90" s="222">
        <f t="shared" si="6"/>
        <v>116.75634588022783</v>
      </c>
      <c r="AS90" s="222">
        <f t="shared" si="6"/>
        <v>72.838734003013556</v>
      </c>
      <c r="AT90" s="222">
        <f t="shared" si="7"/>
        <v>7.3222446259287874</v>
      </c>
      <c r="AU90" s="222">
        <f t="shared" si="7"/>
        <v>1.3223802550941117</v>
      </c>
      <c r="AV90" s="222">
        <f t="shared" si="7"/>
        <v>1.3340078992236364</v>
      </c>
      <c r="AW90" s="222">
        <f t="shared" si="7"/>
        <v>551.09747881160297</v>
      </c>
      <c r="AX90" s="214"/>
    </row>
    <row r="91" spans="2:50" s="110" customFormat="1" hidden="1">
      <c r="B91" s="109"/>
      <c r="X91" s="122"/>
      <c r="Y91" s="109"/>
      <c r="Z91" s="188" t="s">
        <v>344</v>
      </c>
      <c r="AA91" s="188">
        <v>2016</v>
      </c>
      <c r="AB91" s="188" t="s">
        <v>487</v>
      </c>
      <c r="AC91" s="188">
        <v>3180</v>
      </c>
      <c r="AD91" s="188">
        <v>47154</v>
      </c>
      <c r="AE91" s="188">
        <v>8363</v>
      </c>
      <c r="AF91" s="188">
        <v>242</v>
      </c>
      <c r="AG91" s="188">
        <v>0</v>
      </c>
      <c r="AH91" s="188">
        <v>0</v>
      </c>
      <c r="AI91" s="188">
        <v>3</v>
      </c>
      <c r="AJ91" s="188">
        <v>58942</v>
      </c>
      <c r="AK91" s="217"/>
      <c r="AL91" s="221">
        <f>VLOOKUP(AA91,pgdp!$A$13:$C$90,3,FALSE)</f>
        <v>0.94602138468179731</v>
      </c>
      <c r="AM91" s="188" t="s">
        <v>344</v>
      </c>
      <c r="AN91" s="188">
        <v>2016</v>
      </c>
      <c r="AO91" s="188" t="s">
        <v>487</v>
      </c>
      <c r="AP91" s="222">
        <f t="shared" si="6"/>
        <v>3.3614462119898283</v>
      </c>
      <c r="AQ91" s="222">
        <f t="shared" si="6"/>
        <v>49.844539207600114</v>
      </c>
      <c r="AR91" s="222">
        <f t="shared" si="6"/>
        <v>8.8401807141103586</v>
      </c>
      <c r="AS91" s="222">
        <f t="shared" si="6"/>
        <v>0.25580817084954038</v>
      </c>
      <c r="AT91" s="222">
        <f t="shared" si="7"/>
        <v>0</v>
      </c>
      <c r="AU91" s="222">
        <f t="shared" si="7"/>
        <v>0</v>
      </c>
      <c r="AV91" s="222">
        <f t="shared" si="7"/>
        <v>3.1711756716885173E-3</v>
      </c>
      <c r="AW91" s="222">
        <f t="shared" si="7"/>
        <v>62.305145480221533</v>
      </c>
      <c r="AX91" s="217"/>
    </row>
    <row r="92" spans="2:50" s="110" customFormat="1" hidden="1">
      <c r="B92" s="109"/>
      <c r="X92" s="119"/>
      <c r="Y92" s="120"/>
      <c r="Z92" s="188" t="s">
        <v>344</v>
      </c>
      <c r="AA92" s="188">
        <v>2017</v>
      </c>
      <c r="AB92" s="188" t="s">
        <v>459</v>
      </c>
      <c r="AC92" s="188">
        <v>135626</v>
      </c>
      <c r="AD92" s="188">
        <v>197935</v>
      </c>
      <c r="AE92" s="188">
        <v>108048</v>
      </c>
      <c r="AF92" s="188">
        <v>72067</v>
      </c>
      <c r="AG92" s="188">
        <v>6475</v>
      </c>
      <c r="AH92" s="188">
        <v>1251</v>
      </c>
      <c r="AI92" s="188">
        <v>2071</v>
      </c>
      <c r="AJ92" s="188">
        <v>523473</v>
      </c>
      <c r="AK92" s="214"/>
      <c r="AL92" s="221">
        <f>VLOOKUP(AA92,pgdp!$A$13:$C$90,3,FALSE)</f>
        <v>0.96224036736890672</v>
      </c>
      <c r="AM92" s="188" t="s">
        <v>344</v>
      </c>
      <c r="AN92" s="188">
        <v>2017</v>
      </c>
      <c r="AO92" s="188" t="s">
        <v>459</v>
      </c>
      <c r="AP92" s="222">
        <f t="shared" si="6"/>
        <v>140.94815037831737</v>
      </c>
      <c r="AQ92" s="222">
        <f t="shared" si="6"/>
        <v>205.70224105357562</v>
      </c>
      <c r="AR92" s="222">
        <f t="shared" si="6"/>
        <v>112.28795180921382</v>
      </c>
      <c r="AS92" s="222">
        <f t="shared" si="6"/>
        <v>74.895007987511207</v>
      </c>
      <c r="AT92" s="222">
        <f t="shared" si="7"/>
        <v>6.7290878865380153</v>
      </c>
      <c r="AU92" s="222">
        <f t="shared" si="7"/>
        <v>1.3000909569203176</v>
      </c>
      <c r="AV92" s="222">
        <f t="shared" si="7"/>
        <v>2.1522688823197269</v>
      </c>
      <c r="AW92" s="222">
        <f t="shared" si="7"/>
        <v>544.01479895439604</v>
      </c>
      <c r="AX92" s="217"/>
    </row>
    <row r="93" spans="2:50" s="110" customFormat="1" hidden="1">
      <c r="B93" s="109"/>
      <c r="X93" s="122"/>
      <c r="Y93" s="109"/>
      <c r="Z93" s="188" t="s">
        <v>344</v>
      </c>
      <c r="AA93" s="188">
        <v>2017</v>
      </c>
      <c r="AB93" s="188" t="s">
        <v>488</v>
      </c>
      <c r="AC93" s="188">
        <v>3752</v>
      </c>
      <c r="AD93" s="188">
        <v>60135</v>
      </c>
      <c r="AE93" s="188">
        <v>16271</v>
      </c>
      <c r="AF93" s="188">
        <v>1534</v>
      </c>
      <c r="AG93" s="188">
        <v>420</v>
      </c>
      <c r="AH93" s="188">
        <v>0</v>
      </c>
      <c r="AI93" s="188">
        <v>378</v>
      </c>
      <c r="AJ93" s="188">
        <v>82490</v>
      </c>
      <c r="AK93" s="217"/>
      <c r="AL93" s="221">
        <f>VLOOKUP(AA93,pgdp!$A$13:$C$90,3,FALSE)</f>
        <v>0.96224036736890672</v>
      </c>
      <c r="AM93" s="188" t="s">
        <v>344</v>
      </c>
      <c r="AN93" s="188">
        <v>2017</v>
      </c>
      <c r="AO93" s="188" t="s">
        <v>488</v>
      </c>
      <c r="AP93" s="222">
        <f t="shared" si="6"/>
        <v>3.8992336293885153</v>
      </c>
      <c r="AQ93" s="222">
        <f t="shared" si="6"/>
        <v>62.494779931577384</v>
      </c>
      <c r="AR93" s="222">
        <f t="shared" si="6"/>
        <v>16.909496370943639</v>
      </c>
      <c r="AS93" s="222">
        <f t="shared" si="6"/>
        <v>1.5941962653203574</v>
      </c>
      <c r="AT93" s="222">
        <f t="shared" si="7"/>
        <v>0.43648137642408752</v>
      </c>
      <c r="AU93" s="222">
        <f t="shared" si="7"/>
        <v>0</v>
      </c>
      <c r="AV93" s="222">
        <f t="shared" si="7"/>
        <v>0.39283323878167875</v>
      </c>
      <c r="AW93" s="222">
        <f t="shared" si="7"/>
        <v>85.727020812435654</v>
      </c>
      <c r="AX93" s="214"/>
    </row>
    <row r="94" spans="2:50" s="110" customFormat="1" hidden="1">
      <c r="B94" s="109"/>
      <c r="X94" s="122"/>
      <c r="Y94" s="109"/>
      <c r="Z94" s="188" t="s">
        <v>344</v>
      </c>
      <c r="AA94" s="188">
        <v>2018</v>
      </c>
      <c r="AB94" s="188" t="s">
        <v>459</v>
      </c>
      <c r="AC94" s="188">
        <v>135965</v>
      </c>
      <c r="AD94" s="188">
        <v>199670</v>
      </c>
      <c r="AE94" s="188">
        <v>107134</v>
      </c>
      <c r="AF94" s="188">
        <v>71767</v>
      </c>
      <c r="AG94" s="188">
        <v>6448</v>
      </c>
      <c r="AH94" s="188">
        <v>1243</v>
      </c>
      <c r="AI94" s="188">
        <v>1501</v>
      </c>
      <c r="AJ94" s="188">
        <v>523728</v>
      </c>
      <c r="AK94" s="214"/>
      <c r="AL94" s="221">
        <f>VLOOKUP(AA94,pgdp!$A$13:$C$90,3,FALSE)</f>
        <v>0.9807153483309915</v>
      </c>
      <c r="AM94" s="188" t="s">
        <v>344</v>
      </c>
      <c r="AN94" s="188">
        <v>2018</v>
      </c>
      <c r="AO94" s="188" t="s">
        <v>459</v>
      </c>
      <c r="AP94" s="222">
        <f t="shared" si="6"/>
        <v>138.63859705202842</v>
      </c>
      <c r="AQ94" s="222">
        <f t="shared" si="6"/>
        <v>203.59628340660103</v>
      </c>
      <c r="AR94" s="222">
        <f t="shared" si="6"/>
        <v>109.24066823500173</v>
      </c>
      <c r="AS94" s="222">
        <f t="shared" si="6"/>
        <v>73.178216413289618</v>
      </c>
      <c r="AT94" s="222">
        <f t="shared" si="7"/>
        <v>6.5747925847937267</v>
      </c>
      <c r="AU94" s="222">
        <f t="shared" si="7"/>
        <v>1.2674421809706271</v>
      </c>
      <c r="AV94" s="222">
        <f t="shared" si="7"/>
        <v>1.5305154574713686</v>
      </c>
      <c r="AW94" s="222">
        <f t="shared" si="7"/>
        <v>534.0265153301566</v>
      </c>
      <c r="AX94" s="217"/>
    </row>
    <row r="95" spans="2:50" s="110" customFormat="1" hidden="1">
      <c r="B95" s="109"/>
      <c r="X95" s="119"/>
      <c r="Y95" s="120"/>
      <c r="Z95" s="188" t="s">
        <v>344</v>
      </c>
      <c r="AA95" s="188">
        <v>2018</v>
      </c>
      <c r="AB95" s="188" t="s">
        <v>489</v>
      </c>
      <c r="AC95" s="188">
        <v>3839</v>
      </c>
      <c r="AD95" s="188">
        <v>61258</v>
      </c>
      <c r="AE95" s="188">
        <v>15998</v>
      </c>
      <c r="AF95" s="188">
        <v>1479</v>
      </c>
      <c r="AG95" s="188">
        <v>432</v>
      </c>
      <c r="AH95" s="188">
        <v>0</v>
      </c>
      <c r="AI95" s="188">
        <v>426</v>
      </c>
      <c r="AJ95" s="188">
        <v>83431</v>
      </c>
      <c r="AK95" s="217"/>
      <c r="AL95" s="221">
        <f>VLOOKUP(AA95,pgdp!$A$13:$C$90,3,FALSE)</f>
        <v>0.9807153483309915</v>
      </c>
      <c r="AM95" s="188" t="s">
        <v>344</v>
      </c>
      <c r="AN95" s="188">
        <v>2018</v>
      </c>
      <c r="AO95" s="188" t="s">
        <v>489</v>
      </c>
      <c r="AP95" s="222">
        <f t="shared" si="6"/>
        <v>3.9144895677765379</v>
      </c>
      <c r="AQ95" s="222">
        <f t="shared" si="6"/>
        <v>62.462568883265213</v>
      </c>
      <c r="AR95" s="222">
        <f t="shared" si="6"/>
        <v>16.312582470770788</v>
      </c>
      <c r="AS95" s="222">
        <f t="shared" si="6"/>
        <v>1.5080828524984369</v>
      </c>
      <c r="AT95" s="222">
        <f t="shared" si="7"/>
        <v>0.44049478855938123</v>
      </c>
      <c r="AU95" s="222">
        <f t="shared" si="7"/>
        <v>0</v>
      </c>
      <c r="AV95" s="222">
        <f t="shared" si="7"/>
        <v>0.43437680538494539</v>
      </c>
      <c r="AW95" s="222">
        <f t="shared" si="7"/>
        <v>85.071575704392899</v>
      </c>
      <c r="AX95" s="214"/>
    </row>
    <row r="96" spans="2:50" s="110" customFormat="1" hidden="1">
      <c r="B96" s="109"/>
      <c r="X96" s="122"/>
      <c r="Y96" s="109"/>
      <c r="Z96" s="188" t="s">
        <v>344</v>
      </c>
      <c r="AA96" s="188">
        <v>2018</v>
      </c>
      <c r="AB96" s="188" t="s">
        <v>490</v>
      </c>
      <c r="AC96" s="188">
        <v>0</v>
      </c>
      <c r="AD96" s="188">
        <v>716</v>
      </c>
      <c r="AE96" s="188">
        <v>2423</v>
      </c>
      <c r="AF96" s="188">
        <v>1347</v>
      </c>
      <c r="AG96" s="188">
        <v>200</v>
      </c>
      <c r="AH96" s="188">
        <v>0</v>
      </c>
      <c r="AI96" s="188">
        <v>0</v>
      </c>
      <c r="AJ96" s="188">
        <v>4686</v>
      </c>
      <c r="AK96" s="214"/>
      <c r="AL96" s="221">
        <f>VLOOKUP(AA96,pgdp!$A$13:$C$90,3,FALSE)</f>
        <v>0.9807153483309915</v>
      </c>
      <c r="AM96" s="188" t="s">
        <v>344</v>
      </c>
      <c r="AN96" s="188">
        <v>2018</v>
      </c>
      <c r="AO96" s="188" t="s">
        <v>490</v>
      </c>
      <c r="AP96" s="222">
        <f t="shared" si="6"/>
        <v>0</v>
      </c>
      <c r="AQ96" s="222">
        <f t="shared" si="6"/>
        <v>0.73007932548267807</v>
      </c>
      <c r="AR96" s="222">
        <f t="shared" si="6"/>
        <v>2.4706455386096775</v>
      </c>
      <c r="AS96" s="222">
        <f t="shared" si="6"/>
        <v>1.3734872226608483</v>
      </c>
      <c r="AT96" s="222">
        <f t="shared" si="7"/>
        <v>0.20393277248119501</v>
      </c>
      <c r="AU96" s="222">
        <f t="shared" si="7"/>
        <v>0</v>
      </c>
      <c r="AV96" s="222">
        <f t="shared" si="7"/>
        <v>0</v>
      </c>
      <c r="AW96" s="222">
        <f t="shared" si="7"/>
        <v>4.7781448592343985</v>
      </c>
      <c r="AX96" s="217"/>
    </row>
    <row r="97" spans="2:50" s="110" customFormat="1" hidden="1">
      <c r="B97" s="109"/>
      <c r="X97" s="119"/>
      <c r="Y97" s="120"/>
      <c r="Z97" s="188" t="s">
        <v>344</v>
      </c>
      <c r="AA97" s="188">
        <v>2019</v>
      </c>
      <c r="AB97" s="188" t="s">
        <v>459</v>
      </c>
      <c r="AC97" s="188">
        <v>148222</v>
      </c>
      <c r="AD97" s="188">
        <v>234232</v>
      </c>
      <c r="AE97" s="188">
        <v>131558</v>
      </c>
      <c r="AF97" s="188">
        <v>91057</v>
      </c>
      <c r="AG97" s="188">
        <v>8880</v>
      </c>
      <c r="AH97" s="188">
        <v>1583</v>
      </c>
      <c r="AI97" s="188">
        <v>1542</v>
      </c>
      <c r="AJ97" s="188">
        <v>617074</v>
      </c>
      <c r="AK97" s="217"/>
      <c r="AL97" s="221">
        <f>VLOOKUP(AA97,pgdp!$A$13:$C$90,3,FALSE)</f>
        <v>1</v>
      </c>
      <c r="AM97" s="188" t="s">
        <v>344</v>
      </c>
      <c r="AN97" s="188">
        <v>2019</v>
      </c>
      <c r="AO97" s="188" t="s">
        <v>459</v>
      </c>
      <c r="AP97" s="222">
        <f t="shared" si="6"/>
        <v>148.22200000000001</v>
      </c>
      <c r="AQ97" s="222">
        <f t="shared" si="6"/>
        <v>234.232</v>
      </c>
      <c r="AR97" s="222">
        <f t="shared" si="6"/>
        <v>131.55799999999999</v>
      </c>
      <c r="AS97" s="222">
        <f t="shared" si="6"/>
        <v>91.057000000000002</v>
      </c>
      <c r="AT97" s="222">
        <f t="shared" si="7"/>
        <v>8.8800000000000008</v>
      </c>
      <c r="AU97" s="222">
        <f t="shared" si="7"/>
        <v>1.583</v>
      </c>
      <c r="AV97" s="222">
        <f t="shared" si="7"/>
        <v>1.542</v>
      </c>
      <c r="AW97" s="222">
        <f t="shared" si="7"/>
        <v>617.07399999999996</v>
      </c>
      <c r="AX97" s="214"/>
    </row>
    <row r="98" spans="2:50" s="121" customFormat="1" hidden="1">
      <c r="B98" s="109"/>
      <c r="X98" s="122"/>
      <c r="Y98" s="109"/>
      <c r="Z98" s="188" t="s">
        <v>344</v>
      </c>
      <c r="AA98" s="188">
        <v>2019</v>
      </c>
      <c r="AB98" s="188" t="s">
        <v>491</v>
      </c>
      <c r="AC98" s="188">
        <v>4661</v>
      </c>
      <c r="AD98" s="188">
        <v>49313</v>
      </c>
      <c r="AE98" s="188">
        <v>12782</v>
      </c>
      <c r="AF98" s="188">
        <v>1308</v>
      </c>
      <c r="AG98" s="188">
        <v>921</v>
      </c>
      <c r="AH98" s="188">
        <v>0</v>
      </c>
      <c r="AI98" s="188">
        <v>15</v>
      </c>
      <c r="AJ98" s="188">
        <v>69000</v>
      </c>
      <c r="AK98" s="217"/>
      <c r="AL98" s="221">
        <f>VLOOKUP(AA98,pgdp!$A$13:$C$90,3,FALSE)</f>
        <v>1</v>
      </c>
      <c r="AM98" s="188" t="s">
        <v>344</v>
      </c>
      <c r="AN98" s="188">
        <v>2019</v>
      </c>
      <c r="AO98" s="188" t="s">
        <v>491</v>
      </c>
      <c r="AP98" s="222">
        <f t="shared" si="6"/>
        <v>4.6609999999999996</v>
      </c>
      <c r="AQ98" s="222">
        <f t="shared" si="6"/>
        <v>49.313000000000002</v>
      </c>
      <c r="AR98" s="222">
        <f t="shared" si="6"/>
        <v>12.782</v>
      </c>
      <c r="AS98" s="222">
        <f t="shared" si="6"/>
        <v>1.3080000000000001</v>
      </c>
      <c r="AT98" s="222">
        <f t="shared" si="7"/>
        <v>0.92100000000000004</v>
      </c>
      <c r="AU98" s="222">
        <f t="shared" si="7"/>
        <v>0</v>
      </c>
      <c r="AV98" s="222">
        <f t="shared" si="7"/>
        <v>1.4999999999999999E-2</v>
      </c>
      <c r="AW98" s="222">
        <f t="shared" si="7"/>
        <v>69</v>
      </c>
      <c r="AX98" s="217"/>
    </row>
    <row r="99" spans="2:50" s="121" customFormat="1" hidden="1">
      <c r="B99" s="109"/>
      <c r="X99" s="119"/>
      <c r="Y99" s="120"/>
      <c r="Z99" s="188" t="s">
        <v>11</v>
      </c>
      <c r="AA99" s="188">
        <v>2001</v>
      </c>
      <c r="AB99" s="188" t="s">
        <v>459</v>
      </c>
      <c r="AC99" s="188">
        <v>28837</v>
      </c>
      <c r="AD99" s="188">
        <v>25507</v>
      </c>
      <c r="AE99" s="188">
        <v>11849</v>
      </c>
      <c r="AF99" s="188">
        <v>6216</v>
      </c>
      <c r="AG99" s="188">
        <v>1591</v>
      </c>
      <c r="AH99" s="188">
        <v>1179</v>
      </c>
      <c r="AI99" s="188">
        <v>12</v>
      </c>
      <c r="AJ99" s="188">
        <v>75191</v>
      </c>
      <c r="AK99" s="214"/>
      <c r="AL99" s="221">
        <f>VLOOKUP(AA99,pgdp!$A$13:$C$90,3,FALSE)</f>
        <v>0.71033050332114134</v>
      </c>
      <c r="AM99" s="188" t="s">
        <v>11</v>
      </c>
      <c r="AN99" s="188">
        <v>2001</v>
      </c>
      <c r="AO99" s="188" t="s">
        <v>459</v>
      </c>
      <c r="AP99" s="222">
        <f t="shared" si="6"/>
        <v>40.596595338610648</v>
      </c>
      <c r="AQ99" s="222">
        <f t="shared" si="6"/>
        <v>35.908636727188743</v>
      </c>
      <c r="AR99" s="222">
        <f t="shared" si="6"/>
        <v>16.680967443464905</v>
      </c>
      <c r="AS99" s="222">
        <f t="shared" si="6"/>
        <v>8.7508560746542212</v>
      </c>
      <c r="AT99" s="222">
        <f t="shared" si="7"/>
        <v>2.2398024476793545</v>
      </c>
      <c r="AU99" s="222">
        <f t="shared" si="7"/>
        <v>1.6597907516115391</v>
      </c>
      <c r="AV99" s="222">
        <f t="shared" si="7"/>
        <v>1.6893544545664517E-2</v>
      </c>
      <c r="AW99" s="222">
        <f t="shared" si="7"/>
        <v>105.85354232775508</v>
      </c>
      <c r="AX99" s="217"/>
    </row>
    <row r="100" spans="2:50" s="110" customFormat="1" hidden="1">
      <c r="B100" s="109"/>
      <c r="X100" s="122"/>
      <c r="Y100" s="109"/>
      <c r="Z100" s="188" t="s">
        <v>11</v>
      </c>
      <c r="AA100" s="188">
        <v>2001</v>
      </c>
      <c r="AB100" s="188" t="s">
        <v>460</v>
      </c>
      <c r="AC100" s="188"/>
      <c r="AD100" s="188"/>
      <c r="AE100" s="188"/>
      <c r="AF100" s="188"/>
      <c r="AG100" s="188"/>
      <c r="AH100" s="188"/>
      <c r="AI100" s="188"/>
      <c r="AJ100" s="188">
        <v>0</v>
      </c>
      <c r="AK100" s="217"/>
      <c r="AL100" s="221">
        <f>VLOOKUP(AA100,pgdp!$A$13:$C$90,3,FALSE)</f>
        <v>0.71033050332114134</v>
      </c>
      <c r="AM100" s="188" t="s">
        <v>11</v>
      </c>
      <c r="AN100" s="188">
        <v>2001</v>
      </c>
      <c r="AO100" s="188" t="s">
        <v>460</v>
      </c>
      <c r="AP100" s="222">
        <f t="shared" si="6"/>
        <v>0</v>
      </c>
      <c r="AQ100" s="222">
        <f t="shared" si="6"/>
        <v>0</v>
      </c>
      <c r="AR100" s="222">
        <f t="shared" si="6"/>
        <v>0</v>
      </c>
      <c r="AS100" s="222">
        <f t="shared" si="6"/>
        <v>0</v>
      </c>
      <c r="AT100" s="222">
        <f t="shared" si="7"/>
        <v>0</v>
      </c>
      <c r="AU100" s="222">
        <f t="shared" si="7"/>
        <v>0</v>
      </c>
      <c r="AV100" s="222">
        <f t="shared" si="7"/>
        <v>0</v>
      </c>
      <c r="AW100" s="222">
        <f t="shared" si="7"/>
        <v>0</v>
      </c>
      <c r="AX100" s="214"/>
    </row>
    <row r="101" spans="2:50" s="110" customFormat="1" hidden="1">
      <c r="B101" s="109"/>
      <c r="X101" s="122"/>
      <c r="Y101" s="109"/>
      <c r="Z101" s="188" t="s">
        <v>11</v>
      </c>
      <c r="AA101" s="188">
        <v>2001</v>
      </c>
      <c r="AB101" s="188" t="s">
        <v>461</v>
      </c>
      <c r="AC101" s="188">
        <v>222</v>
      </c>
      <c r="AD101" s="188">
        <v>865</v>
      </c>
      <c r="AE101" s="188">
        <v>7</v>
      </c>
      <c r="AF101" s="188">
        <v>5</v>
      </c>
      <c r="AG101" s="188">
        <v>41</v>
      </c>
      <c r="AH101" s="188">
        <v>26</v>
      </c>
      <c r="AI101" s="188"/>
      <c r="AJ101" s="188">
        <v>1167</v>
      </c>
      <c r="AK101" s="217"/>
      <c r="AL101" s="221">
        <f>VLOOKUP(AA101,pgdp!$A$13:$C$90,3,FALSE)</f>
        <v>0.71033050332114134</v>
      </c>
      <c r="AM101" s="188" t="s">
        <v>11</v>
      </c>
      <c r="AN101" s="188">
        <v>2001</v>
      </c>
      <c r="AO101" s="188" t="s">
        <v>461</v>
      </c>
      <c r="AP101" s="222">
        <f t="shared" si="6"/>
        <v>0.31253057409479362</v>
      </c>
      <c r="AQ101" s="222">
        <f t="shared" si="6"/>
        <v>1.2177430026666507</v>
      </c>
      <c r="AR101" s="222">
        <f t="shared" si="6"/>
        <v>9.8545676516376361E-3</v>
      </c>
      <c r="AS101" s="222">
        <f t="shared" si="6"/>
        <v>7.0389768940268826E-3</v>
      </c>
      <c r="AT101" s="222">
        <f t="shared" si="7"/>
        <v>5.771961053102044E-2</v>
      </c>
      <c r="AU101" s="222">
        <f t="shared" si="7"/>
        <v>3.6602679848939793E-2</v>
      </c>
      <c r="AV101" s="222">
        <f t="shared" si="7"/>
        <v>0</v>
      </c>
      <c r="AW101" s="222">
        <f t="shared" si="7"/>
        <v>1.6428972070658745</v>
      </c>
      <c r="AX101" s="217"/>
    </row>
    <row r="102" spans="2:50" s="110" customFormat="1" hidden="1">
      <c r="B102" s="109"/>
      <c r="X102" s="119"/>
      <c r="Y102" s="120"/>
      <c r="Z102" s="188" t="s">
        <v>11</v>
      </c>
      <c r="AA102" s="188">
        <v>2002</v>
      </c>
      <c r="AB102" s="188" t="s">
        <v>459</v>
      </c>
      <c r="AC102" s="188">
        <v>32237</v>
      </c>
      <c r="AD102" s="188">
        <v>30966</v>
      </c>
      <c r="AE102" s="188">
        <v>11567</v>
      </c>
      <c r="AF102" s="188">
        <v>7037</v>
      </c>
      <c r="AG102" s="188">
        <v>2458</v>
      </c>
      <c r="AH102" s="188">
        <v>1378</v>
      </c>
      <c r="AI102" s="188">
        <v>167</v>
      </c>
      <c r="AJ102" s="188">
        <v>85810</v>
      </c>
      <c r="AK102" s="214"/>
      <c r="AL102" s="221">
        <f>VLOOKUP(AA102,pgdp!$A$13:$C$90,3,FALSE)</f>
        <v>0.72177029812501559</v>
      </c>
      <c r="AM102" s="188" t="s">
        <v>11</v>
      </c>
      <c r="AN102" s="188">
        <v>2002</v>
      </c>
      <c r="AO102" s="188" t="s">
        <v>459</v>
      </c>
      <c r="AP102" s="222">
        <f t="shared" si="6"/>
        <v>44.663794123620654</v>
      </c>
      <c r="AQ102" s="222">
        <f t="shared" si="6"/>
        <v>42.902846072278351</v>
      </c>
      <c r="AR102" s="222">
        <f t="shared" si="6"/>
        <v>16.025874201318985</v>
      </c>
      <c r="AS102" s="222">
        <f t="shared" si="6"/>
        <v>9.7496392110903187</v>
      </c>
      <c r="AT102" s="222">
        <f t="shared" si="7"/>
        <v>3.405515586309507</v>
      </c>
      <c r="AU102" s="222">
        <f t="shared" si="7"/>
        <v>1.9091946614867779</v>
      </c>
      <c r="AV102" s="222">
        <f t="shared" si="7"/>
        <v>0.23137555041240343</v>
      </c>
      <c r="AW102" s="222">
        <f t="shared" si="7"/>
        <v>118.88823940651699</v>
      </c>
      <c r="AX102" s="214"/>
    </row>
    <row r="103" spans="2:50" s="110" customFormat="1" hidden="1">
      <c r="B103" s="109"/>
      <c r="X103" s="122"/>
      <c r="Y103" s="109"/>
      <c r="Z103" s="188" t="s">
        <v>11</v>
      </c>
      <c r="AA103" s="188">
        <v>2002</v>
      </c>
      <c r="AB103" s="188" t="s">
        <v>462</v>
      </c>
      <c r="AC103" s="188"/>
      <c r="AD103" s="188">
        <v>107</v>
      </c>
      <c r="AE103" s="188">
        <v>57</v>
      </c>
      <c r="AF103" s="188">
        <v>-7</v>
      </c>
      <c r="AG103" s="188">
        <v>56</v>
      </c>
      <c r="AH103" s="188"/>
      <c r="AI103" s="188"/>
      <c r="AJ103" s="188">
        <v>213</v>
      </c>
      <c r="AK103" s="217"/>
      <c r="AL103" s="221">
        <f>VLOOKUP(AA103,pgdp!$A$13:$C$90,3,FALSE)</f>
        <v>0.72177029812501559</v>
      </c>
      <c r="AM103" s="188" t="s">
        <v>11</v>
      </c>
      <c r="AN103" s="188">
        <v>2002</v>
      </c>
      <c r="AO103" s="188" t="s">
        <v>462</v>
      </c>
      <c r="AP103" s="222">
        <f t="shared" si="6"/>
        <v>0</v>
      </c>
      <c r="AQ103" s="222">
        <f t="shared" si="6"/>
        <v>0.14824661014447407</v>
      </c>
      <c r="AR103" s="222">
        <f t="shared" si="6"/>
        <v>7.8972493254532913E-2</v>
      </c>
      <c r="AS103" s="222">
        <f t="shared" si="6"/>
        <v>-9.6983763645917612E-3</v>
      </c>
      <c r="AT103" s="222">
        <f t="shared" si="7"/>
        <v>7.7587010916734089E-2</v>
      </c>
      <c r="AU103" s="222">
        <f t="shared" si="7"/>
        <v>0</v>
      </c>
      <c r="AV103" s="222">
        <f t="shared" si="7"/>
        <v>0</v>
      </c>
      <c r="AW103" s="222">
        <f t="shared" si="7"/>
        <v>0.29510773795114931</v>
      </c>
      <c r="AX103" s="217"/>
    </row>
    <row r="104" spans="2:50" s="110" customFormat="1" hidden="1">
      <c r="B104" s="109"/>
      <c r="X104" s="122"/>
      <c r="Y104" s="109"/>
      <c r="Z104" s="188" t="s">
        <v>11</v>
      </c>
      <c r="AA104" s="188">
        <v>2003</v>
      </c>
      <c r="AB104" s="188" t="s">
        <v>459</v>
      </c>
      <c r="AC104" s="188">
        <v>35534</v>
      </c>
      <c r="AD104" s="188">
        <v>32988</v>
      </c>
      <c r="AE104" s="188">
        <v>14578</v>
      </c>
      <c r="AF104" s="188">
        <v>7559</v>
      </c>
      <c r="AG104" s="188">
        <v>2136</v>
      </c>
      <c r="AH104" s="188">
        <v>1362</v>
      </c>
      <c r="AI104" s="188">
        <v>249</v>
      </c>
      <c r="AJ104" s="188">
        <v>94406</v>
      </c>
      <c r="AK104" s="217"/>
      <c r="AL104" s="221">
        <f>VLOOKUP(AA104,pgdp!$A$13:$C$90,3,FALSE)</f>
        <v>0.73558157581522121</v>
      </c>
      <c r="AM104" s="188" t="s">
        <v>11</v>
      </c>
      <c r="AN104" s="188">
        <v>2003</v>
      </c>
      <c r="AO104" s="188" t="s">
        <v>459</v>
      </c>
      <c r="AP104" s="222">
        <f t="shared" si="6"/>
        <v>48.30735457263026</v>
      </c>
      <c r="AQ104" s="222">
        <f t="shared" si="6"/>
        <v>44.846147707601929</v>
      </c>
      <c r="AR104" s="222">
        <f t="shared" si="6"/>
        <v>19.818332159616254</v>
      </c>
      <c r="AS104" s="222">
        <f t="shared" si="6"/>
        <v>10.276222581598248</v>
      </c>
      <c r="AT104" s="222">
        <f t="shared" si="7"/>
        <v>2.9038247697174042</v>
      </c>
      <c r="AU104" s="222">
        <f t="shared" si="7"/>
        <v>1.8515961312523899</v>
      </c>
      <c r="AV104" s="222">
        <f t="shared" si="7"/>
        <v>0.33850766276200078</v>
      </c>
      <c r="AW104" s="222">
        <f t="shared" si="7"/>
        <v>128.34198558517849</v>
      </c>
      <c r="AX104" s="214"/>
    </row>
    <row r="105" spans="2:50" s="110" customFormat="1" hidden="1">
      <c r="B105" s="109"/>
      <c r="X105" s="119"/>
      <c r="Y105" s="120"/>
      <c r="Z105" s="188" t="s">
        <v>11</v>
      </c>
      <c r="AA105" s="188">
        <v>2003</v>
      </c>
      <c r="AB105" s="188" t="s">
        <v>463</v>
      </c>
      <c r="AC105" s="188">
        <v>8574</v>
      </c>
      <c r="AD105" s="188">
        <v>17418</v>
      </c>
      <c r="AE105" s="188">
        <v>750</v>
      </c>
      <c r="AF105" s="188">
        <v>12</v>
      </c>
      <c r="AG105" s="188"/>
      <c r="AH105" s="188"/>
      <c r="AI105" s="188"/>
      <c r="AJ105" s="188">
        <v>26754</v>
      </c>
      <c r="AK105" s="217"/>
      <c r="AL105" s="221">
        <f>VLOOKUP(AA105,pgdp!$A$13:$C$90,3,FALSE)</f>
        <v>0.73558157581522121</v>
      </c>
      <c r="AM105" s="188" t="s">
        <v>11</v>
      </c>
      <c r="AN105" s="188">
        <v>2003</v>
      </c>
      <c r="AO105" s="188" t="s">
        <v>463</v>
      </c>
      <c r="AP105" s="222">
        <f t="shared" si="6"/>
        <v>11.656083134624074</v>
      </c>
      <c r="AQ105" s="222">
        <f t="shared" si="6"/>
        <v>23.679222771038273</v>
      </c>
      <c r="AR105" s="222">
        <f t="shared" si="6"/>
        <v>1.0196013938614481</v>
      </c>
      <c r="AS105" s="222">
        <f t="shared" si="6"/>
        <v>1.6313622301783171E-2</v>
      </c>
      <c r="AT105" s="222">
        <f t="shared" si="7"/>
        <v>0</v>
      </c>
      <c r="AU105" s="222">
        <f t="shared" si="7"/>
        <v>0</v>
      </c>
      <c r="AV105" s="222">
        <f t="shared" si="7"/>
        <v>0</v>
      </c>
      <c r="AW105" s="222">
        <f t="shared" si="7"/>
        <v>36.371220921825575</v>
      </c>
      <c r="AX105" s="217"/>
    </row>
    <row r="106" spans="2:50" s="110" customFormat="1" hidden="1">
      <c r="B106" s="109"/>
      <c r="X106" s="122"/>
      <c r="Y106" s="109"/>
      <c r="Z106" s="188" t="s">
        <v>11</v>
      </c>
      <c r="AA106" s="188">
        <v>2004</v>
      </c>
      <c r="AB106" s="188" t="s">
        <v>459</v>
      </c>
      <c r="AC106" s="188">
        <v>35814</v>
      </c>
      <c r="AD106" s="188">
        <v>32849</v>
      </c>
      <c r="AE106" s="188">
        <v>13770</v>
      </c>
      <c r="AF106" s="188">
        <v>10217</v>
      </c>
      <c r="AG106" s="188">
        <v>1731</v>
      </c>
      <c r="AH106" s="188">
        <v>1330</v>
      </c>
      <c r="AI106" s="188">
        <v>219</v>
      </c>
      <c r="AJ106" s="188">
        <v>95930</v>
      </c>
      <c r="AK106" s="214"/>
      <c r="AL106" s="221">
        <f>VLOOKUP(AA106,pgdp!$A$13:$C$90,3,FALSE)</f>
        <v>0.75378638244667995</v>
      </c>
      <c r="AM106" s="188" t="s">
        <v>11</v>
      </c>
      <c r="AN106" s="188">
        <v>2004</v>
      </c>
      <c r="AO106" s="188" t="s">
        <v>459</v>
      </c>
      <c r="AP106" s="222">
        <f t="shared" si="6"/>
        <v>47.512134517146642</v>
      </c>
      <c r="AQ106" s="222">
        <f t="shared" si="6"/>
        <v>43.578659372137992</v>
      </c>
      <c r="AR106" s="222">
        <f t="shared" si="6"/>
        <v>18.267774956751808</v>
      </c>
      <c r="AS106" s="222">
        <f t="shared" si="6"/>
        <v>13.554237961738069</v>
      </c>
      <c r="AT106" s="222">
        <f t="shared" si="7"/>
        <v>2.2964065686374275</v>
      </c>
      <c r="AU106" s="222">
        <f t="shared" si="7"/>
        <v>1.7644256131067468</v>
      </c>
      <c r="AV106" s="222">
        <f t="shared" si="7"/>
        <v>0.29053324005291548</v>
      </c>
      <c r="AW106" s="222">
        <f t="shared" si="7"/>
        <v>127.26417222957159</v>
      </c>
      <c r="AX106" s="217"/>
    </row>
    <row r="107" spans="2:50" s="110" customFormat="1" hidden="1">
      <c r="B107" s="109"/>
      <c r="X107" s="122"/>
      <c r="Y107" s="109"/>
      <c r="Z107" s="188" t="s">
        <v>11</v>
      </c>
      <c r="AA107" s="188">
        <v>2004</v>
      </c>
      <c r="AB107" s="188" t="s">
        <v>464</v>
      </c>
      <c r="AC107" s="188">
        <v>13775</v>
      </c>
      <c r="AD107" s="188">
        <v>38630</v>
      </c>
      <c r="AE107" s="188">
        <v>2160</v>
      </c>
      <c r="AF107" s="188"/>
      <c r="AG107" s="188">
        <v>162</v>
      </c>
      <c r="AH107" s="188">
        <v>11</v>
      </c>
      <c r="AI107" s="188"/>
      <c r="AJ107" s="188">
        <v>54738</v>
      </c>
      <c r="AK107" s="217"/>
      <c r="AL107" s="221">
        <f>VLOOKUP(AA107,pgdp!$A$13:$C$90,3,FALSE)</f>
        <v>0.75378638244667995</v>
      </c>
      <c r="AM107" s="188" t="s">
        <v>11</v>
      </c>
      <c r="AN107" s="188">
        <v>2004</v>
      </c>
      <c r="AO107" s="188" t="s">
        <v>464</v>
      </c>
      <c r="AP107" s="222">
        <f t="shared" si="6"/>
        <v>18.274408135748452</v>
      </c>
      <c r="AQ107" s="222">
        <f t="shared" si="6"/>
        <v>51.247940928055357</v>
      </c>
      <c r="AR107" s="222">
        <f t="shared" si="6"/>
        <v>2.8655333265493033</v>
      </c>
      <c r="AS107" s="222">
        <f t="shared" si="6"/>
        <v>0</v>
      </c>
      <c r="AT107" s="222">
        <f t="shared" si="7"/>
        <v>0.21491499949119774</v>
      </c>
      <c r="AU107" s="222">
        <f t="shared" si="7"/>
        <v>1.4592993792612191E-2</v>
      </c>
      <c r="AV107" s="222">
        <f t="shared" si="7"/>
        <v>0</v>
      </c>
      <c r="AW107" s="222">
        <f t="shared" si="7"/>
        <v>72.617390383636931</v>
      </c>
      <c r="AX107" s="214"/>
    </row>
    <row r="108" spans="2:50" s="110" customFormat="1" hidden="1">
      <c r="B108" s="109"/>
      <c r="X108" s="122"/>
      <c r="Y108" s="109"/>
      <c r="Z108" s="188" t="s">
        <v>11</v>
      </c>
      <c r="AA108" s="188">
        <v>2004</v>
      </c>
      <c r="AB108" s="188" t="s">
        <v>465</v>
      </c>
      <c r="AC108" s="188"/>
      <c r="AD108" s="188">
        <v>47</v>
      </c>
      <c r="AE108" s="188"/>
      <c r="AF108" s="188"/>
      <c r="AG108" s="188"/>
      <c r="AH108" s="188"/>
      <c r="AI108" s="188"/>
      <c r="AJ108" s="188">
        <v>47</v>
      </c>
      <c r="AK108" s="217"/>
      <c r="AL108" s="221">
        <f>VLOOKUP(AA108,pgdp!$A$13:$C$90,3,FALSE)</f>
        <v>0.75378638244667995</v>
      </c>
      <c r="AM108" s="188" t="s">
        <v>11</v>
      </c>
      <c r="AN108" s="188">
        <v>2004</v>
      </c>
      <c r="AO108" s="188" t="s">
        <v>465</v>
      </c>
      <c r="AP108" s="222">
        <f t="shared" si="6"/>
        <v>0</v>
      </c>
      <c r="AQ108" s="222">
        <f t="shared" si="6"/>
        <v>6.2351882568433908E-2</v>
      </c>
      <c r="AR108" s="222">
        <f t="shared" si="6"/>
        <v>0</v>
      </c>
      <c r="AS108" s="222">
        <f t="shared" si="6"/>
        <v>0</v>
      </c>
      <c r="AT108" s="222">
        <f t="shared" si="7"/>
        <v>0</v>
      </c>
      <c r="AU108" s="222">
        <f t="shared" si="7"/>
        <v>0</v>
      </c>
      <c r="AV108" s="222">
        <f t="shared" si="7"/>
        <v>0</v>
      </c>
      <c r="AW108" s="222">
        <f t="shared" si="7"/>
        <v>6.2351882568433908E-2</v>
      </c>
      <c r="AX108" s="217"/>
    </row>
    <row r="109" spans="2:50" s="110" customFormat="1" hidden="1">
      <c r="B109" s="109"/>
      <c r="X109" s="119"/>
      <c r="Y109" s="120"/>
      <c r="Z109" s="188" t="s">
        <v>11</v>
      </c>
      <c r="AA109" s="188">
        <v>2005</v>
      </c>
      <c r="AB109" s="188" t="s">
        <v>459</v>
      </c>
      <c r="AC109" s="188">
        <v>36808</v>
      </c>
      <c r="AD109" s="188">
        <v>34652</v>
      </c>
      <c r="AE109" s="188">
        <v>15337</v>
      </c>
      <c r="AF109" s="188">
        <v>10417</v>
      </c>
      <c r="AG109" s="188">
        <v>2698</v>
      </c>
      <c r="AH109" s="188">
        <v>1528</v>
      </c>
      <c r="AI109" s="188">
        <v>0</v>
      </c>
      <c r="AJ109" s="188">
        <v>101442</v>
      </c>
      <c r="AK109" s="214"/>
      <c r="AL109" s="221">
        <f>VLOOKUP(AA109,pgdp!$A$13:$C$90,3,FALSE)</f>
        <v>0.77750760344715164</v>
      </c>
      <c r="AM109" s="188" t="s">
        <v>11</v>
      </c>
      <c r="AN109" s="188">
        <v>2005</v>
      </c>
      <c r="AO109" s="188" t="s">
        <v>459</v>
      </c>
      <c r="AP109" s="222">
        <f t="shared" si="6"/>
        <v>47.341016135158469</v>
      </c>
      <c r="AQ109" s="222">
        <f t="shared" si="6"/>
        <v>44.568052899247753</v>
      </c>
      <c r="AR109" s="222">
        <f t="shared" si="6"/>
        <v>19.725852110001238</v>
      </c>
      <c r="AS109" s="222">
        <f t="shared" si="6"/>
        <v>13.397939716364535</v>
      </c>
      <c r="AT109" s="222">
        <f t="shared" si="7"/>
        <v>3.4700625280552475</v>
      </c>
      <c r="AU109" s="222">
        <f t="shared" si="7"/>
        <v>1.9652540929831055</v>
      </c>
      <c r="AV109" s="222">
        <f t="shared" si="7"/>
        <v>0</v>
      </c>
      <c r="AW109" s="222">
        <f t="shared" si="7"/>
        <v>130.47074980392159</v>
      </c>
      <c r="AX109" s="217"/>
    </row>
    <row r="110" spans="2:50" s="110" customFormat="1" hidden="1">
      <c r="B110" s="109"/>
      <c r="X110" s="122"/>
      <c r="Y110" s="109"/>
      <c r="Z110" s="188" t="s">
        <v>11</v>
      </c>
      <c r="AA110" s="188">
        <v>2005</v>
      </c>
      <c r="AB110" s="188" t="s">
        <v>466</v>
      </c>
      <c r="AC110" s="188">
        <v>13940</v>
      </c>
      <c r="AD110" s="188">
        <v>24319</v>
      </c>
      <c r="AE110" s="188">
        <v>10101</v>
      </c>
      <c r="AF110" s="188">
        <v>39</v>
      </c>
      <c r="AG110" s="188">
        <v>847</v>
      </c>
      <c r="AH110" s="188"/>
      <c r="AI110" s="188"/>
      <c r="AJ110" s="188">
        <v>49246</v>
      </c>
      <c r="AK110" s="217"/>
      <c r="AL110" s="221">
        <f>VLOOKUP(AA110,pgdp!$A$13:$C$90,3,FALSE)</f>
        <v>0.77750760344715164</v>
      </c>
      <c r="AM110" s="188" t="s">
        <v>11</v>
      </c>
      <c r="AN110" s="188">
        <v>2005</v>
      </c>
      <c r="AO110" s="188" t="s">
        <v>466</v>
      </c>
      <c r="AP110" s="222">
        <f t="shared" si="6"/>
        <v>17.929085115303984</v>
      </c>
      <c r="AQ110" s="222">
        <f t="shared" si="6"/>
        <v>31.278150711555067</v>
      </c>
      <c r="AR110" s="222">
        <f t="shared" si="6"/>
        <v>12.991512822789495</v>
      </c>
      <c r="AS110" s="222">
        <f t="shared" si="6"/>
        <v>5.0160281169071411E-2</v>
      </c>
      <c r="AT110" s="222">
        <f t="shared" si="7"/>
        <v>1.0893784141077816</v>
      </c>
      <c r="AU110" s="222">
        <f t="shared" si="7"/>
        <v>0</v>
      </c>
      <c r="AV110" s="222">
        <f t="shared" si="7"/>
        <v>0</v>
      </c>
      <c r="AW110" s="222">
        <f t="shared" si="7"/>
        <v>63.338287344925398</v>
      </c>
      <c r="AX110" s="214"/>
    </row>
    <row r="111" spans="2:50" s="110" customFormat="1" hidden="1">
      <c r="B111" s="109"/>
      <c r="X111" s="122"/>
      <c r="Y111" s="109"/>
      <c r="Z111" s="188" t="s">
        <v>11</v>
      </c>
      <c r="AA111" s="188">
        <v>2005</v>
      </c>
      <c r="AB111" s="188" t="s">
        <v>467</v>
      </c>
      <c r="AC111" s="188">
        <v>0</v>
      </c>
      <c r="AD111" s="188">
        <v>15</v>
      </c>
      <c r="AE111" s="188"/>
      <c r="AF111" s="188"/>
      <c r="AG111" s="188">
        <v>9</v>
      </c>
      <c r="AH111" s="188">
        <v>1</v>
      </c>
      <c r="AI111" s="188"/>
      <c r="AJ111" s="188">
        <v>24</v>
      </c>
      <c r="AK111" s="214"/>
      <c r="AL111" s="221">
        <f>VLOOKUP(AA111,pgdp!$A$13:$C$90,3,FALSE)</f>
        <v>0.77750760344715164</v>
      </c>
      <c r="AM111" s="188" t="s">
        <v>11</v>
      </c>
      <c r="AN111" s="188">
        <v>2005</v>
      </c>
      <c r="AO111" s="188" t="s">
        <v>467</v>
      </c>
      <c r="AP111" s="222">
        <f t="shared" si="6"/>
        <v>0</v>
      </c>
      <c r="AQ111" s="222">
        <f t="shared" si="6"/>
        <v>1.9292415834258232E-2</v>
      </c>
      <c r="AR111" s="222">
        <f t="shared" si="6"/>
        <v>0</v>
      </c>
      <c r="AS111" s="222">
        <f t="shared" si="6"/>
        <v>0</v>
      </c>
      <c r="AT111" s="222">
        <f t="shared" si="7"/>
        <v>1.1575449500554941E-2</v>
      </c>
      <c r="AU111" s="222">
        <f t="shared" si="7"/>
        <v>1.2861610556172156E-3</v>
      </c>
      <c r="AV111" s="222">
        <f t="shared" si="7"/>
        <v>0</v>
      </c>
      <c r="AW111" s="222">
        <f t="shared" si="7"/>
        <v>3.0867865334813175E-2</v>
      </c>
      <c r="AX111" s="217"/>
    </row>
    <row r="112" spans="2:50" s="110" customFormat="1" hidden="1">
      <c r="B112" s="109"/>
      <c r="X112" s="119"/>
      <c r="Y112" s="120"/>
      <c r="Z112" s="188" t="s">
        <v>11</v>
      </c>
      <c r="AA112" s="188">
        <v>2006</v>
      </c>
      <c r="AB112" s="188" t="s">
        <v>459</v>
      </c>
      <c r="AC112" s="188">
        <v>42397</v>
      </c>
      <c r="AD112" s="188">
        <v>30665</v>
      </c>
      <c r="AE112" s="188">
        <v>14526</v>
      </c>
      <c r="AF112" s="188">
        <v>11625</v>
      </c>
      <c r="AG112" s="188">
        <v>3404</v>
      </c>
      <c r="AH112" s="188">
        <v>1240</v>
      </c>
      <c r="AI112" s="188">
        <v>460</v>
      </c>
      <c r="AJ112" s="188">
        <v>104315</v>
      </c>
      <c r="AK112" s="217"/>
      <c r="AL112" s="221">
        <f>VLOOKUP(AA112,pgdp!$A$13:$C$90,3,FALSE)</f>
        <v>0.80275228380407149</v>
      </c>
      <c r="AM112" s="188" t="s">
        <v>11</v>
      </c>
      <c r="AN112" s="188">
        <v>2006</v>
      </c>
      <c r="AO112" s="188" t="s">
        <v>459</v>
      </c>
      <c r="AP112" s="222">
        <f t="shared" si="6"/>
        <v>52.814549214472095</v>
      </c>
      <c r="AQ112" s="222">
        <f t="shared" si="6"/>
        <v>38.199829036530573</v>
      </c>
      <c r="AR112" s="222">
        <f t="shared" si="6"/>
        <v>18.095245934604371</v>
      </c>
      <c r="AS112" s="222">
        <f t="shared" si="6"/>
        <v>14.4814287477472</v>
      </c>
      <c r="AT112" s="222">
        <f t="shared" si="7"/>
        <v>4.2404114802005557</v>
      </c>
      <c r="AU112" s="222">
        <f t="shared" si="7"/>
        <v>1.5446857330930348</v>
      </c>
      <c r="AV112" s="222">
        <f t="shared" si="7"/>
        <v>0.5730285784054806</v>
      </c>
      <c r="AW112" s="222">
        <f t="shared" si="7"/>
        <v>129.94668729645156</v>
      </c>
      <c r="AX112" s="217"/>
    </row>
    <row r="113" spans="2:50" s="110" customFormat="1" hidden="1">
      <c r="B113" s="109"/>
      <c r="X113" s="122"/>
      <c r="Y113" s="109"/>
      <c r="Z113" s="188" t="s">
        <v>11</v>
      </c>
      <c r="AA113" s="188">
        <v>2006</v>
      </c>
      <c r="AB113" s="188" t="s">
        <v>468</v>
      </c>
      <c r="AC113" s="188">
        <v>11926</v>
      </c>
      <c r="AD113" s="188">
        <v>44518</v>
      </c>
      <c r="AE113" s="188">
        <v>13560</v>
      </c>
      <c r="AF113" s="188">
        <v>68</v>
      </c>
      <c r="AG113" s="188">
        <v>187</v>
      </c>
      <c r="AH113" s="188"/>
      <c r="AI113" s="188"/>
      <c r="AJ113" s="188">
        <v>70259</v>
      </c>
      <c r="AK113" s="217"/>
      <c r="AL113" s="221">
        <f>VLOOKUP(AA113,pgdp!$A$13:$C$90,3,FALSE)</f>
        <v>0.80275228380407149</v>
      </c>
      <c r="AM113" s="188" t="s">
        <v>11</v>
      </c>
      <c r="AN113" s="188">
        <v>2006</v>
      </c>
      <c r="AO113" s="188" t="s">
        <v>468</v>
      </c>
      <c r="AP113" s="222">
        <f t="shared" ref="AP113:AV164" si="8">AC113/$AL113/1000</f>
        <v>14.856388752312524</v>
      </c>
      <c r="AQ113" s="222">
        <f t="shared" si="8"/>
        <v>55.456709246641708</v>
      </c>
      <c r="AR113" s="222">
        <f t="shared" si="8"/>
        <v>16.891885919952863</v>
      </c>
      <c r="AS113" s="222">
        <f t="shared" si="8"/>
        <v>8.4708572459940609E-2</v>
      </c>
      <c r="AT113" s="222">
        <f t="shared" si="7"/>
        <v>0.23294857426483667</v>
      </c>
      <c r="AU113" s="222">
        <f t="shared" si="7"/>
        <v>0</v>
      </c>
      <c r="AV113" s="222">
        <f t="shared" si="7"/>
        <v>0</v>
      </c>
      <c r="AW113" s="222">
        <f t="shared" si="7"/>
        <v>87.522641065631873</v>
      </c>
      <c r="AX113" s="217"/>
    </row>
    <row r="114" spans="2:50" s="110" customFormat="1" hidden="1">
      <c r="B114" s="109"/>
      <c r="X114" s="119"/>
      <c r="Y114" s="120"/>
      <c r="Z114" s="188" t="s">
        <v>11</v>
      </c>
      <c r="AA114" s="188">
        <v>2006</v>
      </c>
      <c r="AB114" s="188" t="s">
        <v>469</v>
      </c>
      <c r="AC114" s="188">
        <v>230</v>
      </c>
      <c r="AD114" s="188">
        <v>273</v>
      </c>
      <c r="AE114" s="188">
        <v>49</v>
      </c>
      <c r="AF114" s="188"/>
      <c r="AG114" s="188">
        <v>584</v>
      </c>
      <c r="AH114" s="188"/>
      <c r="AI114" s="188"/>
      <c r="AJ114" s="188">
        <v>1136</v>
      </c>
      <c r="AK114" s="217"/>
      <c r="AL114" s="221">
        <f>VLOOKUP(AA114,pgdp!$A$13:$C$90,3,FALSE)</f>
        <v>0.80275228380407149</v>
      </c>
      <c r="AM114" s="188" t="s">
        <v>11</v>
      </c>
      <c r="AN114" s="188">
        <v>2006</v>
      </c>
      <c r="AO114" s="188" t="s">
        <v>469</v>
      </c>
      <c r="AP114" s="222">
        <f t="shared" si="8"/>
        <v>0.2865142892027403</v>
      </c>
      <c r="AQ114" s="222">
        <f t="shared" si="8"/>
        <v>0.34008000414064393</v>
      </c>
      <c r="AR114" s="222">
        <f t="shared" si="8"/>
        <v>6.1040000743192498E-2</v>
      </c>
      <c r="AS114" s="222">
        <f t="shared" si="8"/>
        <v>0</v>
      </c>
      <c r="AT114" s="222">
        <f t="shared" si="7"/>
        <v>0.72749715171478413</v>
      </c>
      <c r="AU114" s="222">
        <f t="shared" si="7"/>
        <v>0</v>
      </c>
      <c r="AV114" s="222">
        <f t="shared" si="7"/>
        <v>0</v>
      </c>
      <c r="AW114" s="222">
        <f t="shared" si="7"/>
        <v>1.4151314458013609</v>
      </c>
      <c r="AX114" s="214"/>
    </row>
    <row r="115" spans="2:50" s="110" customFormat="1" hidden="1">
      <c r="B115" s="109"/>
      <c r="X115" s="122"/>
      <c r="Y115" s="109"/>
      <c r="Z115" s="188" t="s">
        <v>11</v>
      </c>
      <c r="AA115" s="188">
        <v>2006</v>
      </c>
      <c r="AB115" s="188" t="s">
        <v>470</v>
      </c>
      <c r="AC115" s="188"/>
      <c r="AD115" s="188"/>
      <c r="AE115" s="188"/>
      <c r="AF115" s="188"/>
      <c r="AG115" s="188"/>
      <c r="AH115" s="188"/>
      <c r="AI115" s="188"/>
      <c r="AJ115" s="188">
        <v>0</v>
      </c>
      <c r="AK115" s="214"/>
      <c r="AL115" s="221">
        <f>VLOOKUP(AA115,pgdp!$A$13:$C$90,3,FALSE)</f>
        <v>0.80275228380407149</v>
      </c>
      <c r="AM115" s="188" t="s">
        <v>11</v>
      </c>
      <c r="AN115" s="188">
        <v>2006</v>
      </c>
      <c r="AO115" s="188" t="s">
        <v>470</v>
      </c>
      <c r="AP115" s="222">
        <f t="shared" si="8"/>
        <v>0</v>
      </c>
      <c r="AQ115" s="222">
        <f t="shared" si="8"/>
        <v>0</v>
      </c>
      <c r="AR115" s="222">
        <f t="shared" si="8"/>
        <v>0</v>
      </c>
      <c r="AS115" s="222">
        <f t="shared" si="8"/>
        <v>0</v>
      </c>
      <c r="AT115" s="222">
        <f t="shared" si="7"/>
        <v>0</v>
      </c>
      <c r="AU115" s="222">
        <f t="shared" si="7"/>
        <v>0</v>
      </c>
      <c r="AV115" s="222">
        <f t="shared" si="7"/>
        <v>0</v>
      </c>
      <c r="AW115" s="222">
        <f t="shared" si="7"/>
        <v>0</v>
      </c>
      <c r="AX115" s="217"/>
    </row>
    <row r="116" spans="2:50" s="110" customFormat="1" hidden="1">
      <c r="B116" s="109"/>
      <c r="X116" s="122"/>
      <c r="Y116" s="109"/>
      <c r="Z116" s="188" t="s">
        <v>11</v>
      </c>
      <c r="AA116" s="188">
        <v>2007</v>
      </c>
      <c r="AB116" s="188" t="s">
        <v>459</v>
      </c>
      <c r="AC116" s="188">
        <v>42403</v>
      </c>
      <c r="AD116" s="188">
        <v>28985</v>
      </c>
      <c r="AE116" s="188">
        <v>20185</v>
      </c>
      <c r="AF116" s="188">
        <v>11203</v>
      </c>
      <c r="AG116" s="188">
        <v>6465</v>
      </c>
      <c r="AH116" s="188">
        <v>1250</v>
      </c>
      <c r="AI116" s="188">
        <v>628</v>
      </c>
      <c r="AJ116" s="188">
        <v>111119</v>
      </c>
      <c r="AK116" s="217"/>
      <c r="AL116" s="221">
        <f>VLOOKUP(AA116,pgdp!$A$13:$C$90,3,FALSE)</f>
        <v>0.82459421647952613</v>
      </c>
      <c r="AM116" s="188" t="s">
        <v>11</v>
      </c>
      <c r="AN116" s="188">
        <v>2007</v>
      </c>
      <c r="AO116" s="188" t="s">
        <v>459</v>
      </c>
      <c r="AP116" s="222">
        <f t="shared" si="8"/>
        <v>51.422868548645496</v>
      </c>
      <c r="AQ116" s="222">
        <f t="shared" si="8"/>
        <v>35.150622476770266</v>
      </c>
      <c r="AR116" s="222">
        <f t="shared" si="8"/>
        <v>24.478706734297319</v>
      </c>
      <c r="AS116" s="222">
        <f t="shared" si="8"/>
        <v>13.586076370786866</v>
      </c>
      <c r="AT116" s="222">
        <f t="shared" si="7"/>
        <v>7.8402199176235907</v>
      </c>
      <c r="AU116" s="222">
        <f t="shared" si="7"/>
        <v>1.5158971225103617</v>
      </c>
      <c r="AV116" s="222">
        <f t="shared" si="7"/>
        <v>0.76158671434920577</v>
      </c>
      <c r="AW116" s="222">
        <f t="shared" si="7"/>
        <v>134.75597788498311</v>
      </c>
      <c r="AX116" s="217"/>
    </row>
    <row r="117" spans="2:50" s="110" customFormat="1" hidden="1">
      <c r="B117" s="109"/>
      <c r="X117" s="122"/>
      <c r="Y117" s="109"/>
      <c r="Z117" s="188" t="s">
        <v>11</v>
      </c>
      <c r="AA117" s="188">
        <v>2007</v>
      </c>
      <c r="AB117" s="188" t="s">
        <v>471</v>
      </c>
      <c r="AC117" s="188">
        <v>14276</v>
      </c>
      <c r="AD117" s="188">
        <v>64400</v>
      </c>
      <c r="AE117" s="188">
        <v>28422</v>
      </c>
      <c r="AF117" s="188">
        <v>100</v>
      </c>
      <c r="AG117" s="188">
        <v>1256</v>
      </c>
      <c r="AH117" s="188"/>
      <c r="AI117" s="188"/>
      <c r="AJ117" s="188">
        <v>108455</v>
      </c>
      <c r="AK117" s="217"/>
      <c r="AL117" s="221">
        <f>VLOOKUP(AA117,pgdp!$A$13:$C$90,3,FALSE)</f>
        <v>0.82459421647952613</v>
      </c>
      <c r="AM117" s="188" t="s">
        <v>11</v>
      </c>
      <c r="AN117" s="188">
        <v>2007</v>
      </c>
      <c r="AO117" s="188" t="s">
        <v>471</v>
      </c>
      <c r="AP117" s="222">
        <f t="shared" si="8"/>
        <v>17.312757856766339</v>
      </c>
      <c r="AQ117" s="222">
        <f t="shared" si="8"/>
        <v>78.099019751733834</v>
      </c>
      <c r="AR117" s="222">
        <f t="shared" si="8"/>
        <v>34.467862412791604</v>
      </c>
      <c r="AS117" s="222">
        <f t="shared" si="8"/>
        <v>0.12127176980082893</v>
      </c>
      <c r="AT117" s="222">
        <f t="shared" si="7"/>
        <v>1.5231734286984115</v>
      </c>
      <c r="AU117" s="222">
        <f t="shared" si="7"/>
        <v>0</v>
      </c>
      <c r="AV117" s="222">
        <f t="shared" si="7"/>
        <v>0</v>
      </c>
      <c r="AW117" s="222">
        <f t="shared" si="7"/>
        <v>131.52529793748903</v>
      </c>
      <c r="AX117" s="214"/>
    </row>
    <row r="118" spans="2:50" s="110" customFormat="1" hidden="1">
      <c r="B118" s="109"/>
      <c r="X118" s="119"/>
      <c r="Y118" s="120"/>
      <c r="Z118" s="188" t="s">
        <v>11</v>
      </c>
      <c r="AA118" s="188">
        <v>2007</v>
      </c>
      <c r="AB118" s="188" t="s">
        <v>472</v>
      </c>
      <c r="AC118" s="188"/>
      <c r="AD118" s="188"/>
      <c r="AE118" s="188"/>
      <c r="AF118" s="188"/>
      <c r="AG118" s="188"/>
      <c r="AH118" s="188"/>
      <c r="AI118" s="188"/>
      <c r="AJ118" s="188">
        <v>0</v>
      </c>
      <c r="AK118" s="214"/>
      <c r="AL118" s="221">
        <f>VLOOKUP(AA118,pgdp!$A$13:$C$90,3,FALSE)</f>
        <v>0.82459421647952613</v>
      </c>
      <c r="AM118" s="188" t="s">
        <v>11</v>
      </c>
      <c r="AN118" s="188">
        <v>2007</v>
      </c>
      <c r="AO118" s="188" t="s">
        <v>472</v>
      </c>
      <c r="AP118" s="222">
        <f t="shared" si="8"/>
        <v>0</v>
      </c>
      <c r="AQ118" s="222">
        <f t="shared" si="8"/>
        <v>0</v>
      </c>
      <c r="AR118" s="222">
        <f t="shared" si="8"/>
        <v>0</v>
      </c>
      <c r="AS118" s="222">
        <f t="shared" si="8"/>
        <v>0</v>
      </c>
      <c r="AT118" s="222">
        <f t="shared" si="7"/>
        <v>0</v>
      </c>
      <c r="AU118" s="222">
        <f t="shared" si="7"/>
        <v>0</v>
      </c>
      <c r="AV118" s="222">
        <f t="shared" si="7"/>
        <v>0</v>
      </c>
      <c r="AW118" s="222">
        <f t="shared" si="7"/>
        <v>0</v>
      </c>
      <c r="AX118" s="217"/>
    </row>
    <row r="119" spans="2:50" s="110" customFormat="1" hidden="1">
      <c r="B119" s="109"/>
      <c r="X119" s="122"/>
      <c r="Y119" s="109"/>
      <c r="Z119" s="188" t="s">
        <v>11</v>
      </c>
      <c r="AA119" s="188">
        <v>2008</v>
      </c>
      <c r="AB119" s="188" t="s">
        <v>459</v>
      </c>
      <c r="AC119" s="188">
        <v>46740</v>
      </c>
      <c r="AD119" s="188">
        <v>37028</v>
      </c>
      <c r="AE119" s="188">
        <v>36557</v>
      </c>
      <c r="AF119" s="188">
        <v>12297</v>
      </c>
      <c r="AG119" s="188">
        <v>8344</v>
      </c>
      <c r="AH119" s="188">
        <v>1058</v>
      </c>
      <c r="AI119" s="188">
        <v>5</v>
      </c>
      <c r="AJ119" s="188">
        <v>142029</v>
      </c>
      <c r="AK119" s="217"/>
      <c r="AL119" s="221">
        <f>VLOOKUP(AA119,pgdp!$A$13:$C$90,3,FALSE)</f>
        <v>0.84165483055935886</v>
      </c>
      <c r="AM119" s="188" t="s">
        <v>11</v>
      </c>
      <c r="AN119" s="188">
        <v>2008</v>
      </c>
      <c r="AO119" s="188" t="s">
        <v>459</v>
      </c>
      <c r="AP119" s="222">
        <f t="shared" si="8"/>
        <v>55.53345421773065</v>
      </c>
      <c r="AQ119" s="222">
        <f t="shared" si="8"/>
        <v>43.994282044803818</v>
      </c>
      <c r="AR119" s="222">
        <f t="shared" si="8"/>
        <v>43.43467021475351</v>
      </c>
      <c r="AS119" s="222">
        <f t="shared" si="8"/>
        <v>14.610502492841972</v>
      </c>
      <c r="AT119" s="222">
        <f t="shared" si="7"/>
        <v>9.9138027811883731</v>
      </c>
      <c r="AU119" s="222">
        <f t="shared" si="7"/>
        <v>1.2570473804526963</v>
      </c>
      <c r="AV119" s="222">
        <f t="shared" si="7"/>
        <v>5.9406776013832523E-3</v>
      </c>
      <c r="AW119" s="222">
        <f t="shared" si="7"/>
        <v>168.7496998093724</v>
      </c>
      <c r="AX119" s="214"/>
    </row>
    <row r="120" spans="2:50" s="110" customFormat="1" hidden="1">
      <c r="B120" s="109"/>
      <c r="X120" s="122"/>
      <c r="Y120" s="109"/>
      <c r="Z120" s="188" t="s">
        <v>11</v>
      </c>
      <c r="AA120" s="188">
        <v>2008</v>
      </c>
      <c r="AB120" s="188" t="s">
        <v>473</v>
      </c>
      <c r="AC120" s="188">
        <v>14673</v>
      </c>
      <c r="AD120" s="188">
        <v>59381</v>
      </c>
      <c r="AE120" s="188">
        <v>30628</v>
      </c>
      <c r="AF120" s="188">
        <v>150</v>
      </c>
      <c r="AG120" s="188">
        <v>1868</v>
      </c>
      <c r="AH120" s="188"/>
      <c r="AI120" s="188">
        <v>1319</v>
      </c>
      <c r="AJ120" s="188">
        <v>108021</v>
      </c>
      <c r="AK120" s="214"/>
      <c r="AL120" s="221">
        <f>VLOOKUP(AA120,pgdp!$A$13:$C$90,3,FALSE)</f>
        <v>0.84165483055935886</v>
      </c>
      <c r="AM120" s="188" t="s">
        <v>11</v>
      </c>
      <c r="AN120" s="188">
        <v>2008</v>
      </c>
      <c r="AO120" s="188" t="s">
        <v>473</v>
      </c>
      <c r="AP120" s="222">
        <f t="shared" si="8"/>
        <v>17.433512489019293</v>
      </c>
      <c r="AQ120" s="222">
        <f t="shared" si="8"/>
        <v>70.552675329547782</v>
      </c>
      <c r="AR120" s="222">
        <f t="shared" si="8"/>
        <v>36.390214715033252</v>
      </c>
      <c r="AS120" s="222">
        <f t="shared" si="8"/>
        <v>0.17822032804149759</v>
      </c>
      <c r="AT120" s="222">
        <f t="shared" si="7"/>
        <v>2.2194371518767833</v>
      </c>
      <c r="AU120" s="222">
        <f t="shared" si="7"/>
        <v>0</v>
      </c>
      <c r="AV120" s="222">
        <f t="shared" si="7"/>
        <v>1.5671507512449021</v>
      </c>
      <c r="AW120" s="222">
        <f t="shared" si="7"/>
        <v>128.34358703580406</v>
      </c>
      <c r="AX120" s="217"/>
    </row>
    <row r="121" spans="2:50" s="110" customFormat="1" hidden="1">
      <c r="B121" s="109"/>
      <c r="X121" s="119"/>
      <c r="Y121" s="120"/>
      <c r="Z121" s="188" t="s">
        <v>11</v>
      </c>
      <c r="AA121" s="188">
        <v>2009</v>
      </c>
      <c r="AB121" s="188" t="s">
        <v>459</v>
      </c>
      <c r="AC121" s="188">
        <v>52280</v>
      </c>
      <c r="AD121" s="188">
        <v>40092</v>
      </c>
      <c r="AE121" s="188">
        <v>27385</v>
      </c>
      <c r="AF121" s="188">
        <v>12162</v>
      </c>
      <c r="AG121" s="188">
        <v>10407</v>
      </c>
      <c r="AH121" s="188">
        <v>1296</v>
      </c>
      <c r="AI121" s="188">
        <v>102</v>
      </c>
      <c r="AJ121" s="188">
        <v>143726</v>
      </c>
      <c r="AK121" s="217"/>
      <c r="AL121" s="221">
        <f>VLOOKUP(AA121,pgdp!$A$13:$C$90,3,FALSE)</f>
        <v>0.85147741466177274</v>
      </c>
      <c r="AM121" s="188" t="s">
        <v>11</v>
      </c>
      <c r="AN121" s="188">
        <v>2009</v>
      </c>
      <c r="AO121" s="188" t="s">
        <v>459</v>
      </c>
      <c r="AP121" s="222">
        <f t="shared" si="8"/>
        <v>61.399162326304186</v>
      </c>
      <c r="AQ121" s="222">
        <f t="shared" si="8"/>
        <v>47.085218362398379</v>
      </c>
      <c r="AR121" s="222">
        <f t="shared" si="8"/>
        <v>32.161745606462127</v>
      </c>
      <c r="AS121" s="222">
        <f t="shared" si="8"/>
        <v>14.283408802840693</v>
      </c>
      <c r="AT121" s="222">
        <f t="shared" si="7"/>
        <v>12.222285430945824</v>
      </c>
      <c r="AU121" s="222">
        <f t="shared" si="7"/>
        <v>1.5220603361685199</v>
      </c>
      <c r="AV121" s="222">
        <f t="shared" si="7"/>
        <v>0.11979178571696684</v>
      </c>
      <c r="AW121" s="222">
        <f t="shared" si="7"/>
        <v>168.79602150938015</v>
      </c>
      <c r="AX121" s="217"/>
    </row>
    <row r="122" spans="2:50" s="110" customFormat="1" hidden="1">
      <c r="B122" s="109"/>
      <c r="X122" s="122"/>
      <c r="Y122" s="109"/>
      <c r="Z122" s="188" t="s">
        <v>11</v>
      </c>
      <c r="AA122" s="188">
        <v>2009</v>
      </c>
      <c r="AB122" s="188" t="s">
        <v>474</v>
      </c>
      <c r="AC122" s="188">
        <v>0</v>
      </c>
      <c r="AD122" s="188">
        <v>1839</v>
      </c>
      <c r="AE122" s="188">
        <v>0</v>
      </c>
      <c r="AF122" s="188">
        <v>75</v>
      </c>
      <c r="AG122" s="188">
        <v>230</v>
      </c>
      <c r="AH122" s="188">
        <v>38</v>
      </c>
      <c r="AI122" s="188">
        <v>0</v>
      </c>
      <c r="AJ122" s="188">
        <v>2183</v>
      </c>
      <c r="AK122" s="214"/>
      <c r="AL122" s="221">
        <f>VLOOKUP(AA122,pgdp!$A$13:$C$90,3,FALSE)</f>
        <v>0.85147741466177274</v>
      </c>
      <c r="AM122" s="188" t="s">
        <v>11</v>
      </c>
      <c r="AN122" s="188">
        <v>2009</v>
      </c>
      <c r="AO122" s="188" t="s">
        <v>474</v>
      </c>
      <c r="AP122" s="222">
        <f t="shared" si="8"/>
        <v>0</v>
      </c>
      <c r="AQ122" s="222">
        <f t="shared" si="8"/>
        <v>2.1597754307206083</v>
      </c>
      <c r="AR122" s="222">
        <f t="shared" si="8"/>
        <v>0</v>
      </c>
      <c r="AS122" s="222">
        <f t="shared" si="8"/>
        <v>8.8082195380122685E-2</v>
      </c>
      <c r="AT122" s="222">
        <f t="shared" si="7"/>
        <v>0.27011873249904289</v>
      </c>
      <c r="AU122" s="222">
        <f t="shared" si="7"/>
        <v>4.4628312325928822E-2</v>
      </c>
      <c r="AV122" s="222">
        <f t="shared" si="7"/>
        <v>0</v>
      </c>
      <c r="AW122" s="222">
        <f t="shared" si="7"/>
        <v>2.5637791001974373</v>
      </c>
      <c r="AX122" s="217"/>
    </row>
    <row r="123" spans="2:50" s="110" customFormat="1" hidden="1">
      <c r="B123" s="109"/>
      <c r="X123" s="119"/>
      <c r="Y123" s="120"/>
      <c r="Z123" s="188" t="s">
        <v>11</v>
      </c>
      <c r="AA123" s="188">
        <v>2009</v>
      </c>
      <c r="AB123" s="188" t="s">
        <v>475</v>
      </c>
      <c r="AC123" s="188">
        <v>989</v>
      </c>
      <c r="AD123" s="188">
        <v>39689</v>
      </c>
      <c r="AE123" s="188">
        <v>3933</v>
      </c>
      <c r="AF123" s="188">
        <v>0</v>
      </c>
      <c r="AG123" s="188">
        <v>-143</v>
      </c>
      <c r="AH123" s="188">
        <v>0</v>
      </c>
      <c r="AI123" s="188">
        <v>0</v>
      </c>
      <c r="AJ123" s="188">
        <v>44468</v>
      </c>
      <c r="AK123" s="217"/>
      <c r="AL123" s="221">
        <f>VLOOKUP(AA123,pgdp!$A$13:$C$90,3,FALSE)</f>
        <v>0.85147741466177274</v>
      </c>
      <c r="AM123" s="188" t="s">
        <v>11</v>
      </c>
      <c r="AN123" s="188">
        <v>2009</v>
      </c>
      <c r="AO123" s="188" t="s">
        <v>475</v>
      </c>
      <c r="AP123" s="222">
        <f t="shared" si="8"/>
        <v>1.1615105497458844</v>
      </c>
      <c r="AQ123" s="222">
        <f t="shared" si="8"/>
        <v>46.611923365889183</v>
      </c>
      <c r="AR123" s="222">
        <f t="shared" si="8"/>
        <v>4.6190303257336334</v>
      </c>
      <c r="AS123" s="222">
        <f t="shared" si="8"/>
        <v>0</v>
      </c>
      <c r="AT123" s="222">
        <f t="shared" si="7"/>
        <v>-0.16794338585810059</v>
      </c>
      <c r="AU123" s="222">
        <f t="shared" si="7"/>
        <v>0</v>
      </c>
      <c r="AV123" s="222">
        <f t="shared" si="7"/>
        <v>0</v>
      </c>
      <c r="AW123" s="222">
        <f t="shared" si="7"/>
        <v>52.224520855510598</v>
      </c>
      <c r="AX123" s="214"/>
    </row>
    <row r="124" spans="2:50" s="110" customFormat="1" hidden="1">
      <c r="B124" s="109"/>
      <c r="X124" s="122"/>
      <c r="Y124" s="109"/>
      <c r="Z124" s="188" t="s">
        <v>11</v>
      </c>
      <c r="AA124" s="188">
        <v>2009</v>
      </c>
      <c r="AB124" s="188" t="s">
        <v>476</v>
      </c>
      <c r="AC124" s="188">
        <v>13945</v>
      </c>
      <c r="AD124" s="188">
        <v>18655</v>
      </c>
      <c r="AE124" s="188">
        <v>11967</v>
      </c>
      <c r="AF124" s="188">
        <v>-135</v>
      </c>
      <c r="AG124" s="188">
        <v>1326</v>
      </c>
      <c r="AH124" s="188">
        <v>0</v>
      </c>
      <c r="AI124" s="188">
        <v>443</v>
      </c>
      <c r="AJ124" s="188">
        <v>46200</v>
      </c>
      <c r="AK124" s="217"/>
      <c r="AL124" s="221">
        <f>VLOOKUP(AA124,pgdp!$A$13:$C$90,3,FALSE)</f>
        <v>0.85147741466177274</v>
      </c>
      <c r="AM124" s="188" t="s">
        <v>11</v>
      </c>
      <c r="AN124" s="188">
        <v>2009</v>
      </c>
      <c r="AO124" s="188" t="s">
        <v>476</v>
      </c>
      <c r="AP124" s="222">
        <f t="shared" si="8"/>
        <v>16.377416194344143</v>
      </c>
      <c r="AQ124" s="222">
        <f t="shared" si="8"/>
        <v>21.908978064215848</v>
      </c>
      <c r="AR124" s="222">
        <f t="shared" si="8"/>
        <v>14.054395094852374</v>
      </c>
      <c r="AS124" s="222">
        <f t="shared" si="8"/>
        <v>-0.15854795168422081</v>
      </c>
      <c r="AT124" s="222">
        <f t="shared" si="7"/>
        <v>1.5572932143205689</v>
      </c>
      <c r="AU124" s="222">
        <f t="shared" si="7"/>
        <v>0</v>
      </c>
      <c r="AV124" s="222">
        <f t="shared" si="7"/>
        <v>0.52027216737859128</v>
      </c>
      <c r="AW124" s="222">
        <f t="shared" si="7"/>
        <v>54.258632354155566</v>
      </c>
      <c r="AX124" s="217"/>
    </row>
    <row r="125" spans="2:50" s="110" customFormat="1" hidden="1">
      <c r="B125" s="109"/>
      <c r="X125" s="119"/>
      <c r="Y125" s="120"/>
      <c r="Z125" s="188" t="s">
        <v>11</v>
      </c>
      <c r="AA125" s="188">
        <v>2010</v>
      </c>
      <c r="AB125" s="188" t="s">
        <v>459</v>
      </c>
      <c r="AC125" s="188">
        <v>57917</v>
      </c>
      <c r="AD125" s="188">
        <v>40562</v>
      </c>
      <c r="AE125" s="188">
        <v>19818</v>
      </c>
      <c r="AF125" s="188">
        <v>11424</v>
      </c>
      <c r="AG125" s="188">
        <v>8360</v>
      </c>
      <c r="AH125" s="188">
        <v>684</v>
      </c>
      <c r="AI125" s="188">
        <v>38</v>
      </c>
      <c r="AJ125" s="188">
        <v>138803</v>
      </c>
      <c r="AK125" s="214"/>
      <c r="AL125" s="221">
        <f>VLOOKUP(AA125,pgdp!$A$13:$C$90,3,FALSE)</f>
        <v>0.85894343086456204</v>
      </c>
      <c r="AM125" s="188" t="s">
        <v>11</v>
      </c>
      <c r="AN125" s="188">
        <v>2010</v>
      </c>
      <c r="AO125" s="188" t="s">
        <v>459</v>
      </c>
      <c r="AP125" s="222">
        <f t="shared" si="8"/>
        <v>67.428189003906979</v>
      </c>
      <c r="AQ125" s="222">
        <f t="shared" si="8"/>
        <v>47.223133145302327</v>
      </c>
      <c r="AR125" s="222">
        <f t="shared" si="8"/>
        <v>23.072532238883724</v>
      </c>
      <c r="AS125" s="222">
        <f t="shared" si="8"/>
        <v>13.300060969674419</v>
      </c>
      <c r="AT125" s="222">
        <f t="shared" si="7"/>
        <v>9.7328877544186057</v>
      </c>
      <c r="AU125" s="222">
        <f t="shared" si="7"/>
        <v>0.79632717990697677</v>
      </c>
      <c r="AV125" s="222">
        <f t="shared" si="7"/>
        <v>4.4240398883720937E-2</v>
      </c>
      <c r="AW125" s="222">
        <f t="shared" si="7"/>
        <v>161.59737069097676</v>
      </c>
      <c r="AX125" s="217"/>
    </row>
    <row r="126" spans="2:50" s="110" customFormat="1" hidden="1">
      <c r="B126" s="109"/>
      <c r="X126" s="122"/>
      <c r="Y126" s="109"/>
      <c r="Z126" s="188" t="s">
        <v>11</v>
      </c>
      <c r="AA126" s="188">
        <v>2010</v>
      </c>
      <c r="AB126" s="188" t="s">
        <v>477</v>
      </c>
      <c r="AC126" s="188">
        <v>12546</v>
      </c>
      <c r="AD126" s="188">
        <v>70799</v>
      </c>
      <c r="AE126" s="188">
        <v>20245</v>
      </c>
      <c r="AF126" s="188">
        <v>139</v>
      </c>
      <c r="AG126" s="188">
        <v>1167</v>
      </c>
      <c r="AH126" s="188">
        <v>0</v>
      </c>
      <c r="AI126" s="188">
        <v>12</v>
      </c>
      <c r="AJ126" s="188">
        <v>104907</v>
      </c>
      <c r="AK126" s="217"/>
      <c r="AL126" s="221">
        <f>VLOOKUP(AA126,pgdp!$A$13:$C$90,3,FALSE)</f>
        <v>0.85894343086456204</v>
      </c>
      <c r="AM126" s="188" t="s">
        <v>11</v>
      </c>
      <c r="AN126" s="188">
        <v>2010</v>
      </c>
      <c r="AO126" s="188" t="s">
        <v>477</v>
      </c>
      <c r="AP126" s="222">
        <f t="shared" si="8"/>
        <v>14.606316957767444</v>
      </c>
      <c r="AQ126" s="222">
        <f t="shared" si="8"/>
        <v>82.425684225488382</v>
      </c>
      <c r="AR126" s="222">
        <f t="shared" si="8"/>
        <v>23.569654615813956</v>
      </c>
      <c r="AS126" s="222">
        <f t="shared" si="8"/>
        <v>0.16182672223255815</v>
      </c>
      <c r="AT126" s="222">
        <f t="shared" si="7"/>
        <v>1.3586459341395349</v>
      </c>
      <c r="AU126" s="222">
        <f t="shared" si="7"/>
        <v>0</v>
      </c>
      <c r="AV126" s="222">
        <f t="shared" si="7"/>
        <v>1.3970652279069769E-2</v>
      </c>
      <c r="AW126" s="222">
        <f t="shared" si="7"/>
        <v>122.13493488669768</v>
      </c>
      <c r="AX126" s="214"/>
    </row>
    <row r="127" spans="2:50" s="110" customFormat="1" hidden="1">
      <c r="B127" s="109"/>
      <c r="X127" s="122"/>
      <c r="Y127" s="109"/>
      <c r="Z127" s="188" t="s">
        <v>11</v>
      </c>
      <c r="AA127" s="188">
        <v>2010</v>
      </c>
      <c r="AB127" s="188" t="s">
        <v>478</v>
      </c>
      <c r="AC127" s="188">
        <v>0</v>
      </c>
      <c r="AD127" s="188">
        <v>218</v>
      </c>
      <c r="AE127" s="188">
        <v>0</v>
      </c>
      <c r="AF127" s="188">
        <v>0</v>
      </c>
      <c r="AG127" s="188">
        <v>0</v>
      </c>
      <c r="AH127" s="188">
        <v>0</v>
      </c>
      <c r="AI127" s="188">
        <v>0</v>
      </c>
      <c r="AJ127" s="188">
        <v>218</v>
      </c>
      <c r="AK127" s="217"/>
      <c r="AL127" s="221">
        <f>VLOOKUP(AA127,pgdp!$A$13:$C$90,3,FALSE)</f>
        <v>0.85894343086456204</v>
      </c>
      <c r="AM127" s="188" t="s">
        <v>11</v>
      </c>
      <c r="AN127" s="188">
        <v>2010</v>
      </c>
      <c r="AO127" s="188" t="s">
        <v>478</v>
      </c>
      <c r="AP127" s="222">
        <f t="shared" si="8"/>
        <v>0</v>
      </c>
      <c r="AQ127" s="222">
        <f t="shared" si="8"/>
        <v>0.25380018306976748</v>
      </c>
      <c r="AR127" s="222">
        <f t="shared" si="8"/>
        <v>0</v>
      </c>
      <c r="AS127" s="222">
        <f t="shared" si="8"/>
        <v>0</v>
      </c>
      <c r="AT127" s="222">
        <f t="shared" si="7"/>
        <v>0</v>
      </c>
      <c r="AU127" s="222">
        <f t="shared" si="7"/>
        <v>0</v>
      </c>
      <c r="AV127" s="222">
        <f t="shared" si="7"/>
        <v>0</v>
      </c>
      <c r="AW127" s="222">
        <f t="shared" si="7"/>
        <v>0.25380018306976748</v>
      </c>
      <c r="AX127" s="217"/>
    </row>
    <row r="128" spans="2:50" s="110" customFormat="1" hidden="1">
      <c r="B128" s="109"/>
      <c r="X128" s="119"/>
      <c r="Y128" s="120"/>
      <c r="Z128" s="188" t="s">
        <v>11</v>
      </c>
      <c r="AA128" s="188">
        <v>2011</v>
      </c>
      <c r="AB128" s="188" t="s">
        <v>459</v>
      </c>
      <c r="AC128" s="188">
        <v>58366</v>
      </c>
      <c r="AD128" s="188">
        <v>42121</v>
      </c>
      <c r="AE128" s="188">
        <v>19638</v>
      </c>
      <c r="AF128" s="188">
        <v>9653</v>
      </c>
      <c r="AG128" s="188">
        <v>5738</v>
      </c>
      <c r="AH128" s="188">
        <v>609</v>
      </c>
      <c r="AI128" s="188">
        <v>0</v>
      </c>
      <c r="AJ128" s="188">
        <v>136126</v>
      </c>
      <c r="AK128" s="214"/>
      <c r="AL128" s="221">
        <f>VLOOKUP(AA128,pgdp!$A$13:$C$90,3,FALSE)</f>
        <v>0.87638757317399019</v>
      </c>
      <c r="AM128" s="188" t="s">
        <v>11</v>
      </c>
      <c r="AN128" s="188">
        <v>2011</v>
      </c>
      <c r="AO128" s="188" t="s">
        <v>459</v>
      </c>
      <c r="AP128" s="222">
        <f t="shared" si="8"/>
        <v>66.598388414634144</v>
      </c>
      <c r="AQ128" s="222">
        <f t="shared" si="8"/>
        <v>48.06206898558758</v>
      </c>
      <c r="AR128" s="222">
        <f t="shared" si="8"/>
        <v>22.407894179600884</v>
      </c>
      <c r="AS128" s="222">
        <f t="shared" si="8"/>
        <v>11.014533176274945</v>
      </c>
      <c r="AT128" s="222">
        <f t="shared" si="7"/>
        <v>6.5473315410199557</v>
      </c>
      <c r="AU128" s="222">
        <f t="shared" si="7"/>
        <v>0.69489803215077595</v>
      </c>
      <c r="AV128" s="222">
        <f t="shared" si="7"/>
        <v>0</v>
      </c>
      <c r="AW128" s="222">
        <f t="shared" si="7"/>
        <v>155.32625537694014</v>
      </c>
      <c r="AX128" s="214"/>
    </row>
    <row r="129" spans="2:50" s="110" customFormat="1" hidden="1">
      <c r="B129" s="109"/>
      <c r="X129" s="122"/>
      <c r="Y129" s="109"/>
      <c r="Z129" s="188" t="s">
        <v>11</v>
      </c>
      <c r="AA129" s="188">
        <v>2011</v>
      </c>
      <c r="AB129" s="188" t="s">
        <v>479</v>
      </c>
      <c r="AC129" s="188">
        <v>11672</v>
      </c>
      <c r="AD129" s="188">
        <v>72085</v>
      </c>
      <c r="AE129" s="188">
        <v>16760</v>
      </c>
      <c r="AF129" s="188">
        <v>300</v>
      </c>
      <c r="AG129" s="188">
        <v>981</v>
      </c>
      <c r="AH129" s="188">
        <v>0</v>
      </c>
      <c r="AI129" s="188"/>
      <c r="AJ129" s="188">
        <v>101798</v>
      </c>
      <c r="AK129" s="217"/>
      <c r="AL129" s="221">
        <f>VLOOKUP(AA129,pgdp!$A$13:$C$90,3,FALSE)</f>
        <v>0.87638757317399019</v>
      </c>
      <c r="AM129" s="188" t="s">
        <v>11</v>
      </c>
      <c r="AN129" s="188">
        <v>2011</v>
      </c>
      <c r="AO129" s="188" t="s">
        <v>479</v>
      </c>
      <c r="AP129" s="222">
        <f t="shared" si="8"/>
        <v>13.318308425720621</v>
      </c>
      <c r="AQ129" s="222">
        <f t="shared" si="8"/>
        <v>82.252421424611967</v>
      </c>
      <c r="AR129" s="222">
        <f t="shared" si="8"/>
        <v>19.123958980044346</v>
      </c>
      <c r="AS129" s="222">
        <f t="shared" si="8"/>
        <v>0.3423143015521064</v>
      </c>
      <c r="AT129" s="222">
        <f t="shared" si="7"/>
        <v>1.1193677660753878</v>
      </c>
      <c r="AU129" s="222">
        <f t="shared" si="7"/>
        <v>0</v>
      </c>
      <c r="AV129" s="222">
        <f t="shared" si="7"/>
        <v>0</v>
      </c>
      <c r="AW129" s="222">
        <f t="shared" si="7"/>
        <v>116.15637089800443</v>
      </c>
      <c r="AX129" s="217"/>
    </row>
    <row r="130" spans="2:50" s="110" customFormat="1" hidden="1">
      <c r="B130" s="109"/>
      <c r="X130" s="122"/>
      <c r="Y130" s="109"/>
      <c r="Z130" s="188" t="s">
        <v>11</v>
      </c>
      <c r="AA130" s="188">
        <v>2012</v>
      </c>
      <c r="AB130" s="188" t="s">
        <v>459</v>
      </c>
      <c r="AC130" s="188">
        <v>60811</v>
      </c>
      <c r="AD130" s="188">
        <v>42171</v>
      </c>
      <c r="AE130" s="188">
        <v>19609</v>
      </c>
      <c r="AF130" s="188">
        <v>8329</v>
      </c>
      <c r="AG130" s="188">
        <v>4107</v>
      </c>
      <c r="AH130" s="188">
        <v>670</v>
      </c>
      <c r="AI130" s="188">
        <v>101</v>
      </c>
      <c r="AJ130" s="188">
        <v>135799</v>
      </c>
      <c r="AK130" s="217"/>
      <c r="AL130" s="221">
        <f>VLOOKUP(AA130,pgdp!$A$13:$C$90,3,FALSE)</f>
        <v>0.89246166741880806</v>
      </c>
      <c r="AM130" s="188" t="s">
        <v>11</v>
      </c>
      <c r="AN130" s="188">
        <v>2012</v>
      </c>
      <c r="AO130" s="188" t="s">
        <v>459</v>
      </c>
      <c r="AP130" s="222">
        <f t="shared" si="8"/>
        <v>68.138500755868378</v>
      </c>
      <c r="AQ130" s="222">
        <f t="shared" si="8"/>
        <v>47.252449645224139</v>
      </c>
      <c r="AR130" s="222">
        <f t="shared" si="8"/>
        <v>21.971812029432552</v>
      </c>
      <c r="AS130" s="222">
        <f t="shared" si="8"/>
        <v>9.332613717840978</v>
      </c>
      <c r="AT130" s="222">
        <f t="shared" si="7"/>
        <v>4.6018783214278898</v>
      </c>
      <c r="AU130" s="222">
        <f t="shared" si="7"/>
        <v>0.75073252382680444</v>
      </c>
      <c r="AV130" s="222">
        <f t="shared" si="7"/>
        <v>0.11317012672613024</v>
      </c>
      <c r="AW130" s="222">
        <f t="shared" si="7"/>
        <v>152.1622776166511</v>
      </c>
      <c r="AX130" s="214"/>
    </row>
    <row r="131" spans="2:50" s="110" customFormat="1" hidden="1">
      <c r="B131" s="109"/>
      <c r="X131" s="119"/>
      <c r="Y131" s="120"/>
      <c r="Z131" s="188" t="s">
        <v>11</v>
      </c>
      <c r="AA131" s="188">
        <v>2012</v>
      </c>
      <c r="AB131" s="188" t="s">
        <v>480</v>
      </c>
      <c r="AC131" s="188">
        <v>7827</v>
      </c>
      <c r="AD131" s="188">
        <v>54436</v>
      </c>
      <c r="AE131" s="188">
        <v>5265</v>
      </c>
      <c r="AF131" s="188">
        <v>19</v>
      </c>
      <c r="AG131" s="188">
        <v>-155</v>
      </c>
      <c r="AH131" s="188">
        <v>0</v>
      </c>
      <c r="AI131" s="188">
        <v>54</v>
      </c>
      <c r="AJ131" s="188">
        <v>67446</v>
      </c>
      <c r="AK131" s="214"/>
      <c r="AL131" s="221">
        <f>VLOOKUP(AA131,pgdp!$A$13:$C$90,3,FALSE)</f>
        <v>0.89246166741880806</v>
      </c>
      <c r="AM131" s="188" t="s">
        <v>11</v>
      </c>
      <c r="AN131" s="188">
        <v>2012</v>
      </c>
      <c r="AO131" s="188" t="s">
        <v>480</v>
      </c>
      <c r="AP131" s="222">
        <f t="shared" si="8"/>
        <v>8.7701245731229829</v>
      </c>
      <c r="AQ131" s="222">
        <f t="shared" si="8"/>
        <v>60.995336816471536</v>
      </c>
      <c r="AR131" s="222">
        <f t="shared" si="8"/>
        <v>5.8994130417136201</v>
      </c>
      <c r="AS131" s="222">
        <f t="shared" si="8"/>
        <v>2.128942978016311E-2</v>
      </c>
      <c r="AT131" s="222">
        <f t="shared" si="7"/>
        <v>-0.17367692715396221</v>
      </c>
      <c r="AU131" s="222">
        <f t="shared" si="7"/>
        <v>0</v>
      </c>
      <c r="AV131" s="222">
        <f t="shared" si="7"/>
        <v>6.0506800427832005E-2</v>
      </c>
      <c r="AW131" s="222">
        <f t="shared" si="7"/>
        <v>75.572993734362171</v>
      </c>
      <c r="AX131" s="217"/>
    </row>
    <row r="132" spans="2:50" s="110" customFormat="1" hidden="1">
      <c r="B132" s="109"/>
      <c r="X132" s="122"/>
      <c r="Y132" s="109"/>
      <c r="Z132" s="188" t="s">
        <v>11</v>
      </c>
      <c r="AA132" s="188">
        <v>2013</v>
      </c>
      <c r="AB132" s="188" t="s">
        <v>459</v>
      </c>
      <c r="AC132" s="188">
        <v>56029</v>
      </c>
      <c r="AD132" s="188">
        <v>44700</v>
      </c>
      <c r="AE132" s="188">
        <v>15692</v>
      </c>
      <c r="AF132" s="188">
        <v>7879</v>
      </c>
      <c r="AG132" s="188">
        <v>2757</v>
      </c>
      <c r="AH132" s="188">
        <v>495</v>
      </c>
      <c r="AI132" s="188">
        <v>103</v>
      </c>
      <c r="AJ132" s="188">
        <v>127655</v>
      </c>
      <c r="AK132" s="217"/>
      <c r="AL132" s="221">
        <f>VLOOKUP(AA132,pgdp!$A$13:$C$90,3,FALSE)</f>
        <v>0.9075385882666781</v>
      </c>
      <c r="AM132" s="188" t="s">
        <v>11</v>
      </c>
      <c r="AN132" s="188">
        <v>2013</v>
      </c>
      <c r="AO132" s="188" t="s">
        <v>459</v>
      </c>
      <c r="AP132" s="222">
        <f t="shared" si="8"/>
        <v>61.737319739770676</v>
      </c>
      <c r="AQ132" s="222">
        <f t="shared" si="8"/>
        <v>49.254103988430082</v>
      </c>
      <c r="AR132" s="222">
        <f t="shared" si="8"/>
        <v>17.290724827437248</v>
      </c>
      <c r="AS132" s="222">
        <f t="shared" si="8"/>
        <v>8.6817245039114237</v>
      </c>
      <c r="AT132" s="222">
        <f t="shared" si="7"/>
        <v>3.0378873533803521</v>
      </c>
      <c r="AU132" s="222">
        <f t="shared" si="7"/>
        <v>0.54543135289201095</v>
      </c>
      <c r="AV132" s="222">
        <f t="shared" si="7"/>
        <v>0.11349379666237805</v>
      </c>
      <c r="AW132" s="222">
        <f t="shared" si="7"/>
        <v>140.66068556248416</v>
      </c>
      <c r="AX132" s="217"/>
    </row>
    <row r="133" spans="2:50" s="110" customFormat="1" hidden="1">
      <c r="B133" s="109"/>
      <c r="X133" s="122"/>
      <c r="Y133" s="109"/>
      <c r="Z133" s="188" t="s">
        <v>11</v>
      </c>
      <c r="AA133" s="188">
        <v>2013</v>
      </c>
      <c r="AB133" s="188" t="s">
        <v>481</v>
      </c>
      <c r="AC133" s="188">
        <v>8925</v>
      </c>
      <c r="AD133" s="188">
        <v>34464</v>
      </c>
      <c r="AE133" s="188">
        <v>3154</v>
      </c>
      <c r="AF133" s="188">
        <v>29</v>
      </c>
      <c r="AG133" s="188">
        <v>-121</v>
      </c>
      <c r="AH133" s="188">
        <v>0</v>
      </c>
      <c r="AI133" s="188">
        <v>0</v>
      </c>
      <c r="AJ133" s="188">
        <v>46451</v>
      </c>
      <c r="AK133" s="214"/>
      <c r="AL133" s="221">
        <f>VLOOKUP(AA133,pgdp!$A$13:$C$90,3,FALSE)</f>
        <v>0.9075385882666781</v>
      </c>
      <c r="AM133" s="188" t="s">
        <v>11</v>
      </c>
      <c r="AN133" s="188">
        <v>2013</v>
      </c>
      <c r="AO133" s="188" t="s">
        <v>481</v>
      </c>
      <c r="AP133" s="222">
        <f t="shared" si="8"/>
        <v>9.8342925748711085</v>
      </c>
      <c r="AQ133" s="222">
        <f t="shared" si="8"/>
        <v>37.975244739535896</v>
      </c>
      <c r="AR133" s="222">
        <f t="shared" si="8"/>
        <v>3.4753343172149553</v>
      </c>
      <c r="AS133" s="222">
        <f t="shared" si="8"/>
        <v>3.1954564108824891E-2</v>
      </c>
      <c r="AT133" s="222">
        <f t="shared" si="7"/>
        <v>-0.13332766404026936</v>
      </c>
      <c r="AU133" s="222">
        <f t="shared" si="7"/>
        <v>0</v>
      </c>
      <c r="AV133" s="222">
        <f t="shared" si="7"/>
        <v>0</v>
      </c>
      <c r="AW133" s="222">
        <f t="shared" si="7"/>
        <v>51.183498531690518</v>
      </c>
      <c r="AX133" s="214"/>
    </row>
    <row r="134" spans="2:50" s="110" customFormat="1" hidden="1">
      <c r="B134" s="109"/>
      <c r="X134" s="119"/>
      <c r="Y134" s="120"/>
      <c r="Z134" s="188" t="s">
        <v>11</v>
      </c>
      <c r="AA134" s="188">
        <v>2013</v>
      </c>
      <c r="AB134" s="188" t="s">
        <v>482</v>
      </c>
      <c r="AC134" s="188">
        <v>0</v>
      </c>
      <c r="AD134" s="188">
        <v>9</v>
      </c>
      <c r="AE134" s="188">
        <v>1</v>
      </c>
      <c r="AF134" s="188">
        <v>0</v>
      </c>
      <c r="AG134" s="188">
        <v>24</v>
      </c>
      <c r="AH134" s="188">
        <v>0</v>
      </c>
      <c r="AI134" s="188">
        <v>0</v>
      </c>
      <c r="AJ134" s="188">
        <v>34</v>
      </c>
      <c r="AK134" s="217"/>
      <c r="AL134" s="221">
        <f>VLOOKUP(AA134,pgdp!$A$13:$C$90,3,FALSE)</f>
        <v>0.9075385882666781</v>
      </c>
      <c r="AM134" s="188" t="s">
        <v>11</v>
      </c>
      <c r="AN134" s="188">
        <v>2013</v>
      </c>
      <c r="AO134" s="188" t="s">
        <v>482</v>
      </c>
      <c r="AP134" s="222">
        <f t="shared" si="8"/>
        <v>0</v>
      </c>
      <c r="AQ134" s="222">
        <f t="shared" si="8"/>
        <v>9.916933688945655E-3</v>
      </c>
      <c r="AR134" s="222">
        <f t="shared" si="8"/>
        <v>1.1018815209939616E-3</v>
      </c>
      <c r="AS134" s="222">
        <f t="shared" si="8"/>
        <v>0</v>
      </c>
      <c r="AT134" s="222">
        <f t="shared" si="7"/>
        <v>2.644515650385508E-2</v>
      </c>
      <c r="AU134" s="222">
        <f t="shared" si="7"/>
        <v>0</v>
      </c>
      <c r="AV134" s="222">
        <f t="shared" si="7"/>
        <v>0</v>
      </c>
      <c r="AW134" s="222">
        <f t="shared" si="7"/>
        <v>3.7463971713794696E-2</v>
      </c>
      <c r="AX134" s="217"/>
    </row>
    <row r="135" spans="2:50" s="110" customFormat="1" hidden="1">
      <c r="B135" s="109"/>
      <c r="X135" s="122"/>
      <c r="Y135" s="109"/>
      <c r="Z135" s="188" t="s">
        <v>11</v>
      </c>
      <c r="AA135" s="188">
        <v>2014</v>
      </c>
      <c r="AB135" s="188" t="s">
        <v>459</v>
      </c>
      <c r="AC135" s="188">
        <v>56336</v>
      </c>
      <c r="AD135" s="188">
        <v>41012</v>
      </c>
      <c r="AE135" s="188">
        <v>15134</v>
      </c>
      <c r="AF135" s="188">
        <v>7052</v>
      </c>
      <c r="AG135" s="188">
        <v>1679</v>
      </c>
      <c r="AH135" s="188">
        <v>540</v>
      </c>
      <c r="AI135" s="188">
        <v>220</v>
      </c>
      <c r="AJ135" s="188">
        <v>121975</v>
      </c>
      <c r="AK135" s="214"/>
      <c r="AL135" s="221">
        <f>VLOOKUP(AA135,pgdp!$A$13:$C$90,3,FALSE)</f>
        <v>0.9240281714268912</v>
      </c>
      <c r="AM135" s="188" t="s">
        <v>11</v>
      </c>
      <c r="AN135" s="188">
        <v>2014</v>
      </c>
      <c r="AO135" s="188" t="s">
        <v>459</v>
      </c>
      <c r="AP135" s="222">
        <f t="shared" si="8"/>
        <v>60.967838148273692</v>
      </c>
      <c r="AQ135" s="222">
        <f t="shared" si="8"/>
        <v>44.383928183346363</v>
      </c>
      <c r="AR135" s="222">
        <f t="shared" si="8"/>
        <v>16.378288528400564</v>
      </c>
      <c r="AS135" s="222">
        <f t="shared" si="8"/>
        <v>7.6318019494040419</v>
      </c>
      <c r="AT135" s="222">
        <f t="shared" si="7"/>
        <v>1.8170441680444391</v>
      </c>
      <c r="AU135" s="222">
        <f t="shared" si="7"/>
        <v>0.58439776697081425</v>
      </c>
      <c r="AV135" s="222">
        <f t="shared" si="7"/>
        <v>0.23808797913625768</v>
      </c>
      <c r="AW135" s="222">
        <f t="shared" si="7"/>
        <v>132.00355115975015</v>
      </c>
      <c r="AX135" s="217"/>
    </row>
    <row r="136" spans="2:50" s="110" customFormat="1" hidden="1">
      <c r="B136" s="109"/>
      <c r="X136" s="119"/>
      <c r="Y136" s="120"/>
      <c r="Z136" s="188" t="s">
        <v>11</v>
      </c>
      <c r="AA136" s="188">
        <v>2014</v>
      </c>
      <c r="AB136" s="188" t="s">
        <v>483</v>
      </c>
      <c r="AC136" s="188">
        <v>5632</v>
      </c>
      <c r="AD136" s="188">
        <v>35895</v>
      </c>
      <c r="AE136" s="188">
        <v>3027</v>
      </c>
      <c r="AF136" s="188">
        <v>31</v>
      </c>
      <c r="AG136" s="188">
        <v>0</v>
      </c>
      <c r="AH136" s="188">
        <v>0</v>
      </c>
      <c r="AI136" s="188"/>
      <c r="AJ136" s="188">
        <v>44584</v>
      </c>
      <c r="AK136" s="217"/>
      <c r="AL136" s="221">
        <f>VLOOKUP(AA136,pgdp!$A$13:$C$90,3,FALSE)</f>
        <v>0.9240281714268912</v>
      </c>
      <c r="AM136" s="188" t="s">
        <v>11</v>
      </c>
      <c r="AN136" s="188">
        <v>2014</v>
      </c>
      <c r="AO136" s="188" t="s">
        <v>483</v>
      </c>
      <c r="AP136" s="222">
        <f t="shared" si="8"/>
        <v>6.0950522658881967</v>
      </c>
      <c r="AQ136" s="222">
        <f t="shared" si="8"/>
        <v>38.846218232254401</v>
      </c>
      <c r="AR136" s="222">
        <f t="shared" si="8"/>
        <v>3.275874149297509</v>
      </c>
      <c r="AS136" s="222">
        <f t="shared" si="8"/>
        <v>3.3548760696472668E-2</v>
      </c>
      <c r="AT136" s="222">
        <f t="shared" si="7"/>
        <v>0</v>
      </c>
      <c r="AU136" s="222">
        <f t="shared" si="7"/>
        <v>0</v>
      </c>
      <c r="AV136" s="222">
        <f t="shared" si="7"/>
        <v>0</v>
      </c>
      <c r="AW136" s="222">
        <f t="shared" si="7"/>
        <v>48.249611190049606</v>
      </c>
      <c r="AX136" s="214"/>
    </row>
    <row r="137" spans="2:50" s="110" customFormat="1" hidden="1">
      <c r="B137" s="109"/>
      <c r="X137" s="122"/>
      <c r="Y137" s="109"/>
      <c r="Z137" s="188" t="s">
        <v>11</v>
      </c>
      <c r="AA137" s="188">
        <v>2014</v>
      </c>
      <c r="AB137" s="188" t="s">
        <v>484</v>
      </c>
      <c r="AC137" s="188"/>
      <c r="AD137" s="188"/>
      <c r="AE137" s="188"/>
      <c r="AF137" s="188"/>
      <c r="AG137" s="188"/>
      <c r="AH137" s="188"/>
      <c r="AI137" s="188"/>
      <c r="AJ137" s="188">
        <v>0</v>
      </c>
      <c r="AK137" s="217"/>
      <c r="AL137" s="221">
        <f>VLOOKUP(AA137,pgdp!$A$13:$C$90,3,FALSE)</f>
        <v>0.9240281714268912</v>
      </c>
      <c r="AM137" s="188" t="s">
        <v>11</v>
      </c>
      <c r="AN137" s="188">
        <v>2014</v>
      </c>
      <c r="AO137" s="188" t="s">
        <v>484</v>
      </c>
      <c r="AP137" s="222">
        <f t="shared" si="8"/>
        <v>0</v>
      </c>
      <c r="AQ137" s="222">
        <f t="shared" si="8"/>
        <v>0</v>
      </c>
      <c r="AR137" s="222">
        <f t="shared" si="8"/>
        <v>0</v>
      </c>
      <c r="AS137" s="222">
        <f t="shared" si="8"/>
        <v>0</v>
      </c>
      <c r="AT137" s="222">
        <f t="shared" si="7"/>
        <v>0</v>
      </c>
      <c r="AU137" s="222">
        <f t="shared" si="7"/>
        <v>0</v>
      </c>
      <c r="AV137" s="222">
        <f t="shared" si="7"/>
        <v>0</v>
      </c>
      <c r="AW137" s="222">
        <f t="shared" si="7"/>
        <v>0</v>
      </c>
      <c r="AX137" s="217"/>
    </row>
    <row r="138" spans="2:50" s="110" customFormat="1" hidden="1">
      <c r="B138" s="109"/>
      <c r="X138" s="119"/>
      <c r="Y138" s="120"/>
      <c r="Z138" s="188" t="s">
        <v>11</v>
      </c>
      <c r="AA138" s="188">
        <v>2015</v>
      </c>
      <c r="AB138" s="188" t="s">
        <v>459</v>
      </c>
      <c r="AC138" s="188">
        <v>56169</v>
      </c>
      <c r="AD138" s="188">
        <v>41198</v>
      </c>
      <c r="AE138" s="188">
        <v>14331</v>
      </c>
      <c r="AF138" s="188">
        <v>6703</v>
      </c>
      <c r="AG138" s="188">
        <v>971</v>
      </c>
      <c r="AH138" s="188">
        <v>430</v>
      </c>
      <c r="AI138" s="188">
        <v>239</v>
      </c>
      <c r="AJ138" s="188">
        <v>120040</v>
      </c>
      <c r="AK138" s="214"/>
      <c r="AL138" s="221">
        <f>VLOOKUP(AA138,pgdp!$A$13:$C$90,3,FALSE)</f>
        <v>0.9351696664966358</v>
      </c>
      <c r="AM138" s="188" t="s">
        <v>11</v>
      </c>
      <c r="AN138" s="188">
        <v>2015</v>
      </c>
      <c r="AO138" s="188" t="s">
        <v>459</v>
      </c>
      <c r="AP138" s="222">
        <f t="shared" si="8"/>
        <v>60.062897688311693</v>
      </c>
      <c r="AQ138" s="222">
        <f t="shared" si="8"/>
        <v>44.054037974025974</v>
      </c>
      <c r="AR138" s="222">
        <f t="shared" si="8"/>
        <v>15.324491922077923</v>
      </c>
      <c r="AS138" s="222">
        <f t="shared" si="8"/>
        <v>7.1676832987012986</v>
      </c>
      <c r="AT138" s="222">
        <f t="shared" si="7"/>
        <v>1.0383142597402597</v>
      </c>
      <c r="AU138" s="222">
        <f t="shared" si="7"/>
        <v>0.45980961038961038</v>
      </c>
      <c r="AV138" s="222">
        <f t="shared" si="7"/>
        <v>0.25556859740259741</v>
      </c>
      <c r="AW138" s="222">
        <f t="shared" si="7"/>
        <v>128.36173402597404</v>
      </c>
      <c r="AX138" s="217"/>
    </row>
    <row r="139" spans="2:50" s="110" customFormat="1" hidden="1">
      <c r="B139" s="109"/>
      <c r="X139" s="122"/>
      <c r="Y139" s="109"/>
      <c r="Z139" s="188" t="s">
        <v>11</v>
      </c>
      <c r="AA139" s="188">
        <v>2015</v>
      </c>
      <c r="AB139" s="188" t="s">
        <v>485</v>
      </c>
      <c r="AC139" s="188">
        <v>3302</v>
      </c>
      <c r="AD139" s="188">
        <v>23328</v>
      </c>
      <c r="AE139" s="188">
        <v>1579</v>
      </c>
      <c r="AF139" s="188">
        <v>36</v>
      </c>
      <c r="AG139" s="188">
        <v>37</v>
      </c>
      <c r="AH139" s="188">
        <v>0</v>
      </c>
      <c r="AI139" s="188">
        <v>0</v>
      </c>
      <c r="AJ139" s="188">
        <v>28282</v>
      </c>
      <c r="AK139" s="217"/>
      <c r="AL139" s="221">
        <f>VLOOKUP(AA139,pgdp!$A$13:$C$90,3,FALSE)</f>
        <v>0.9351696664966358</v>
      </c>
      <c r="AM139" s="188" t="s">
        <v>11</v>
      </c>
      <c r="AN139" s="188">
        <v>2015</v>
      </c>
      <c r="AO139" s="188" t="s">
        <v>485</v>
      </c>
      <c r="AP139" s="222">
        <f t="shared" si="8"/>
        <v>3.5309100779220781</v>
      </c>
      <c r="AQ139" s="222">
        <f t="shared" si="8"/>
        <v>24.945206025974027</v>
      </c>
      <c r="AR139" s="222">
        <f t="shared" si="8"/>
        <v>1.6884636623376623</v>
      </c>
      <c r="AS139" s="222">
        <f t="shared" si="8"/>
        <v>3.8495688311688314E-2</v>
      </c>
      <c r="AT139" s="222">
        <f t="shared" si="7"/>
        <v>3.9565012987012982E-2</v>
      </c>
      <c r="AU139" s="222">
        <f t="shared" si="7"/>
        <v>0</v>
      </c>
      <c r="AV139" s="222">
        <f t="shared" si="7"/>
        <v>0</v>
      </c>
      <c r="AW139" s="222">
        <f t="shared" si="7"/>
        <v>30.242640467532468</v>
      </c>
      <c r="AX139" s="214"/>
    </row>
    <row r="140" spans="2:50" s="110" customFormat="1" hidden="1">
      <c r="B140" s="109"/>
      <c r="X140" s="122"/>
      <c r="Y140" s="109"/>
      <c r="Z140" s="188" t="s">
        <v>11</v>
      </c>
      <c r="AA140" s="188">
        <v>2015</v>
      </c>
      <c r="AB140" s="188" t="s">
        <v>486</v>
      </c>
      <c r="AC140" s="188"/>
      <c r="AD140" s="188"/>
      <c r="AE140" s="188"/>
      <c r="AF140" s="188"/>
      <c r="AG140" s="188"/>
      <c r="AH140" s="188"/>
      <c r="AI140" s="188"/>
      <c r="AJ140" s="188">
        <v>0</v>
      </c>
      <c r="AK140" s="214"/>
      <c r="AL140" s="221">
        <f>VLOOKUP(AA140,pgdp!$A$13:$C$90,3,FALSE)</f>
        <v>0.9351696664966358</v>
      </c>
      <c r="AM140" s="188" t="s">
        <v>11</v>
      </c>
      <c r="AN140" s="188">
        <v>2015</v>
      </c>
      <c r="AO140" s="188" t="s">
        <v>486</v>
      </c>
      <c r="AP140" s="222">
        <f t="shared" si="8"/>
        <v>0</v>
      </c>
      <c r="AQ140" s="222">
        <f t="shared" si="8"/>
        <v>0</v>
      </c>
      <c r="AR140" s="222">
        <f t="shared" si="8"/>
        <v>0</v>
      </c>
      <c r="AS140" s="222">
        <f t="shared" si="8"/>
        <v>0</v>
      </c>
      <c r="AT140" s="222">
        <f t="shared" si="7"/>
        <v>0</v>
      </c>
      <c r="AU140" s="222">
        <f t="shared" si="7"/>
        <v>0</v>
      </c>
      <c r="AV140" s="222">
        <f t="shared" si="7"/>
        <v>0</v>
      </c>
      <c r="AW140" s="222">
        <f t="shared" si="7"/>
        <v>0</v>
      </c>
      <c r="AX140" s="217"/>
    </row>
    <row r="141" spans="2:50" s="110" customFormat="1" hidden="1">
      <c r="B141" s="109"/>
      <c r="X141" s="119"/>
      <c r="Y141" s="120"/>
      <c r="Z141" s="188" t="s">
        <v>11</v>
      </c>
      <c r="AA141" s="188">
        <v>2016</v>
      </c>
      <c r="AB141" s="188" t="s">
        <v>459</v>
      </c>
      <c r="AC141" s="188">
        <v>55971</v>
      </c>
      <c r="AD141" s="188">
        <v>41789</v>
      </c>
      <c r="AE141" s="188">
        <v>16938</v>
      </c>
      <c r="AF141" s="188">
        <v>7653</v>
      </c>
      <c r="AG141" s="188">
        <v>1105</v>
      </c>
      <c r="AH141" s="188">
        <v>443</v>
      </c>
      <c r="AI141" s="188">
        <v>195</v>
      </c>
      <c r="AJ141" s="188">
        <v>124096</v>
      </c>
      <c r="AK141" s="217"/>
      <c r="AL141" s="221">
        <f>VLOOKUP(AA141,pgdp!$A$13:$C$90,3,FALSE)</f>
        <v>0.94602138468179731</v>
      </c>
      <c r="AM141" s="188" t="s">
        <v>11</v>
      </c>
      <c r="AN141" s="188">
        <v>2016</v>
      </c>
      <c r="AO141" s="188" t="s">
        <v>459</v>
      </c>
      <c r="AP141" s="222">
        <f t="shared" si="8"/>
        <v>59.164624506692668</v>
      </c>
      <c r="AQ141" s="222">
        <f t="shared" si="8"/>
        <v>44.173420048063818</v>
      </c>
      <c r="AR141" s="222">
        <f t="shared" si="8"/>
        <v>17.90445784235337</v>
      </c>
      <c r="AS141" s="222">
        <f t="shared" si="8"/>
        <v>8.089669138477408</v>
      </c>
      <c r="AT141" s="222">
        <f t="shared" si="7"/>
        <v>1.1680497057386039</v>
      </c>
      <c r="AU141" s="222">
        <f t="shared" si="7"/>
        <v>0.46827694085267108</v>
      </c>
      <c r="AV141" s="222">
        <f t="shared" si="7"/>
        <v>0.20612641865975365</v>
      </c>
      <c r="AW141" s="222">
        <f t="shared" si="7"/>
        <v>131.17673871795273</v>
      </c>
      <c r="AX141" s="214"/>
    </row>
    <row r="142" spans="2:50" s="110" customFormat="1" hidden="1">
      <c r="B142" s="109"/>
      <c r="X142" s="122"/>
      <c r="Y142" s="109"/>
      <c r="Z142" s="188" t="s">
        <v>11</v>
      </c>
      <c r="AA142" s="188">
        <v>2016</v>
      </c>
      <c r="AB142" s="188" t="s">
        <v>487</v>
      </c>
      <c r="AC142" s="188">
        <v>1964</v>
      </c>
      <c r="AD142" s="188">
        <v>19454</v>
      </c>
      <c r="AE142" s="188">
        <v>2520</v>
      </c>
      <c r="AF142" s="188">
        <v>2</v>
      </c>
      <c r="AG142" s="188">
        <v>0</v>
      </c>
      <c r="AH142" s="188">
        <v>0</v>
      </c>
      <c r="AI142" s="188">
        <v>0</v>
      </c>
      <c r="AJ142" s="188">
        <v>23940</v>
      </c>
      <c r="AK142" s="214"/>
      <c r="AL142" s="221">
        <f>VLOOKUP(AA142,pgdp!$A$13:$C$90,3,FALSE)</f>
        <v>0.94602138468179731</v>
      </c>
      <c r="AM142" s="188" t="s">
        <v>11</v>
      </c>
      <c r="AN142" s="188">
        <v>2016</v>
      </c>
      <c r="AO142" s="188" t="s">
        <v>487</v>
      </c>
      <c r="AP142" s="222">
        <f t="shared" si="8"/>
        <v>2.0760630063987495</v>
      </c>
      <c r="AQ142" s="222">
        <f t="shared" si="8"/>
        <v>20.564017172342808</v>
      </c>
      <c r="AR142" s="222">
        <f t="shared" si="8"/>
        <v>2.6637875642183548</v>
      </c>
      <c r="AS142" s="222">
        <f t="shared" si="8"/>
        <v>2.1141171144590117E-3</v>
      </c>
      <c r="AT142" s="222">
        <f t="shared" si="7"/>
        <v>0</v>
      </c>
      <c r="AU142" s="222">
        <f t="shared" si="7"/>
        <v>0</v>
      </c>
      <c r="AV142" s="222">
        <f t="shared" si="7"/>
        <v>0</v>
      </c>
      <c r="AW142" s="222">
        <f t="shared" si="7"/>
        <v>25.305981860074372</v>
      </c>
      <c r="AX142" s="217"/>
    </row>
    <row r="143" spans="2:50" s="110" customFormat="1" hidden="1">
      <c r="B143" s="109"/>
      <c r="X143" s="119"/>
      <c r="Y143" s="120"/>
      <c r="Z143" s="188" t="s">
        <v>11</v>
      </c>
      <c r="AA143" s="188">
        <v>2017</v>
      </c>
      <c r="AB143" s="188" t="s">
        <v>459</v>
      </c>
      <c r="AC143" s="188">
        <v>55311</v>
      </c>
      <c r="AD143" s="188">
        <v>42163</v>
      </c>
      <c r="AE143" s="188">
        <v>16508</v>
      </c>
      <c r="AF143" s="188">
        <v>8359</v>
      </c>
      <c r="AG143" s="188">
        <v>953</v>
      </c>
      <c r="AH143" s="188">
        <v>483</v>
      </c>
      <c r="AI143" s="188">
        <v>245</v>
      </c>
      <c r="AJ143" s="188">
        <v>124022</v>
      </c>
      <c r="AK143" s="217"/>
      <c r="AL143" s="221">
        <f>VLOOKUP(AA143,pgdp!$A$13:$C$90,3,FALSE)</f>
        <v>0.96224036736890672</v>
      </c>
      <c r="AM143" s="188" t="s">
        <v>11</v>
      </c>
      <c r="AN143" s="188">
        <v>2017</v>
      </c>
      <c r="AO143" s="188" t="s">
        <v>459</v>
      </c>
      <c r="AP143" s="222">
        <f t="shared" si="8"/>
        <v>57.481479550935006</v>
      </c>
      <c r="AQ143" s="222">
        <f t="shared" si="8"/>
        <v>43.817533986116189</v>
      </c>
      <c r="AR143" s="222">
        <f t="shared" si="8"/>
        <v>17.155796576211518</v>
      </c>
      <c r="AS143" s="222">
        <f t="shared" si="8"/>
        <v>8.6870186322117782</v>
      </c>
      <c r="AT143" s="222">
        <f t="shared" si="7"/>
        <v>0.99039702793370332</v>
      </c>
      <c r="AU143" s="222">
        <f t="shared" si="7"/>
        <v>0.50195358288770053</v>
      </c>
      <c r="AV143" s="222">
        <f t="shared" si="7"/>
        <v>0.25461413624738433</v>
      </c>
      <c r="AW143" s="222">
        <f t="shared" si="7"/>
        <v>128.88879349254327</v>
      </c>
      <c r="AX143" s="214"/>
    </row>
    <row r="144" spans="2:50" s="121" customFormat="1" hidden="1">
      <c r="B144" s="109"/>
      <c r="X144" s="122"/>
      <c r="Y144" s="109"/>
      <c r="Z144" s="188" t="s">
        <v>11</v>
      </c>
      <c r="AA144" s="188">
        <v>2017</v>
      </c>
      <c r="AB144" s="188" t="s">
        <v>488</v>
      </c>
      <c r="AC144" s="188">
        <v>2349</v>
      </c>
      <c r="AD144" s="188">
        <v>26171</v>
      </c>
      <c r="AE144" s="188">
        <v>5248</v>
      </c>
      <c r="AF144" s="188">
        <v>358</v>
      </c>
      <c r="AG144" s="188">
        <v>80</v>
      </c>
      <c r="AH144" s="188">
        <v>0</v>
      </c>
      <c r="AI144" s="188">
        <v>0</v>
      </c>
      <c r="AJ144" s="188">
        <v>34207</v>
      </c>
      <c r="AK144" s="217"/>
      <c r="AL144" s="221">
        <f>VLOOKUP(AA144,pgdp!$A$13:$C$90,3,FALSE)</f>
        <v>0.96224036736890672</v>
      </c>
      <c r="AM144" s="188" t="s">
        <v>11</v>
      </c>
      <c r="AN144" s="188">
        <v>2017</v>
      </c>
      <c r="AO144" s="188" t="s">
        <v>488</v>
      </c>
      <c r="AP144" s="222">
        <f t="shared" si="8"/>
        <v>2.4411779838575747</v>
      </c>
      <c r="AQ144" s="222">
        <f t="shared" si="8"/>
        <v>27.197985958082842</v>
      </c>
      <c r="AR144" s="222">
        <f t="shared" si="8"/>
        <v>5.4539387225562166</v>
      </c>
      <c r="AS144" s="222">
        <f t="shared" si="8"/>
        <v>0.37204841133291267</v>
      </c>
      <c r="AT144" s="222">
        <f t="shared" si="7"/>
        <v>8.3139309795064273E-2</v>
      </c>
      <c r="AU144" s="222">
        <f t="shared" si="7"/>
        <v>0</v>
      </c>
      <c r="AV144" s="222">
        <f t="shared" si="7"/>
        <v>0</v>
      </c>
      <c r="AW144" s="222">
        <f t="shared" si="7"/>
        <v>35.549329626997043</v>
      </c>
      <c r="AX144" s="217"/>
    </row>
    <row r="145" spans="2:50" s="121" customFormat="1" hidden="1">
      <c r="B145" s="109"/>
      <c r="X145" s="119"/>
      <c r="Y145" s="120"/>
      <c r="Z145" s="188" t="s">
        <v>11</v>
      </c>
      <c r="AA145" s="188">
        <v>2018</v>
      </c>
      <c r="AB145" s="188" t="s">
        <v>459</v>
      </c>
      <c r="AC145" s="188">
        <v>55582</v>
      </c>
      <c r="AD145" s="188">
        <v>41584</v>
      </c>
      <c r="AE145" s="188">
        <v>16271</v>
      </c>
      <c r="AF145" s="188">
        <v>8273</v>
      </c>
      <c r="AG145" s="188">
        <v>949</v>
      </c>
      <c r="AH145" s="188">
        <v>480</v>
      </c>
      <c r="AI145" s="188">
        <v>195</v>
      </c>
      <c r="AJ145" s="188">
        <v>123334</v>
      </c>
      <c r="AK145" s="214"/>
      <c r="AL145" s="221">
        <f>VLOOKUP(AA145,pgdp!$A$13:$C$90,3,FALSE)</f>
        <v>0.9807153483309915</v>
      </c>
      <c r="AM145" s="188" t="s">
        <v>11</v>
      </c>
      <c r="AN145" s="188">
        <v>2018</v>
      </c>
      <c r="AO145" s="188" t="s">
        <v>459</v>
      </c>
      <c r="AP145" s="222">
        <f t="shared" si="8"/>
        <v>56.6749568002489</v>
      </c>
      <c r="AQ145" s="222">
        <f t="shared" si="8"/>
        <v>42.401702054290062</v>
      </c>
      <c r="AR145" s="222">
        <f t="shared" si="8"/>
        <v>16.590950705207618</v>
      </c>
      <c r="AS145" s="222">
        <f t="shared" si="8"/>
        <v>8.4356791336846317</v>
      </c>
      <c r="AT145" s="222">
        <f t="shared" si="7"/>
        <v>0.96766100542327038</v>
      </c>
      <c r="AU145" s="222">
        <f t="shared" si="7"/>
        <v>0.48943865395486802</v>
      </c>
      <c r="AV145" s="222">
        <f t="shared" si="7"/>
        <v>0.19883445316916512</v>
      </c>
      <c r="AW145" s="222">
        <f t="shared" si="7"/>
        <v>125.75922280597852</v>
      </c>
      <c r="AX145" s="217"/>
    </row>
    <row r="146" spans="2:50" s="110" customFormat="1" hidden="1">
      <c r="B146" s="109"/>
      <c r="X146" s="122"/>
      <c r="Y146" s="109"/>
      <c r="Z146" s="188" t="s">
        <v>11</v>
      </c>
      <c r="AA146" s="188">
        <v>2018</v>
      </c>
      <c r="AB146" s="188" t="s">
        <v>489</v>
      </c>
      <c r="AC146" s="188">
        <v>2385</v>
      </c>
      <c r="AD146" s="188">
        <v>26266</v>
      </c>
      <c r="AE146" s="188">
        <v>4994</v>
      </c>
      <c r="AF146" s="188">
        <v>342</v>
      </c>
      <c r="AG146" s="188">
        <v>80</v>
      </c>
      <c r="AH146" s="188">
        <v>0</v>
      </c>
      <c r="AI146" s="188">
        <v>49</v>
      </c>
      <c r="AJ146" s="188">
        <v>34115</v>
      </c>
      <c r="AK146" s="217"/>
      <c r="AL146" s="221">
        <f>VLOOKUP(AA146,pgdp!$A$13:$C$90,3,FALSE)</f>
        <v>0.9807153483309915</v>
      </c>
      <c r="AM146" s="188" t="s">
        <v>11</v>
      </c>
      <c r="AN146" s="188">
        <v>2018</v>
      </c>
      <c r="AO146" s="188" t="s">
        <v>489</v>
      </c>
      <c r="AP146" s="222">
        <f t="shared" si="8"/>
        <v>2.4318983118382502</v>
      </c>
      <c r="AQ146" s="222">
        <f t="shared" si="8"/>
        <v>26.782491009955343</v>
      </c>
      <c r="AR146" s="222">
        <f t="shared" si="8"/>
        <v>5.0922013288554391</v>
      </c>
      <c r="AS146" s="222">
        <f t="shared" si="8"/>
        <v>0.34872504094284346</v>
      </c>
      <c r="AT146" s="222">
        <f t="shared" si="7"/>
        <v>8.1573108992477994E-2</v>
      </c>
      <c r="AU146" s="222">
        <f t="shared" si="7"/>
        <v>0</v>
      </c>
      <c r="AV146" s="222">
        <f t="shared" si="7"/>
        <v>4.9963529257892783E-2</v>
      </c>
      <c r="AW146" s="222">
        <f t="shared" si="7"/>
        <v>34.785832665979839</v>
      </c>
      <c r="AX146" s="214"/>
    </row>
    <row r="147" spans="2:50" s="110" customFormat="1" hidden="1">
      <c r="B147" s="109"/>
      <c r="X147" s="122"/>
      <c r="Y147" s="109"/>
      <c r="Z147" s="188" t="s">
        <v>11</v>
      </c>
      <c r="AA147" s="188">
        <v>2018</v>
      </c>
      <c r="AB147" s="188" t="s">
        <v>490</v>
      </c>
      <c r="AC147" s="188">
        <v>0</v>
      </c>
      <c r="AD147" s="188">
        <v>0</v>
      </c>
      <c r="AE147" s="188">
        <v>884</v>
      </c>
      <c r="AF147" s="188">
        <v>21</v>
      </c>
      <c r="AG147" s="188">
        <v>0</v>
      </c>
      <c r="AH147" s="188">
        <v>0</v>
      </c>
      <c r="AI147" s="188">
        <v>0</v>
      </c>
      <c r="AJ147" s="188">
        <v>905</v>
      </c>
      <c r="AK147" s="217"/>
      <c r="AL147" s="221">
        <f>VLOOKUP(AA147,pgdp!$A$13:$C$90,3,FALSE)</f>
        <v>0.9807153483309915</v>
      </c>
      <c r="AM147" s="188" t="s">
        <v>11</v>
      </c>
      <c r="AN147" s="188">
        <v>2018</v>
      </c>
      <c r="AO147" s="188" t="s">
        <v>490</v>
      </c>
      <c r="AP147" s="222">
        <f t="shared" si="8"/>
        <v>0</v>
      </c>
      <c r="AQ147" s="222">
        <f t="shared" si="8"/>
        <v>0</v>
      </c>
      <c r="AR147" s="222">
        <f t="shared" si="8"/>
        <v>0.90138285436688192</v>
      </c>
      <c r="AS147" s="222">
        <f t="shared" si="8"/>
        <v>2.1412941110525475E-2</v>
      </c>
      <c r="AT147" s="222">
        <f t="shared" si="7"/>
        <v>0</v>
      </c>
      <c r="AU147" s="222">
        <f t="shared" si="7"/>
        <v>0</v>
      </c>
      <c r="AV147" s="222">
        <f t="shared" si="7"/>
        <v>0</v>
      </c>
      <c r="AW147" s="222">
        <f t="shared" ref="AW147:AW210" si="9">AJ147/$AL147/1000</f>
        <v>0.92279579547740742</v>
      </c>
      <c r="AX147" s="217"/>
    </row>
    <row r="148" spans="2:50" s="110" customFormat="1" hidden="1">
      <c r="B148" s="109"/>
      <c r="X148" s="119"/>
      <c r="Y148" s="120"/>
      <c r="Z148" s="188" t="s">
        <v>11</v>
      </c>
      <c r="AA148" s="188">
        <v>2019</v>
      </c>
      <c r="AB148" s="188" t="s">
        <v>459</v>
      </c>
      <c r="AC148" s="188">
        <v>60585</v>
      </c>
      <c r="AD148" s="188">
        <v>52529</v>
      </c>
      <c r="AE148" s="188">
        <v>22856</v>
      </c>
      <c r="AF148" s="188">
        <v>10159</v>
      </c>
      <c r="AG148" s="188">
        <v>1320</v>
      </c>
      <c r="AH148" s="188">
        <v>707</v>
      </c>
      <c r="AI148" s="188">
        <v>159</v>
      </c>
      <c r="AJ148" s="188">
        <v>148314</v>
      </c>
      <c r="AK148" s="214"/>
      <c r="AL148" s="221">
        <f>VLOOKUP(AA148,pgdp!$A$13:$C$90,3,FALSE)</f>
        <v>1</v>
      </c>
      <c r="AM148" s="188" t="s">
        <v>11</v>
      </c>
      <c r="AN148" s="188">
        <v>2019</v>
      </c>
      <c r="AO148" s="188" t="s">
        <v>459</v>
      </c>
      <c r="AP148" s="222">
        <f t="shared" si="8"/>
        <v>60.585000000000001</v>
      </c>
      <c r="AQ148" s="222">
        <f t="shared" si="8"/>
        <v>52.529000000000003</v>
      </c>
      <c r="AR148" s="222">
        <f t="shared" si="8"/>
        <v>22.856000000000002</v>
      </c>
      <c r="AS148" s="222">
        <f t="shared" si="8"/>
        <v>10.159000000000001</v>
      </c>
      <c r="AT148" s="222">
        <f t="shared" si="8"/>
        <v>1.32</v>
      </c>
      <c r="AU148" s="222">
        <f t="shared" si="8"/>
        <v>0.70699999999999996</v>
      </c>
      <c r="AV148" s="222">
        <f t="shared" si="8"/>
        <v>0.159</v>
      </c>
      <c r="AW148" s="222">
        <f t="shared" si="9"/>
        <v>148.31399999999999</v>
      </c>
      <c r="AX148" s="214"/>
    </row>
    <row r="149" spans="2:50" s="110" customFormat="1" hidden="1">
      <c r="B149" s="109"/>
      <c r="X149" s="122"/>
      <c r="Y149" s="109"/>
      <c r="Z149" s="188" t="s">
        <v>11</v>
      </c>
      <c r="AA149" s="188">
        <v>2019</v>
      </c>
      <c r="AB149" s="188" t="s">
        <v>491</v>
      </c>
      <c r="AC149" s="188">
        <v>3161</v>
      </c>
      <c r="AD149" s="188">
        <v>24963</v>
      </c>
      <c r="AE149" s="188">
        <v>4964</v>
      </c>
      <c r="AF149" s="188">
        <v>325</v>
      </c>
      <c r="AG149" s="188">
        <v>261</v>
      </c>
      <c r="AH149" s="188">
        <v>0</v>
      </c>
      <c r="AI149" s="188">
        <v>7</v>
      </c>
      <c r="AJ149" s="188">
        <v>33681</v>
      </c>
      <c r="AK149" s="217"/>
      <c r="AL149" s="221">
        <f>VLOOKUP(AA149,pgdp!$A$13:$C$90,3,FALSE)</f>
        <v>1</v>
      </c>
      <c r="AM149" s="188" t="s">
        <v>11</v>
      </c>
      <c r="AN149" s="188">
        <v>2019</v>
      </c>
      <c r="AO149" s="188" t="s">
        <v>491</v>
      </c>
      <c r="AP149" s="222">
        <f t="shared" si="8"/>
        <v>3.161</v>
      </c>
      <c r="AQ149" s="222">
        <f t="shared" si="8"/>
        <v>24.963000000000001</v>
      </c>
      <c r="AR149" s="222">
        <f t="shared" si="8"/>
        <v>4.9640000000000004</v>
      </c>
      <c r="AS149" s="222">
        <f t="shared" si="8"/>
        <v>0.32500000000000001</v>
      </c>
      <c r="AT149" s="222">
        <f t="shared" si="8"/>
        <v>0.26100000000000001</v>
      </c>
      <c r="AU149" s="222">
        <f t="shared" si="8"/>
        <v>0</v>
      </c>
      <c r="AV149" s="222">
        <f t="shared" si="8"/>
        <v>7.0000000000000001E-3</v>
      </c>
      <c r="AW149" s="222">
        <f t="shared" si="9"/>
        <v>33.680999999999997</v>
      </c>
      <c r="AX149" s="217"/>
    </row>
    <row r="150" spans="2:50" s="110" customFormat="1" hidden="1">
      <c r="B150" s="109"/>
      <c r="X150" s="122"/>
      <c r="Y150" s="109"/>
      <c r="Z150" s="188" t="s">
        <v>12</v>
      </c>
      <c r="AA150" s="188">
        <v>2001</v>
      </c>
      <c r="AB150" s="188" t="s">
        <v>459</v>
      </c>
      <c r="AC150" s="188">
        <v>26721</v>
      </c>
      <c r="AD150" s="188">
        <v>27702</v>
      </c>
      <c r="AE150" s="188">
        <v>26285</v>
      </c>
      <c r="AF150" s="188">
        <v>9451</v>
      </c>
      <c r="AG150" s="188">
        <v>1415</v>
      </c>
      <c r="AH150" s="188">
        <v>1292</v>
      </c>
      <c r="AI150" s="188">
        <v>485</v>
      </c>
      <c r="AJ150" s="188">
        <v>93351</v>
      </c>
      <c r="AK150" s="217"/>
      <c r="AL150" s="221">
        <f>VLOOKUP(AA150,pgdp!$A$13:$C$90,3,FALSE)</f>
        <v>0.71033050332114134</v>
      </c>
      <c r="AM150" s="188" t="s">
        <v>12</v>
      </c>
      <c r="AN150" s="188">
        <v>2001</v>
      </c>
      <c r="AO150" s="188" t="s">
        <v>459</v>
      </c>
      <c r="AP150" s="222">
        <f t="shared" si="8"/>
        <v>37.617700317058464</v>
      </c>
      <c r="AQ150" s="222">
        <f t="shared" si="8"/>
        <v>38.998747583666542</v>
      </c>
      <c r="AR150" s="222">
        <f t="shared" si="8"/>
        <v>37.003901531899324</v>
      </c>
      <c r="AS150" s="222">
        <f t="shared" si="8"/>
        <v>13.305074125089613</v>
      </c>
      <c r="AT150" s="222">
        <f t="shared" si="8"/>
        <v>1.992030461009608</v>
      </c>
      <c r="AU150" s="222">
        <f t="shared" si="8"/>
        <v>1.8188716294165466</v>
      </c>
      <c r="AV150" s="222">
        <f t="shared" si="8"/>
        <v>0.68278075872060762</v>
      </c>
      <c r="AW150" s="222">
        <f t="shared" si="9"/>
        <v>131.41910640686072</v>
      </c>
      <c r="AX150" s="214"/>
    </row>
    <row r="151" spans="2:50" s="110" customFormat="1" hidden="1">
      <c r="B151" s="109"/>
      <c r="X151" s="119"/>
      <c r="Y151" s="120"/>
      <c r="Z151" s="188" t="s">
        <v>12</v>
      </c>
      <c r="AA151" s="188">
        <v>2001</v>
      </c>
      <c r="AB151" s="188" t="s">
        <v>460</v>
      </c>
      <c r="AC151" s="188"/>
      <c r="AD151" s="188"/>
      <c r="AE151" s="188"/>
      <c r="AF151" s="188"/>
      <c r="AG151" s="188"/>
      <c r="AH151" s="188"/>
      <c r="AI151" s="188"/>
      <c r="AJ151" s="188">
        <v>0</v>
      </c>
      <c r="AK151" s="217"/>
      <c r="AL151" s="221">
        <f>VLOOKUP(AA151,pgdp!$A$13:$C$90,3,FALSE)</f>
        <v>0.71033050332114134</v>
      </c>
      <c r="AM151" s="188" t="s">
        <v>12</v>
      </c>
      <c r="AN151" s="188">
        <v>2001</v>
      </c>
      <c r="AO151" s="188" t="s">
        <v>460</v>
      </c>
      <c r="AP151" s="222">
        <f t="shared" si="8"/>
        <v>0</v>
      </c>
      <c r="AQ151" s="222">
        <f t="shared" si="8"/>
        <v>0</v>
      </c>
      <c r="AR151" s="222">
        <f t="shared" si="8"/>
        <v>0</v>
      </c>
      <c r="AS151" s="222">
        <f t="shared" si="8"/>
        <v>0</v>
      </c>
      <c r="AT151" s="222">
        <f t="shared" si="8"/>
        <v>0</v>
      </c>
      <c r="AU151" s="222">
        <f t="shared" si="8"/>
        <v>0</v>
      </c>
      <c r="AV151" s="222">
        <f t="shared" si="8"/>
        <v>0</v>
      </c>
      <c r="AW151" s="222">
        <f t="shared" si="9"/>
        <v>0</v>
      </c>
      <c r="AX151" s="217"/>
    </row>
    <row r="152" spans="2:50" s="110" customFormat="1" hidden="1">
      <c r="B152" s="109"/>
      <c r="X152" s="122"/>
      <c r="Y152" s="109"/>
      <c r="Z152" s="188" t="s">
        <v>12</v>
      </c>
      <c r="AA152" s="188">
        <v>2001</v>
      </c>
      <c r="AB152" s="188" t="s">
        <v>461</v>
      </c>
      <c r="AC152" s="188">
        <v>153</v>
      </c>
      <c r="AD152" s="188">
        <v>1320</v>
      </c>
      <c r="AE152" s="188">
        <v>15</v>
      </c>
      <c r="AF152" s="188">
        <v>128</v>
      </c>
      <c r="AG152" s="188">
        <v>3</v>
      </c>
      <c r="AH152" s="188">
        <v>20</v>
      </c>
      <c r="AI152" s="188"/>
      <c r="AJ152" s="188">
        <v>1639</v>
      </c>
      <c r="AK152" s="214"/>
      <c r="AL152" s="221">
        <f>VLOOKUP(AA152,pgdp!$A$13:$C$90,3,FALSE)</f>
        <v>0.71033050332114134</v>
      </c>
      <c r="AM152" s="188" t="s">
        <v>12</v>
      </c>
      <c r="AN152" s="188">
        <v>2001</v>
      </c>
      <c r="AO152" s="188" t="s">
        <v>461</v>
      </c>
      <c r="AP152" s="222">
        <f t="shared" si="8"/>
        <v>0.21539269295722263</v>
      </c>
      <c r="AQ152" s="222">
        <f t="shared" si="8"/>
        <v>1.858289900023097</v>
      </c>
      <c r="AR152" s="222">
        <f t="shared" si="8"/>
        <v>2.1116930682080651E-2</v>
      </c>
      <c r="AS152" s="222">
        <f t="shared" si="8"/>
        <v>0.18019780848708819</v>
      </c>
      <c r="AT152" s="222">
        <f t="shared" si="8"/>
        <v>4.2233861364161292E-3</v>
      </c>
      <c r="AU152" s="222">
        <f t="shared" si="8"/>
        <v>2.8155907576107531E-2</v>
      </c>
      <c r="AV152" s="222">
        <f t="shared" si="8"/>
        <v>0</v>
      </c>
      <c r="AW152" s="222">
        <f t="shared" si="9"/>
        <v>2.3073766258620121</v>
      </c>
      <c r="AX152" s="217"/>
    </row>
    <row r="153" spans="2:50" s="110" customFormat="1" hidden="1">
      <c r="B153" s="109"/>
      <c r="X153" s="122"/>
      <c r="Y153" s="109"/>
      <c r="Z153" s="188" t="s">
        <v>12</v>
      </c>
      <c r="AA153" s="188">
        <v>2002</v>
      </c>
      <c r="AB153" s="188" t="s">
        <v>459</v>
      </c>
      <c r="AC153" s="188">
        <v>29956</v>
      </c>
      <c r="AD153" s="188">
        <v>32584</v>
      </c>
      <c r="AE153" s="188">
        <v>24127</v>
      </c>
      <c r="AF153" s="188">
        <v>11402</v>
      </c>
      <c r="AG153" s="188">
        <v>1374</v>
      </c>
      <c r="AH153" s="188">
        <v>1228</v>
      </c>
      <c r="AI153" s="188">
        <v>722</v>
      </c>
      <c r="AJ153" s="188">
        <v>101393</v>
      </c>
      <c r="AK153" s="217"/>
      <c r="AL153" s="221">
        <f>VLOOKUP(AA153,pgdp!$A$13:$C$90,3,FALSE)</f>
        <v>0.72177029812501559</v>
      </c>
      <c r="AM153" s="188" t="s">
        <v>12</v>
      </c>
      <c r="AN153" s="188">
        <v>2002</v>
      </c>
      <c r="AO153" s="188" t="s">
        <v>459</v>
      </c>
      <c r="AP153" s="222">
        <f t="shared" si="8"/>
        <v>41.503508911101541</v>
      </c>
      <c r="AQ153" s="222">
        <f t="shared" si="8"/>
        <v>45.144556494836849</v>
      </c>
      <c r="AR153" s="222">
        <f t="shared" si="8"/>
        <v>33.427532364072199</v>
      </c>
      <c r="AS153" s="222">
        <f t="shared" si="8"/>
        <v>15.797269615582179</v>
      </c>
      <c r="AT153" s="222">
        <f t="shared" si="8"/>
        <v>1.9036527321355827</v>
      </c>
      <c r="AU153" s="222">
        <f t="shared" si="8"/>
        <v>1.7013723108169545</v>
      </c>
      <c r="AV153" s="222">
        <f t="shared" si="8"/>
        <v>1.0003182478907502</v>
      </c>
      <c r="AW153" s="222">
        <f t="shared" si="9"/>
        <v>140.47821067643605</v>
      </c>
      <c r="AX153" s="214"/>
    </row>
    <row r="154" spans="2:50" s="110" customFormat="1" hidden="1">
      <c r="B154" s="109"/>
      <c r="X154" s="122"/>
      <c r="Y154" s="109"/>
      <c r="Z154" s="188" t="s">
        <v>12</v>
      </c>
      <c r="AA154" s="188">
        <v>2002</v>
      </c>
      <c r="AB154" s="188" t="s">
        <v>462</v>
      </c>
      <c r="AC154" s="188"/>
      <c r="AD154" s="188">
        <v>37</v>
      </c>
      <c r="AE154" s="188">
        <v>242</v>
      </c>
      <c r="AF154" s="188">
        <v>-15</v>
      </c>
      <c r="AG154" s="188">
        <v>2</v>
      </c>
      <c r="AH154" s="188"/>
      <c r="AI154" s="188"/>
      <c r="AJ154" s="188">
        <v>266</v>
      </c>
      <c r="AK154" s="217"/>
      <c r="AL154" s="221">
        <f>VLOOKUP(AA154,pgdp!$A$13:$C$90,3,FALSE)</f>
        <v>0.72177029812501559</v>
      </c>
      <c r="AM154" s="188" t="s">
        <v>12</v>
      </c>
      <c r="AN154" s="188">
        <v>2002</v>
      </c>
      <c r="AO154" s="188" t="s">
        <v>462</v>
      </c>
      <c r="AP154" s="222">
        <f t="shared" si="8"/>
        <v>0</v>
      </c>
      <c r="AQ154" s="222">
        <f t="shared" si="8"/>
        <v>5.1262846498556447E-2</v>
      </c>
      <c r="AR154" s="222">
        <f t="shared" si="8"/>
        <v>0.33528672574731511</v>
      </c>
      <c r="AS154" s="222">
        <f t="shared" si="8"/>
        <v>-2.0782235066982346E-2</v>
      </c>
      <c r="AT154" s="222">
        <f t="shared" si="8"/>
        <v>2.7709646755976459E-3</v>
      </c>
      <c r="AU154" s="222">
        <f t="shared" si="8"/>
        <v>0</v>
      </c>
      <c r="AV154" s="222">
        <f t="shared" si="8"/>
        <v>0</v>
      </c>
      <c r="AW154" s="222">
        <f t="shared" si="9"/>
        <v>0.36853830185448694</v>
      </c>
      <c r="AX154" s="217"/>
    </row>
    <row r="155" spans="2:50" s="110" customFormat="1" hidden="1">
      <c r="B155" s="109"/>
      <c r="X155" s="119"/>
      <c r="Y155" s="120"/>
      <c r="Z155" s="188" t="s">
        <v>12</v>
      </c>
      <c r="AA155" s="188">
        <v>2003</v>
      </c>
      <c r="AB155" s="188" t="s">
        <v>459</v>
      </c>
      <c r="AC155" s="188">
        <v>33083</v>
      </c>
      <c r="AD155" s="188">
        <v>35228</v>
      </c>
      <c r="AE155" s="188">
        <v>27191</v>
      </c>
      <c r="AF155" s="188">
        <v>13668</v>
      </c>
      <c r="AG155" s="188">
        <v>1644</v>
      </c>
      <c r="AH155" s="188">
        <v>1194</v>
      </c>
      <c r="AI155" s="188">
        <v>893</v>
      </c>
      <c r="AJ155" s="188">
        <v>112901</v>
      </c>
      <c r="AK155" s="214"/>
      <c r="AL155" s="221">
        <f>VLOOKUP(AA155,pgdp!$A$13:$C$90,3,FALSE)</f>
        <v>0.73558157581522121</v>
      </c>
      <c r="AM155" s="188" t="s">
        <v>12</v>
      </c>
      <c r="AN155" s="188">
        <v>2003</v>
      </c>
      <c r="AO155" s="188" t="s">
        <v>459</v>
      </c>
      <c r="AP155" s="222">
        <f t="shared" si="8"/>
        <v>44.975297217491047</v>
      </c>
      <c r="AQ155" s="222">
        <f t="shared" si="8"/>
        <v>47.891357203934795</v>
      </c>
      <c r="AR155" s="222">
        <f t="shared" si="8"/>
        <v>36.965308667315512</v>
      </c>
      <c r="AS155" s="222">
        <f t="shared" si="8"/>
        <v>18.581215801731027</v>
      </c>
      <c r="AT155" s="222">
        <f t="shared" si="8"/>
        <v>2.2349662553442942</v>
      </c>
      <c r="AU155" s="222">
        <f t="shared" si="8"/>
        <v>1.6232054190274252</v>
      </c>
      <c r="AV155" s="222">
        <f t="shared" si="8"/>
        <v>1.2140053929576975</v>
      </c>
      <c r="AW155" s="222">
        <f t="shared" si="9"/>
        <v>153.4853559578018</v>
      </c>
      <c r="AX155" s="217"/>
    </row>
    <row r="156" spans="2:50" s="110" customFormat="1" hidden="1">
      <c r="B156" s="109"/>
      <c r="X156" s="122"/>
      <c r="Y156" s="109"/>
      <c r="Z156" s="188" t="s">
        <v>12</v>
      </c>
      <c r="AA156" s="188">
        <v>2003</v>
      </c>
      <c r="AB156" s="188" t="s">
        <v>463</v>
      </c>
      <c r="AC156" s="188">
        <v>3082</v>
      </c>
      <c r="AD156" s="188">
        <v>7415</v>
      </c>
      <c r="AE156" s="188"/>
      <c r="AF156" s="188">
        <v>-1</v>
      </c>
      <c r="AG156" s="188">
        <v>48</v>
      </c>
      <c r="AH156" s="188"/>
      <c r="AI156" s="188"/>
      <c r="AJ156" s="188">
        <v>10544</v>
      </c>
      <c r="AK156" s="217"/>
      <c r="AL156" s="221">
        <f>VLOOKUP(AA156,pgdp!$A$13:$C$90,3,FALSE)</f>
        <v>0.73558157581522121</v>
      </c>
      <c r="AM156" s="188" t="s">
        <v>12</v>
      </c>
      <c r="AN156" s="188">
        <v>2003</v>
      </c>
      <c r="AO156" s="188" t="s">
        <v>463</v>
      </c>
      <c r="AP156" s="222">
        <f t="shared" si="8"/>
        <v>4.1898819945079779</v>
      </c>
      <c r="AQ156" s="222">
        <f t="shared" si="8"/>
        <v>10.08045911397685</v>
      </c>
      <c r="AR156" s="222">
        <f t="shared" si="8"/>
        <v>0</v>
      </c>
      <c r="AS156" s="222">
        <f t="shared" si="8"/>
        <v>-1.3594685251485973E-3</v>
      </c>
      <c r="AT156" s="222">
        <f t="shared" si="8"/>
        <v>6.5254489207132685E-2</v>
      </c>
      <c r="AU156" s="222">
        <f t="shared" si="8"/>
        <v>0</v>
      </c>
      <c r="AV156" s="222">
        <f t="shared" si="8"/>
        <v>0</v>
      </c>
      <c r="AW156" s="222">
        <f t="shared" si="9"/>
        <v>14.334236129166811</v>
      </c>
      <c r="AX156" s="214"/>
    </row>
    <row r="157" spans="2:50" s="110" customFormat="1" hidden="1">
      <c r="B157" s="109"/>
      <c r="X157" s="122"/>
      <c r="Y157" s="109"/>
      <c r="Z157" s="188" t="s">
        <v>12</v>
      </c>
      <c r="AA157" s="188">
        <v>2004</v>
      </c>
      <c r="AB157" s="188" t="s">
        <v>459</v>
      </c>
      <c r="AC157" s="188">
        <v>35003</v>
      </c>
      <c r="AD157" s="188">
        <v>33366</v>
      </c>
      <c r="AE157" s="188">
        <v>29371</v>
      </c>
      <c r="AF157" s="188">
        <v>14888</v>
      </c>
      <c r="AG157" s="188">
        <v>1345</v>
      </c>
      <c r="AH157" s="188">
        <v>979</v>
      </c>
      <c r="AI157" s="188">
        <v>1067</v>
      </c>
      <c r="AJ157" s="188">
        <v>116019</v>
      </c>
      <c r="AK157" s="214"/>
      <c r="AL157" s="221">
        <f>VLOOKUP(AA157,pgdp!$A$13:$C$90,3,FALSE)</f>
        <v>0.75378638244667995</v>
      </c>
      <c r="AM157" s="188" t="s">
        <v>12</v>
      </c>
      <c r="AN157" s="188">
        <v>2004</v>
      </c>
      <c r="AO157" s="188" t="s">
        <v>459</v>
      </c>
      <c r="AP157" s="222">
        <f t="shared" si="8"/>
        <v>46.436232883891321</v>
      </c>
      <c r="AQ157" s="222">
        <f t="shared" si="8"/>
        <v>44.264530080390756</v>
      </c>
      <c r="AR157" s="222">
        <f t="shared" si="8"/>
        <v>38.964620062073884</v>
      </c>
      <c r="AS157" s="222">
        <f t="shared" si="8"/>
        <v>19.750953780400938</v>
      </c>
      <c r="AT157" s="222">
        <f t="shared" si="8"/>
        <v>1.7843251500966726</v>
      </c>
      <c r="AU157" s="222">
        <f t="shared" si="8"/>
        <v>1.2987764475424852</v>
      </c>
      <c r="AV157" s="222">
        <f t="shared" si="8"/>
        <v>1.4155203978833826</v>
      </c>
      <c r="AW157" s="222">
        <f t="shared" si="9"/>
        <v>153.91495880227944</v>
      </c>
      <c r="AX157" s="217"/>
    </row>
    <row r="158" spans="2:50" s="110" customFormat="1" hidden="1">
      <c r="B158" s="109"/>
      <c r="X158" s="119"/>
      <c r="Y158" s="120"/>
      <c r="Z158" s="188" t="s">
        <v>12</v>
      </c>
      <c r="AA158" s="188">
        <v>2004</v>
      </c>
      <c r="AB158" s="188" t="s">
        <v>464</v>
      </c>
      <c r="AC158" s="188">
        <v>1839</v>
      </c>
      <c r="AD158" s="188">
        <v>5103</v>
      </c>
      <c r="AE158" s="188">
        <v>617</v>
      </c>
      <c r="AF158" s="188">
        <v>34</v>
      </c>
      <c r="AG158" s="188">
        <v>46</v>
      </c>
      <c r="AH158" s="188">
        <v>6</v>
      </c>
      <c r="AI158" s="188">
        <v>24</v>
      </c>
      <c r="AJ158" s="188">
        <v>7669</v>
      </c>
      <c r="AK158" s="217"/>
      <c r="AL158" s="221">
        <f>VLOOKUP(AA158,pgdp!$A$13:$C$90,3,FALSE)</f>
        <v>0.75378638244667995</v>
      </c>
      <c r="AM158" s="188" t="s">
        <v>12</v>
      </c>
      <c r="AN158" s="188">
        <v>2004</v>
      </c>
      <c r="AO158" s="188" t="s">
        <v>464</v>
      </c>
      <c r="AP158" s="222">
        <f t="shared" si="8"/>
        <v>2.4396832349648925</v>
      </c>
      <c r="AQ158" s="222">
        <f t="shared" si="8"/>
        <v>6.7698224839727281</v>
      </c>
      <c r="AR158" s="222">
        <f t="shared" si="8"/>
        <v>0.81853428818561114</v>
      </c>
      <c r="AS158" s="222">
        <f t="shared" si="8"/>
        <v>4.5105617177164957E-2</v>
      </c>
      <c r="AT158" s="222">
        <f t="shared" si="8"/>
        <v>6.1025246769105528E-2</v>
      </c>
      <c r="AU158" s="222">
        <f t="shared" si="8"/>
        <v>7.959814795970287E-3</v>
      </c>
      <c r="AV158" s="222">
        <f t="shared" si="8"/>
        <v>3.1839259183881148E-2</v>
      </c>
      <c r="AW158" s="222">
        <f t="shared" si="9"/>
        <v>10.173969945049354</v>
      </c>
      <c r="AX158" s="217"/>
    </row>
    <row r="159" spans="2:50" s="110" customFormat="1" hidden="1">
      <c r="B159" s="109"/>
      <c r="X159" s="122"/>
      <c r="Y159" s="109"/>
      <c r="Z159" s="188" t="s">
        <v>12</v>
      </c>
      <c r="AA159" s="188">
        <v>2004</v>
      </c>
      <c r="AB159" s="188" t="s">
        <v>465</v>
      </c>
      <c r="AC159" s="188"/>
      <c r="AD159" s="188">
        <v>94</v>
      </c>
      <c r="AE159" s="188"/>
      <c r="AF159" s="188"/>
      <c r="AG159" s="188"/>
      <c r="AH159" s="188"/>
      <c r="AI159" s="188"/>
      <c r="AJ159" s="188">
        <v>94</v>
      </c>
      <c r="AK159" s="217"/>
      <c r="AL159" s="221">
        <f>VLOOKUP(AA159,pgdp!$A$13:$C$90,3,FALSE)</f>
        <v>0.75378638244667995</v>
      </c>
      <c r="AM159" s="188" t="s">
        <v>12</v>
      </c>
      <c r="AN159" s="188">
        <v>2004</v>
      </c>
      <c r="AO159" s="188" t="s">
        <v>465</v>
      </c>
      <c r="AP159" s="222">
        <f t="shared" si="8"/>
        <v>0</v>
      </c>
      <c r="AQ159" s="222">
        <f t="shared" si="8"/>
        <v>0.12470376513686782</v>
      </c>
      <c r="AR159" s="222">
        <f t="shared" si="8"/>
        <v>0</v>
      </c>
      <c r="AS159" s="222">
        <f t="shared" si="8"/>
        <v>0</v>
      </c>
      <c r="AT159" s="222">
        <f t="shared" si="8"/>
        <v>0</v>
      </c>
      <c r="AU159" s="222">
        <f t="shared" si="8"/>
        <v>0</v>
      </c>
      <c r="AV159" s="222">
        <f t="shared" si="8"/>
        <v>0</v>
      </c>
      <c r="AW159" s="222">
        <f t="shared" si="9"/>
        <v>0.12470376513686782</v>
      </c>
      <c r="AX159" s="217"/>
    </row>
    <row r="160" spans="2:50" s="110" customFormat="1" hidden="1">
      <c r="B160" s="109"/>
      <c r="X160" s="119"/>
      <c r="Y160" s="120"/>
      <c r="Z160" s="188" t="s">
        <v>12</v>
      </c>
      <c r="AA160" s="188">
        <v>2005</v>
      </c>
      <c r="AB160" s="188" t="s">
        <v>459</v>
      </c>
      <c r="AC160" s="188">
        <v>36741</v>
      </c>
      <c r="AD160" s="188">
        <v>34784</v>
      </c>
      <c r="AE160" s="188">
        <v>28430</v>
      </c>
      <c r="AF160" s="188">
        <v>16696</v>
      </c>
      <c r="AG160" s="188">
        <v>1090</v>
      </c>
      <c r="AH160" s="188">
        <v>703</v>
      </c>
      <c r="AI160" s="188">
        <v>1498</v>
      </c>
      <c r="AJ160" s="188">
        <v>119943</v>
      </c>
      <c r="AK160" s="217"/>
      <c r="AL160" s="221">
        <f>VLOOKUP(AA160,pgdp!$A$13:$C$90,3,FALSE)</f>
        <v>0.77750760344715164</v>
      </c>
      <c r="AM160" s="188" t="s">
        <v>12</v>
      </c>
      <c r="AN160" s="188">
        <v>2005</v>
      </c>
      <c r="AO160" s="188" t="s">
        <v>459</v>
      </c>
      <c r="AP160" s="222">
        <f t="shared" si="8"/>
        <v>47.254843344432118</v>
      </c>
      <c r="AQ160" s="222">
        <f t="shared" si="8"/>
        <v>44.737826158589222</v>
      </c>
      <c r="AR160" s="222">
        <f t="shared" si="8"/>
        <v>36.565558811197434</v>
      </c>
      <c r="AS160" s="222">
        <f t="shared" si="8"/>
        <v>21.473744984585032</v>
      </c>
      <c r="AT160" s="222">
        <f t="shared" si="8"/>
        <v>1.401915550622765</v>
      </c>
      <c r="AU160" s="222">
        <f t="shared" si="8"/>
        <v>0.90417122209890255</v>
      </c>
      <c r="AV160" s="222">
        <f t="shared" si="8"/>
        <v>1.926669261314589</v>
      </c>
      <c r="AW160" s="222">
        <f t="shared" si="9"/>
        <v>154.26601549389568</v>
      </c>
      <c r="AX160" s="214"/>
    </row>
    <row r="161" spans="2:50" s="110" customFormat="1" hidden="1">
      <c r="B161" s="109"/>
      <c r="X161" s="122"/>
      <c r="Y161" s="109"/>
      <c r="Z161" s="188" t="s">
        <v>12</v>
      </c>
      <c r="AA161" s="188">
        <v>2005</v>
      </c>
      <c r="AB161" s="188" t="s">
        <v>466</v>
      </c>
      <c r="AC161" s="188">
        <v>1907</v>
      </c>
      <c r="AD161" s="188">
        <v>4113</v>
      </c>
      <c r="AE161" s="188">
        <v>3759</v>
      </c>
      <c r="AF161" s="188">
        <v>204</v>
      </c>
      <c r="AG161" s="188">
        <v>140</v>
      </c>
      <c r="AH161" s="188"/>
      <c r="AI161" s="188">
        <v>32</v>
      </c>
      <c r="AJ161" s="188">
        <v>10155</v>
      </c>
      <c r="AK161" s="214"/>
      <c r="AL161" s="221">
        <f>VLOOKUP(AA161,pgdp!$A$13:$C$90,3,FALSE)</f>
        <v>0.77750760344715164</v>
      </c>
      <c r="AM161" s="188" t="s">
        <v>12</v>
      </c>
      <c r="AN161" s="188">
        <v>2005</v>
      </c>
      <c r="AO161" s="188" t="s">
        <v>466</v>
      </c>
      <c r="AP161" s="222">
        <f t="shared" si="8"/>
        <v>2.4527091330620303</v>
      </c>
      <c r="AQ161" s="222">
        <f t="shared" si="8"/>
        <v>5.2899804217536079</v>
      </c>
      <c r="AR161" s="222">
        <f t="shared" si="8"/>
        <v>4.8346794080651136</v>
      </c>
      <c r="AS161" s="222">
        <f t="shared" si="8"/>
        <v>0.26237685534591199</v>
      </c>
      <c r="AT161" s="222">
        <f t="shared" si="8"/>
        <v>0.1800625477864102</v>
      </c>
      <c r="AU161" s="222">
        <f t="shared" si="8"/>
        <v>0</v>
      </c>
      <c r="AV161" s="222">
        <f t="shared" si="8"/>
        <v>4.1157153779750898E-2</v>
      </c>
      <c r="AW161" s="222">
        <f t="shared" si="9"/>
        <v>13.060965519792823</v>
      </c>
      <c r="AX161" s="217"/>
    </row>
    <row r="162" spans="2:50" s="110" customFormat="1" hidden="1">
      <c r="B162" s="109"/>
      <c r="X162" s="122"/>
      <c r="Y162" s="109"/>
      <c r="Z162" s="188" t="s">
        <v>12</v>
      </c>
      <c r="AA162" s="188">
        <v>2005</v>
      </c>
      <c r="AB162" s="188" t="s">
        <v>467</v>
      </c>
      <c r="AC162" s="188">
        <v>0</v>
      </c>
      <c r="AD162" s="188">
        <v>580</v>
      </c>
      <c r="AE162" s="188">
        <v>7</v>
      </c>
      <c r="AF162" s="188"/>
      <c r="AG162" s="188">
        <v>139</v>
      </c>
      <c r="AH162" s="188">
        <v>9</v>
      </c>
      <c r="AI162" s="188"/>
      <c r="AJ162" s="188">
        <v>735</v>
      </c>
      <c r="AK162" s="217"/>
      <c r="AL162" s="221">
        <f>VLOOKUP(AA162,pgdp!$A$13:$C$90,3,FALSE)</f>
        <v>0.77750760344715164</v>
      </c>
      <c r="AM162" s="188" t="s">
        <v>12</v>
      </c>
      <c r="AN162" s="188">
        <v>2005</v>
      </c>
      <c r="AO162" s="188" t="s">
        <v>467</v>
      </c>
      <c r="AP162" s="222">
        <f t="shared" si="8"/>
        <v>0</v>
      </c>
      <c r="AQ162" s="222">
        <f t="shared" si="8"/>
        <v>0.74597341225798508</v>
      </c>
      <c r="AR162" s="222">
        <f t="shared" si="8"/>
        <v>9.0031273893205095E-3</v>
      </c>
      <c r="AS162" s="222">
        <f t="shared" si="8"/>
        <v>0</v>
      </c>
      <c r="AT162" s="222">
        <f t="shared" si="8"/>
        <v>0.17877638673079299</v>
      </c>
      <c r="AU162" s="222">
        <f t="shared" si="8"/>
        <v>1.1575449500554941E-2</v>
      </c>
      <c r="AV162" s="222">
        <f t="shared" si="8"/>
        <v>0</v>
      </c>
      <c r="AW162" s="222">
        <f t="shared" si="9"/>
        <v>0.94532837587865348</v>
      </c>
      <c r="AX162" s="217"/>
    </row>
    <row r="163" spans="2:50" s="110" customFormat="1" hidden="1">
      <c r="B163" s="109"/>
      <c r="X163" s="122"/>
      <c r="Y163" s="109"/>
      <c r="Z163" s="188" t="s">
        <v>12</v>
      </c>
      <c r="AA163" s="188">
        <v>2006</v>
      </c>
      <c r="AB163" s="188" t="s">
        <v>459</v>
      </c>
      <c r="AC163" s="188">
        <v>37158</v>
      </c>
      <c r="AD163" s="188">
        <v>35043</v>
      </c>
      <c r="AE163" s="188">
        <v>28635</v>
      </c>
      <c r="AF163" s="188">
        <v>18834</v>
      </c>
      <c r="AG163" s="188">
        <v>1389</v>
      </c>
      <c r="AH163" s="188">
        <v>688</v>
      </c>
      <c r="AI163" s="188">
        <v>1198</v>
      </c>
      <c r="AJ163" s="188">
        <v>122946</v>
      </c>
      <c r="AK163" s="217"/>
      <c r="AL163" s="221">
        <f>VLOOKUP(AA163,pgdp!$A$13:$C$90,3,FALSE)</f>
        <v>0.80275228380407149</v>
      </c>
      <c r="AM163" s="188" t="s">
        <v>12</v>
      </c>
      <c r="AN163" s="188">
        <v>2006</v>
      </c>
      <c r="AO163" s="188" t="s">
        <v>459</v>
      </c>
      <c r="AP163" s="222">
        <f t="shared" si="8"/>
        <v>46.288251992154017</v>
      </c>
      <c r="AQ163" s="222">
        <f t="shared" si="8"/>
        <v>43.65356624578969</v>
      </c>
      <c r="AR163" s="222">
        <f t="shared" si="8"/>
        <v>35.671029005741168</v>
      </c>
      <c r="AS163" s="222">
        <f t="shared" si="8"/>
        <v>23.461783142801785</v>
      </c>
      <c r="AT163" s="222">
        <f t="shared" si="8"/>
        <v>1.7302971639243752</v>
      </c>
      <c r="AU163" s="222">
        <f t="shared" si="8"/>
        <v>0.85705143900645797</v>
      </c>
      <c r="AV163" s="222">
        <f t="shared" si="8"/>
        <v>1.4923657324560125</v>
      </c>
      <c r="AW163" s="222">
        <f t="shared" si="9"/>
        <v>153.15559043617438</v>
      </c>
      <c r="AX163" s="214"/>
    </row>
    <row r="164" spans="2:50" s="110" customFormat="1" hidden="1">
      <c r="B164" s="109"/>
      <c r="X164" s="119"/>
      <c r="Y164" s="120"/>
      <c r="Z164" s="188" t="s">
        <v>12</v>
      </c>
      <c r="AA164" s="188">
        <v>2006</v>
      </c>
      <c r="AB164" s="188" t="s">
        <v>468</v>
      </c>
      <c r="AC164" s="188">
        <v>2893</v>
      </c>
      <c r="AD164" s="188">
        <v>8081</v>
      </c>
      <c r="AE164" s="188">
        <v>5581</v>
      </c>
      <c r="AF164" s="188">
        <v>125</v>
      </c>
      <c r="AG164" s="188"/>
      <c r="AH164" s="188"/>
      <c r="AI164" s="188"/>
      <c r="AJ164" s="188">
        <v>16680</v>
      </c>
      <c r="AK164" s="214"/>
      <c r="AL164" s="221">
        <f>VLOOKUP(AA164,pgdp!$A$13:$C$90,3,FALSE)</f>
        <v>0.80275228380407149</v>
      </c>
      <c r="AM164" s="188" t="s">
        <v>12</v>
      </c>
      <c r="AN164" s="188">
        <v>2006</v>
      </c>
      <c r="AO164" s="188" t="s">
        <v>468</v>
      </c>
      <c r="AP164" s="222">
        <f t="shared" si="8"/>
        <v>3.6038514724501205</v>
      </c>
      <c r="AQ164" s="222">
        <f t="shared" si="8"/>
        <v>10.066617265423236</v>
      </c>
      <c r="AR164" s="222">
        <f t="shared" si="8"/>
        <v>6.9523315132195371</v>
      </c>
      <c r="AS164" s="222">
        <f t="shared" ref="AS164:AW224" si="10">AF164/$AL164/1000</f>
        <v>0.15571428761018496</v>
      </c>
      <c r="AT164" s="222">
        <f t="shared" si="10"/>
        <v>0</v>
      </c>
      <c r="AU164" s="222">
        <f t="shared" si="10"/>
        <v>0</v>
      </c>
      <c r="AV164" s="222">
        <f t="shared" si="10"/>
        <v>0</v>
      </c>
      <c r="AW164" s="222">
        <f t="shared" si="9"/>
        <v>20.778514538703078</v>
      </c>
      <c r="AX164" s="217"/>
    </row>
    <row r="165" spans="2:50" s="110" customFormat="1" hidden="1">
      <c r="B165" s="109"/>
      <c r="X165" s="122"/>
      <c r="Y165" s="109"/>
      <c r="Z165" s="188" t="s">
        <v>12</v>
      </c>
      <c r="AA165" s="188">
        <v>2006</v>
      </c>
      <c r="AB165" s="188" t="s">
        <v>469</v>
      </c>
      <c r="AC165" s="188">
        <v>138</v>
      </c>
      <c r="AD165" s="188">
        <v>1006</v>
      </c>
      <c r="AE165" s="188">
        <v>2621</v>
      </c>
      <c r="AF165" s="188">
        <v>14</v>
      </c>
      <c r="AG165" s="188">
        <v>419</v>
      </c>
      <c r="AH165" s="188">
        <v>135</v>
      </c>
      <c r="AI165" s="188">
        <v>10</v>
      </c>
      <c r="AJ165" s="188">
        <v>4343</v>
      </c>
      <c r="AK165" s="217"/>
      <c r="AL165" s="221">
        <f>VLOOKUP(AA165,pgdp!$A$13:$C$90,3,FALSE)</f>
        <v>0.80275228380407149</v>
      </c>
      <c r="AM165" s="188" t="s">
        <v>12</v>
      </c>
      <c r="AN165" s="188">
        <v>2006</v>
      </c>
      <c r="AO165" s="188" t="s">
        <v>469</v>
      </c>
      <c r="AP165" s="222">
        <f t="shared" ref="AP165:AT228" si="11">AC165/$AL165/1000</f>
        <v>0.17190857352164418</v>
      </c>
      <c r="AQ165" s="222">
        <f t="shared" si="11"/>
        <v>1.2531885866867685</v>
      </c>
      <c r="AR165" s="222">
        <f t="shared" si="11"/>
        <v>3.2650171826103578</v>
      </c>
      <c r="AS165" s="222">
        <f t="shared" si="10"/>
        <v>1.7440000212340715E-2</v>
      </c>
      <c r="AT165" s="222">
        <f t="shared" si="10"/>
        <v>0.52195429206933996</v>
      </c>
      <c r="AU165" s="222">
        <f t="shared" si="10"/>
        <v>0.16817143061899975</v>
      </c>
      <c r="AV165" s="222">
        <f t="shared" si="10"/>
        <v>1.2457143008814796E-2</v>
      </c>
      <c r="AW165" s="222">
        <f t="shared" si="9"/>
        <v>5.4101372087282664</v>
      </c>
      <c r="AX165" s="214"/>
    </row>
    <row r="166" spans="2:50" s="110" customFormat="1" hidden="1">
      <c r="B166" s="109"/>
      <c r="X166" s="122"/>
      <c r="Y166" s="109"/>
      <c r="Z166" s="188" t="s">
        <v>12</v>
      </c>
      <c r="AA166" s="188">
        <v>2006</v>
      </c>
      <c r="AB166" s="188" t="s">
        <v>470</v>
      </c>
      <c r="AC166" s="188"/>
      <c r="AD166" s="188"/>
      <c r="AE166" s="188"/>
      <c r="AF166" s="188"/>
      <c r="AG166" s="188"/>
      <c r="AH166" s="188"/>
      <c r="AI166" s="188"/>
      <c r="AJ166" s="188">
        <v>0</v>
      </c>
      <c r="AK166" s="214"/>
      <c r="AL166" s="221">
        <f>VLOOKUP(AA166,pgdp!$A$13:$C$90,3,FALSE)</f>
        <v>0.80275228380407149</v>
      </c>
      <c r="AM166" s="188" t="s">
        <v>12</v>
      </c>
      <c r="AN166" s="188">
        <v>2006</v>
      </c>
      <c r="AO166" s="188" t="s">
        <v>470</v>
      </c>
      <c r="AP166" s="222">
        <f t="shared" si="11"/>
        <v>0</v>
      </c>
      <c r="AQ166" s="222">
        <f t="shared" si="11"/>
        <v>0</v>
      </c>
      <c r="AR166" s="222">
        <f t="shared" si="11"/>
        <v>0</v>
      </c>
      <c r="AS166" s="222">
        <f t="shared" si="10"/>
        <v>0</v>
      </c>
      <c r="AT166" s="222">
        <f t="shared" si="10"/>
        <v>0</v>
      </c>
      <c r="AU166" s="222">
        <f t="shared" si="10"/>
        <v>0</v>
      </c>
      <c r="AV166" s="222">
        <f t="shared" si="10"/>
        <v>0</v>
      </c>
      <c r="AW166" s="222">
        <f t="shared" si="9"/>
        <v>0</v>
      </c>
      <c r="AX166" s="217"/>
    </row>
    <row r="167" spans="2:50" s="110" customFormat="1" hidden="1">
      <c r="B167" s="109"/>
      <c r="X167" s="119"/>
      <c r="Y167" s="120"/>
      <c r="Z167" s="188" t="s">
        <v>12</v>
      </c>
      <c r="AA167" s="188">
        <v>2007</v>
      </c>
      <c r="AB167" s="188" t="s">
        <v>459</v>
      </c>
      <c r="AC167" s="188">
        <v>37844</v>
      </c>
      <c r="AD167" s="188">
        <v>36334</v>
      </c>
      <c r="AE167" s="188">
        <v>29677</v>
      </c>
      <c r="AF167" s="188">
        <v>19034</v>
      </c>
      <c r="AG167" s="188">
        <v>1894</v>
      </c>
      <c r="AH167" s="188">
        <v>637</v>
      </c>
      <c r="AI167" s="188">
        <v>1151</v>
      </c>
      <c r="AJ167" s="188">
        <v>126572</v>
      </c>
      <c r="AK167" s="217"/>
      <c r="AL167" s="221">
        <f>VLOOKUP(AA167,pgdp!$A$13:$C$90,3,FALSE)</f>
        <v>0.82459421647952613</v>
      </c>
      <c r="AM167" s="188" t="s">
        <v>12</v>
      </c>
      <c r="AN167" s="188">
        <v>2007</v>
      </c>
      <c r="AO167" s="188" t="s">
        <v>459</v>
      </c>
      <c r="AP167" s="222">
        <f t="shared" si="11"/>
        <v>45.894088563425704</v>
      </c>
      <c r="AQ167" s="222">
        <f t="shared" si="11"/>
        <v>44.062884839433188</v>
      </c>
      <c r="AR167" s="222">
        <f t="shared" si="11"/>
        <v>35.989823123792007</v>
      </c>
      <c r="AS167" s="222">
        <f t="shared" si="10"/>
        <v>23.08286866388978</v>
      </c>
      <c r="AT167" s="222">
        <f t="shared" si="10"/>
        <v>2.2968873200277002</v>
      </c>
      <c r="AU167" s="222">
        <f t="shared" si="10"/>
        <v>0.77250117363128035</v>
      </c>
      <c r="AV167" s="222">
        <f t="shared" si="10"/>
        <v>1.3958380704075413</v>
      </c>
      <c r="AW167" s="222">
        <f t="shared" si="9"/>
        <v>153.49610447230521</v>
      </c>
      <c r="AX167" s="217"/>
    </row>
    <row r="168" spans="2:50" s="110" customFormat="1" hidden="1">
      <c r="B168" s="109"/>
      <c r="X168" s="122"/>
      <c r="Y168" s="109"/>
      <c r="Z168" s="188" t="s">
        <v>12</v>
      </c>
      <c r="AA168" s="188">
        <v>2007</v>
      </c>
      <c r="AB168" s="188" t="s">
        <v>471</v>
      </c>
      <c r="AC168" s="188">
        <v>2992</v>
      </c>
      <c r="AD168" s="188">
        <v>10310</v>
      </c>
      <c r="AE168" s="188">
        <v>10358</v>
      </c>
      <c r="AF168" s="188">
        <v>530</v>
      </c>
      <c r="AG168" s="188">
        <v>371</v>
      </c>
      <c r="AH168" s="188"/>
      <c r="AI168" s="188">
        <v>5</v>
      </c>
      <c r="AJ168" s="188">
        <v>24566</v>
      </c>
      <c r="AK168" s="214"/>
      <c r="AL168" s="221">
        <f>VLOOKUP(AA168,pgdp!$A$13:$C$90,3,FALSE)</f>
        <v>0.82459421647952613</v>
      </c>
      <c r="AM168" s="188" t="s">
        <v>12</v>
      </c>
      <c r="AN168" s="188">
        <v>2007</v>
      </c>
      <c r="AO168" s="188" t="s">
        <v>471</v>
      </c>
      <c r="AP168" s="222">
        <f t="shared" si="11"/>
        <v>3.628451352440802</v>
      </c>
      <c r="AQ168" s="222">
        <f t="shared" si="11"/>
        <v>12.503119466465463</v>
      </c>
      <c r="AR168" s="222">
        <f t="shared" si="11"/>
        <v>12.561329915969862</v>
      </c>
      <c r="AS168" s="222">
        <f t="shared" si="10"/>
        <v>0.64274037994439337</v>
      </c>
      <c r="AT168" s="222">
        <f t="shared" si="10"/>
        <v>0.44991826596107537</v>
      </c>
      <c r="AU168" s="222">
        <f t="shared" si="10"/>
        <v>0</v>
      </c>
      <c r="AV168" s="222">
        <f t="shared" si="10"/>
        <v>6.0635884900414466E-3</v>
      </c>
      <c r="AW168" s="222">
        <f t="shared" si="9"/>
        <v>29.791622969271636</v>
      </c>
      <c r="AX168" s="217"/>
    </row>
    <row r="169" spans="2:50" s="110" customFormat="1" hidden="1">
      <c r="B169" s="109"/>
      <c r="X169" s="119"/>
      <c r="Y169" s="120"/>
      <c r="Z169" s="188" t="s">
        <v>12</v>
      </c>
      <c r="AA169" s="188">
        <v>2007</v>
      </c>
      <c r="AB169" s="188" t="s">
        <v>472</v>
      </c>
      <c r="AC169" s="188"/>
      <c r="AD169" s="188"/>
      <c r="AE169" s="188"/>
      <c r="AF169" s="188"/>
      <c r="AG169" s="188"/>
      <c r="AH169" s="188"/>
      <c r="AI169" s="188"/>
      <c r="AJ169" s="188">
        <v>0</v>
      </c>
      <c r="AK169" s="217"/>
      <c r="AL169" s="221">
        <f>VLOOKUP(AA169,pgdp!$A$13:$C$90,3,FALSE)</f>
        <v>0.82459421647952613</v>
      </c>
      <c r="AM169" s="188" t="s">
        <v>12</v>
      </c>
      <c r="AN169" s="188">
        <v>2007</v>
      </c>
      <c r="AO169" s="188" t="s">
        <v>472</v>
      </c>
      <c r="AP169" s="222">
        <f t="shared" si="11"/>
        <v>0</v>
      </c>
      <c r="AQ169" s="222">
        <f t="shared" si="11"/>
        <v>0</v>
      </c>
      <c r="AR169" s="222">
        <f t="shared" si="11"/>
        <v>0</v>
      </c>
      <c r="AS169" s="222">
        <f t="shared" si="10"/>
        <v>0</v>
      </c>
      <c r="AT169" s="222">
        <f t="shared" si="10"/>
        <v>0</v>
      </c>
      <c r="AU169" s="222">
        <f t="shared" si="10"/>
        <v>0</v>
      </c>
      <c r="AV169" s="222">
        <f t="shared" si="10"/>
        <v>0</v>
      </c>
      <c r="AW169" s="222">
        <f t="shared" si="9"/>
        <v>0</v>
      </c>
      <c r="AX169" s="214"/>
    </row>
    <row r="170" spans="2:50" s="110" customFormat="1" hidden="1">
      <c r="B170" s="109"/>
      <c r="X170" s="122"/>
      <c r="Y170" s="109"/>
      <c r="Z170" s="188" t="s">
        <v>12</v>
      </c>
      <c r="AA170" s="188">
        <v>2008</v>
      </c>
      <c r="AB170" s="188" t="s">
        <v>459</v>
      </c>
      <c r="AC170" s="188">
        <v>39702</v>
      </c>
      <c r="AD170" s="188">
        <v>39907</v>
      </c>
      <c r="AE170" s="188">
        <v>39033</v>
      </c>
      <c r="AF170" s="188">
        <v>18101</v>
      </c>
      <c r="AG170" s="188">
        <v>2900</v>
      </c>
      <c r="AH170" s="188">
        <v>665</v>
      </c>
      <c r="AI170" s="188">
        <v>1386</v>
      </c>
      <c r="AJ170" s="188">
        <v>141694</v>
      </c>
      <c r="AK170" s="217"/>
      <c r="AL170" s="221">
        <f>VLOOKUP(AA170,pgdp!$A$13:$C$90,3,FALSE)</f>
        <v>0.84165483055935886</v>
      </c>
      <c r="AM170" s="188" t="s">
        <v>12</v>
      </c>
      <c r="AN170" s="188">
        <v>2008</v>
      </c>
      <c r="AO170" s="188" t="s">
        <v>459</v>
      </c>
      <c r="AP170" s="222">
        <f t="shared" si="11"/>
        <v>47.171356426023578</v>
      </c>
      <c r="AQ170" s="222">
        <f t="shared" si="11"/>
        <v>47.414924207680293</v>
      </c>
      <c r="AR170" s="222">
        <f t="shared" si="11"/>
        <v>46.376493762958503</v>
      </c>
      <c r="AS170" s="222">
        <f t="shared" si="10"/>
        <v>21.506441052527652</v>
      </c>
      <c r="AT170" s="222">
        <f t="shared" si="10"/>
        <v>3.4455930088022866</v>
      </c>
      <c r="AU170" s="222">
        <f t="shared" si="10"/>
        <v>0.7901101209839726</v>
      </c>
      <c r="AV170" s="222">
        <f t="shared" si="10"/>
        <v>1.6467558311034376</v>
      </c>
      <c r="AW170" s="222">
        <f t="shared" si="9"/>
        <v>168.35167441007971</v>
      </c>
      <c r="AX170" s="217"/>
    </row>
    <row r="171" spans="2:50" s="110" customFormat="1" hidden="1">
      <c r="B171" s="109"/>
      <c r="X171" s="119"/>
      <c r="Y171" s="120"/>
      <c r="Z171" s="188" t="s">
        <v>12</v>
      </c>
      <c r="AA171" s="188">
        <v>2008</v>
      </c>
      <c r="AB171" s="188" t="s">
        <v>473</v>
      </c>
      <c r="AC171" s="188">
        <v>2962</v>
      </c>
      <c r="AD171" s="188">
        <v>10813</v>
      </c>
      <c r="AE171" s="188">
        <v>8320</v>
      </c>
      <c r="AF171" s="188">
        <v>337</v>
      </c>
      <c r="AG171" s="188">
        <v>476</v>
      </c>
      <c r="AH171" s="188">
        <v>12</v>
      </c>
      <c r="AI171" s="188">
        <v>256</v>
      </c>
      <c r="AJ171" s="188">
        <v>23176</v>
      </c>
      <c r="AK171" s="214"/>
      <c r="AL171" s="221">
        <f>VLOOKUP(AA171,pgdp!$A$13:$C$90,3,FALSE)</f>
        <v>0.84165483055935886</v>
      </c>
      <c r="AM171" s="188" t="s">
        <v>12</v>
      </c>
      <c r="AN171" s="188">
        <v>2008</v>
      </c>
      <c r="AO171" s="188" t="s">
        <v>473</v>
      </c>
      <c r="AP171" s="222">
        <f t="shared" si="11"/>
        <v>3.5192574110594386</v>
      </c>
      <c r="AQ171" s="222">
        <f t="shared" si="11"/>
        <v>12.847309380751422</v>
      </c>
      <c r="AR171" s="222">
        <f t="shared" si="11"/>
        <v>9.885287528701733</v>
      </c>
      <c r="AS171" s="222">
        <f t="shared" si="10"/>
        <v>0.40040167033323121</v>
      </c>
      <c r="AT171" s="222">
        <f t="shared" si="10"/>
        <v>0.56555250765168563</v>
      </c>
      <c r="AU171" s="222">
        <f t="shared" si="10"/>
        <v>1.4257626243319808E-2</v>
      </c>
      <c r="AV171" s="222">
        <f t="shared" si="10"/>
        <v>0.30416269319082256</v>
      </c>
      <c r="AW171" s="222">
        <f t="shared" si="9"/>
        <v>27.536228817931654</v>
      </c>
      <c r="AX171" s="217"/>
    </row>
    <row r="172" spans="2:50" s="110" customFormat="1" hidden="1">
      <c r="B172" s="109"/>
      <c r="X172" s="122"/>
      <c r="Y172" s="109"/>
      <c r="Z172" s="188" t="s">
        <v>12</v>
      </c>
      <c r="AA172" s="188">
        <v>2009</v>
      </c>
      <c r="AB172" s="188" t="s">
        <v>459</v>
      </c>
      <c r="AC172" s="188">
        <v>41498</v>
      </c>
      <c r="AD172" s="188">
        <v>42529</v>
      </c>
      <c r="AE172" s="188">
        <v>38719</v>
      </c>
      <c r="AF172" s="188">
        <v>19707</v>
      </c>
      <c r="AG172" s="188">
        <v>4367</v>
      </c>
      <c r="AH172" s="188">
        <v>756</v>
      </c>
      <c r="AI172" s="188">
        <v>1668</v>
      </c>
      <c r="AJ172" s="188">
        <v>149245</v>
      </c>
      <c r="AK172" s="217"/>
      <c r="AL172" s="221">
        <f>VLOOKUP(AA172,pgdp!$A$13:$C$90,3,FALSE)</f>
        <v>0.85147741466177274</v>
      </c>
      <c r="AM172" s="188" t="s">
        <v>12</v>
      </c>
      <c r="AN172" s="188">
        <v>2009</v>
      </c>
      <c r="AO172" s="188" t="s">
        <v>459</v>
      </c>
      <c r="AP172" s="222">
        <f t="shared" si="11"/>
        <v>48.736465918457746</v>
      </c>
      <c r="AQ172" s="222">
        <f t="shared" si="11"/>
        <v>49.947302497616498</v>
      </c>
      <c r="AR172" s="222">
        <f t="shared" si="11"/>
        <v>45.472726972306262</v>
      </c>
      <c r="AS172" s="222">
        <f t="shared" si="10"/>
        <v>23.144477658081037</v>
      </c>
      <c r="AT172" s="222">
        <f t="shared" si="10"/>
        <v>5.1287326296666098</v>
      </c>
      <c r="AU172" s="222">
        <f t="shared" si="10"/>
        <v>0.88786852943163663</v>
      </c>
      <c r="AV172" s="222">
        <f t="shared" si="10"/>
        <v>1.9589480252539284</v>
      </c>
      <c r="AW172" s="222">
        <f t="shared" si="9"/>
        <v>175.27769666008547</v>
      </c>
      <c r="AX172" s="214"/>
    </row>
    <row r="173" spans="2:50" s="110" customFormat="1" hidden="1">
      <c r="B173" s="109"/>
      <c r="X173" s="122"/>
      <c r="Y173" s="109"/>
      <c r="Z173" s="188" t="s">
        <v>12</v>
      </c>
      <c r="AA173" s="188">
        <v>2009</v>
      </c>
      <c r="AB173" s="188" t="s">
        <v>474</v>
      </c>
      <c r="AC173" s="188">
        <v>0</v>
      </c>
      <c r="AD173" s="188">
        <v>866</v>
      </c>
      <c r="AE173" s="188">
        <v>0</v>
      </c>
      <c r="AF173" s="188">
        <v>75</v>
      </c>
      <c r="AG173" s="188">
        <v>280</v>
      </c>
      <c r="AH173" s="188">
        <v>0</v>
      </c>
      <c r="AI173" s="188">
        <v>0</v>
      </c>
      <c r="AJ173" s="188">
        <v>1221</v>
      </c>
      <c r="AK173" s="217"/>
      <c r="AL173" s="221">
        <f>VLOOKUP(AA173,pgdp!$A$13:$C$90,3,FALSE)</f>
        <v>0.85147741466177274</v>
      </c>
      <c r="AM173" s="188" t="s">
        <v>12</v>
      </c>
      <c r="AN173" s="188">
        <v>2009</v>
      </c>
      <c r="AO173" s="188" t="s">
        <v>474</v>
      </c>
      <c r="AP173" s="222">
        <f t="shared" si="11"/>
        <v>0</v>
      </c>
      <c r="AQ173" s="222">
        <f t="shared" si="11"/>
        <v>1.0170557493224832</v>
      </c>
      <c r="AR173" s="222">
        <f t="shared" si="11"/>
        <v>0</v>
      </c>
      <c r="AS173" s="222">
        <f t="shared" si="10"/>
        <v>8.8082195380122685E-2</v>
      </c>
      <c r="AT173" s="222">
        <f t="shared" si="10"/>
        <v>0.32884019608579129</v>
      </c>
      <c r="AU173" s="222">
        <f t="shared" si="10"/>
        <v>0</v>
      </c>
      <c r="AV173" s="222">
        <f t="shared" si="10"/>
        <v>0</v>
      </c>
      <c r="AW173" s="222">
        <f t="shared" si="9"/>
        <v>1.4339781407883971</v>
      </c>
      <c r="AX173" s="217"/>
    </row>
    <row r="174" spans="2:50" s="110" customFormat="1" hidden="1">
      <c r="B174" s="109"/>
      <c r="X174" s="119"/>
      <c r="Y174" s="120"/>
      <c r="Z174" s="188" t="s">
        <v>12</v>
      </c>
      <c r="AA174" s="188">
        <v>2009</v>
      </c>
      <c r="AB174" s="188" t="s">
        <v>475</v>
      </c>
      <c r="AC174" s="188">
        <v>130</v>
      </c>
      <c r="AD174" s="188">
        <v>6323</v>
      </c>
      <c r="AE174" s="188">
        <v>529</v>
      </c>
      <c r="AF174" s="188">
        <v>102</v>
      </c>
      <c r="AG174" s="188">
        <v>0</v>
      </c>
      <c r="AH174" s="188">
        <v>0</v>
      </c>
      <c r="AI174" s="188">
        <v>0</v>
      </c>
      <c r="AJ174" s="188">
        <v>7084</v>
      </c>
      <c r="AK174" s="214"/>
      <c r="AL174" s="221">
        <f>VLOOKUP(AA174,pgdp!$A$13:$C$90,3,FALSE)</f>
        <v>0.85147741466177274</v>
      </c>
      <c r="AM174" s="188" t="s">
        <v>12</v>
      </c>
      <c r="AN174" s="188">
        <v>2009</v>
      </c>
      <c r="AO174" s="188" t="s">
        <v>475</v>
      </c>
      <c r="AP174" s="222">
        <f t="shared" si="11"/>
        <v>0.15267580532554598</v>
      </c>
      <c r="AQ174" s="222">
        <f t="shared" si="11"/>
        <v>7.4259162851802092</v>
      </c>
      <c r="AR174" s="222">
        <f t="shared" si="11"/>
        <v>0.62127308474779863</v>
      </c>
      <c r="AS174" s="222">
        <f t="shared" si="10"/>
        <v>0.11979178571696684</v>
      </c>
      <c r="AT174" s="222">
        <f t="shared" si="10"/>
        <v>0</v>
      </c>
      <c r="AU174" s="222">
        <f t="shared" si="10"/>
        <v>0</v>
      </c>
      <c r="AV174" s="222">
        <f t="shared" si="10"/>
        <v>0</v>
      </c>
      <c r="AW174" s="222">
        <f t="shared" si="9"/>
        <v>8.3196569609705211</v>
      </c>
      <c r="AX174" s="214"/>
    </row>
    <row r="175" spans="2:50" s="110" customFormat="1" hidden="1">
      <c r="B175" s="109"/>
      <c r="X175" s="122"/>
      <c r="Y175" s="109"/>
      <c r="Z175" s="188" t="s">
        <v>12</v>
      </c>
      <c r="AA175" s="188">
        <v>2009</v>
      </c>
      <c r="AB175" s="188" t="s">
        <v>476</v>
      </c>
      <c r="AC175" s="188">
        <v>3221</v>
      </c>
      <c r="AD175" s="188">
        <v>2420</v>
      </c>
      <c r="AE175" s="188">
        <v>2728</v>
      </c>
      <c r="AF175" s="188">
        <v>-80</v>
      </c>
      <c r="AG175" s="188">
        <v>236</v>
      </c>
      <c r="AH175" s="188">
        <v>0</v>
      </c>
      <c r="AI175" s="188">
        <v>0</v>
      </c>
      <c r="AJ175" s="188">
        <v>8525</v>
      </c>
      <c r="AK175" s="217"/>
      <c r="AL175" s="221">
        <f>VLOOKUP(AA175,pgdp!$A$13:$C$90,3,FALSE)</f>
        <v>0.85147741466177274</v>
      </c>
      <c r="AM175" s="188" t="s">
        <v>12</v>
      </c>
      <c r="AN175" s="188">
        <v>2009</v>
      </c>
      <c r="AO175" s="188" t="s">
        <v>476</v>
      </c>
      <c r="AP175" s="222">
        <f t="shared" si="11"/>
        <v>3.7828366842583354</v>
      </c>
      <c r="AQ175" s="222">
        <f t="shared" si="11"/>
        <v>2.8421188375986248</v>
      </c>
      <c r="AR175" s="222">
        <f t="shared" si="11"/>
        <v>3.2038430532929958</v>
      </c>
      <c r="AS175" s="222">
        <f t="shared" si="10"/>
        <v>-9.395434173879752E-2</v>
      </c>
      <c r="AT175" s="222">
        <f t="shared" si="10"/>
        <v>0.27716530812945267</v>
      </c>
      <c r="AU175" s="222">
        <f t="shared" si="10"/>
        <v>0</v>
      </c>
      <c r="AV175" s="222">
        <f t="shared" si="10"/>
        <v>0</v>
      </c>
      <c r="AW175" s="222">
        <f t="shared" si="9"/>
        <v>10.012009541540611</v>
      </c>
      <c r="AX175" s="217"/>
    </row>
    <row r="176" spans="2:50" s="110" customFormat="1" hidden="1">
      <c r="B176" s="109"/>
      <c r="X176" s="122"/>
      <c r="Y176" s="109"/>
      <c r="Z176" s="188" t="s">
        <v>12</v>
      </c>
      <c r="AA176" s="188">
        <v>2010</v>
      </c>
      <c r="AB176" s="188" t="s">
        <v>459</v>
      </c>
      <c r="AC176" s="188">
        <v>44183</v>
      </c>
      <c r="AD176" s="188">
        <v>41674</v>
      </c>
      <c r="AE176" s="188">
        <v>43197</v>
      </c>
      <c r="AF176" s="188">
        <v>19745</v>
      </c>
      <c r="AG176" s="188">
        <v>4324</v>
      </c>
      <c r="AH176" s="188">
        <v>515</v>
      </c>
      <c r="AI176" s="188">
        <v>1668</v>
      </c>
      <c r="AJ176" s="188">
        <v>155307</v>
      </c>
      <c r="AK176" s="217"/>
      <c r="AL176" s="221">
        <f>VLOOKUP(AA176,pgdp!$A$13:$C$90,3,FALSE)</f>
        <v>0.85894343086456204</v>
      </c>
      <c r="AM176" s="188" t="s">
        <v>12</v>
      </c>
      <c r="AN176" s="188">
        <v>2010</v>
      </c>
      <c r="AO176" s="188" t="s">
        <v>459</v>
      </c>
      <c r="AP176" s="222">
        <f t="shared" si="11"/>
        <v>51.438777470511631</v>
      </c>
      <c r="AQ176" s="222">
        <f t="shared" si="11"/>
        <v>48.517746923162797</v>
      </c>
      <c r="AR176" s="222">
        <f t="shared" si="11"/>
        <v>50.290855541581394</v>
      </c>
      <c r="AS176" s="222">
        <f t="shared" si="10"/>
        <v>22.98754410418605</v>
      </c>
      <c r="AT176" s="222">
        <f t="shared" si="10"/>
        <v>5.0340917045581399</v>
      </c>
      <c r="AU176" s="222">
        <f t="shared" si="10"/>
        <v>0.59957382697674422</v>
      </c>
      <c r="AV176" s="222">
        <f t="shared" si="10"/>
        <v>1.9419206667906979</v>
      </c>
      <c r="AW176" s="222">
        <f t="shared" si="9"/>
        <v>180.81167445879072</v>
      </c>
      <c r="AX176" s="214"/>
    </row>
    <row r="177" spans="2:50" s="110" customFormat="1" hidden="1">
      <c r="B177" s="109"/>
      <c r="X177" s="119"/>
      <c r="Y177" s="120"/>
      <c r="Z177" s="188" t="s">
        <v>12</v>
      </c>
      <c r="AA177" s="188">
        <v>2010</v>
      </c>
      <c r="AB177" s="188" t="s">
        <v>477</v>
      </c>
      <c r="AC177" s="188">
        <v>2532</v>
      </c>
      <c r="AD177" s="188">
        <v>13265</v>
      </c>
      <c r="AE177" s="188">
        <v>4733</v>
      </c>
      <c r="AF177" s="188">
        <v>193</v>
      </c>
      <c r="AG177" s="188">
        <v>0</v>
      </c>
      <c r="AH177" s="188">
        <v>0</v>
      </c>
      <c r="AI177" s="188">
        <v>204</v>
      </c>
      <c r="AJ177" s="188">
        <v>20926</v>
      </c>
      <c r="AK177" s="214"/>
      <c r="AL177" s="221">
        <f>VLOOKUP(AA177,pgdp!$A$13:$C$90,3,FALSE)</f>
        <v>0.85894343086456204</v>
      </c>
      <c r="AM177" s="188" t="s">
        <v>12</v>
      </c>
      <c r="AN177" s="188">
        <v>2010</v>
      </c>
      <c r="AO177" s="188" t="s">
        <v>477</v>
      </c>
      <c r="AP177" s="222">
        <f t="shared" si="11"/>
        <v>2.9478076308837213</v>
      </c>
      <c r="AQ177" s="222">
        <f t="shared" si="11"/>
        <v>15.443391873488373</v>
      </c>
      <c r="AR177" s="222">
        <f t="shared" si="11"/>
        <v>5.5102581030697682</v>
      </c>
      <c r="AS177" s="222">
        <f t="shared" si="10"/>
        <v>0.22469465748837211</v>
      </c>
      <c r="AT177" s="222">
        <f t="shared" si="10"/>
        <v>0</v>
      </c>
      <c r="AU177" s="222">
        <f t="shared" si="10"/>
        <v>0</v>
      </c>
      <c r="AV177" s="222">
        <f t="shared" si="10"/>
        <v>0.23750108874418607</v>
      </c>
      <c r="AW177" s="222">
        <f t="shared" si="9"/>
        <v>24.362489132651163</v>
      </c>
      <c r="AX177" s="217"/>
    </row>
    <row r="178" spans="2:50" s="110" customFormat="1" hidden="1">
      <c r="B178" s="109"/>
      <c r="X178" s="122"/>
      <c r="Y178" s="109"/>
      <c r="Z178" s="188" t="s">
        <v>12</v>
      </c>
      <c r="AA178" s="188">
        <v>2010</v>
      </c>
      <c r="AB178" s="188" t="s">
        <v>478</v>
      </c>
      <c r="AC178" s="188">
        <v>0</v>
      </c>
      <c r="AD178" s="188">
        <v>218</v>
      </c>
      <c r="AE178" s="188">
        <v>0</v>
      </c>
      <c r="AF178" s="188">
        <v>0</v>
      </c>
      <c r="AG178" s="188">
        <v>0</v>
      </c>
      <c r="AH178" s="188">
        <v>0</v>
      </c>
      <c r="AI178" s="188">
        <v>0</v>
      </c>
      <c r="AJ178" s="188">
        <v>218</v>
      </c>
      <c r="AK178" s="217"/>
      <c r="AL178" s="221">
        <f>VLOOKUP(AA178,pgdp!$A$13:$C$90,3,FALSE)</f>
        <v>0.85894343086456204</v>
      </c>
      <c r="AM178" s="188" t="s">
        <v>12</v>
      </c>
      <c r="AN178" s="188">
        <v>2010</v>
      </c>
      <c r="AO178" s="188" t="s">
        <v>478</v>
      </c>
      <c r="AP178" s="222">
        <f t="shared" si="11"/>
        <v>0</v>
      </c>
      <c r="AQ178" s="222">
        <f t="shared" si="11"/>
        <v>0.25380018306976748</v>
      </c>
      <c r="AR178" s="222">
        <f t="shared" si="11"/>
        <v>0</v>
      </c>
      <c r="AS178" s="222">
        <f t="shared" si="10"/>
        <v>0</v>
      </c>
      <c r="AT178" s="222">
        <f t="shared" si="10"/>
        <v>0</v>
      </c>
      <c r="AU178" s="222">
        <f t="shared" si="10"/>
        <v>0</v>
      </c>
      <c r="AV178" s="222">
        <f t="shared" si="10"/>
        <v>0</v>
      </c>
      <c r="AW178" s="222">
        <f t="shared" si="9"/>
        <v>0.25380018306976748</v>
      </c>
      <c r="AX178" s="217"/>
    </row>
    <row r="179" spans="2:50" s="110" customFormat="1" hidden="1">
      <c r="B179" s="109"/>
      <c r="X179" s="122"/>
      <c r="Y179" s="109"/>
      <c r="Z179" s="188" t="s">
        <v>12</v>
      </c>
      <c r="AA179" s="188">
        <v>2011</v>
      </c>
      <c r="AB179" s="188" t="s">
        <v>459</v>
      </c>
      <c r="AC179" s="188">
        <v>45198</v>
      </c>
      <c r="AD179" s="188">
        <v>45165</v>
      </c>
      <c r="AE179" s="188">
        <v>42155</v>
      </c>
      <c r="AF179" s="188">
        <v>17643</v>
      </c>
      <c r="AG179" s="188">
        <v>3791</v>
      </c>
      <c r="AH179" s="188">
        <v>552</v>
      </c>
      <c r="AI179" s="188">
        <v>1475</v>
      </c>
      <c r="AJ179" s="188">
        <v>155978</v>
      </c>
      <c r="AK179" s="214"/>
      <c r="AL179" s="221">
        <f>VLOOKUP(AA179,pgdp!$A$13:$C$90,3,FALSE)</f>
        <v>0.87638757317399019</v>
      </c>
      <c r="AM179" s="188" t="s">
        <v>12</v>
      </c>
      <c r="AN179" s="188">
        <v>2011</v>
      </c>
      <c r="AO179" s="188" t="s">
        <v>459</v>
      </c>
      <c r="AP179" s="222">
        <f t="shared" si="11"/>
        <v>51.57307267184035</v>
      </c>
      <c r="AQ179" s="222">
        <f t="shared" si="11"/>
        <v>51.535418098669624</v>
      </c>
      <c r="AR179" s="222">
        <f t="shared" si="11"/>
        <v>48.10086460643015</v>
      </c>
      <c r="AS179" s="222">
        <f t="shared" si="10"/>
        <v>20.13150407427938</v>
      </c>
      <c r="AT179" s="222">
        <f t="shared" si="10"/>
        <v>4.3257117239467844</v>
      </c>
      <c r="AU179" s="222">
        <f t="shared" si="10"/>
        <v>0.62985831485587584</v>
      </c>
      <c r="AV179" s="222">
        <f t="shared" si="10"/>
        <v>1.6830453159645233</v>
      </c>
      <c r="AW179" s="222">
        <f t="shared" si="9"/>
        <v>177.97833375831485</v>
      </c>
      <c r="AX179" s="214"/>
    </row>
    <row r="180" spans="2:50" s="110" customFormat="1" hidden="1">
      <c r="B180" s="109"/>
      <c r="X180" s="119"/>
      <c r="Y180" s="120"/>
      <c r="Z180" s="188" t="s">
        <v>12</v>
      </c>
      <c r="AA180" s="188">
        <v>2011</v>
      </c>
      <c r="AB180" s="188" t="s">
        <v>479</v>
      </c>
      <c r="AC180" s="188">
        <v>2162</v>
      </c>
      <c r="AD180" s="188">
        <v>13377</v>
      </c>
      <c r="AE180" s="188">
        <v>4630</v>
      </c>
      <c r="AF180" s="188">
        <v>289</v>
      </c>
      <c r="AG180" s="188">
        <v>0</v>
      </c>
      <c r="AH180" s="188">
        <v>0</v>
      </c>
      <c r="AI180" s="188">
        <v>0</v>
      </c>
      <c r="AJ180" s="188">
        <v>20459</v>
      </c>
      <c r="AK180" s="217"/>
      <c r="AL180" s="221">
        <f>VLOOKUP(AA180,pgdp!$A$13:$C$90,3,FALSE)</f>
        <v>0.87638757317399019</v>
      </c>
      <c r="AM180" s="188" t="s">
        <v>12</v>
      </c>
      <c r="AN180" s="188">
        <v>2011</v>
      </c>
      <c r="AO180" s="188" t="s">
        <v>479</v>
      </c>
      <c r="AP180" s="222">
        <f t="shared" si="11"/>
        <v>2.4669450665188468</v>
      </c>
      <c r="AQ180" s="222">
        <f t="shared" si="11"/>
        <v>15.263794706208424</v>
      </c>
      <c r="AR180" s="222">
        <f t="shared" si="11"/>
        <v>5.2830507206208424</v>
      </c>
      <c r="AS180" s="222">
        <f t="shared" si="10"/>
        <v>0.32976277716186253</v>
      </c>
      <c r="AT180" s="222">
        <f t="shared" si="10"/>
        <v>0</v>
      </c>
      <c r="AU180" s="222">
        <f t="shared" si="10"/>
        <v>0</v>
      </c>
      <c r="AV180" s="222">
        <f t="shared" si="10"/>
        <v>0</v>
      </c>
      <c r="AW180" s="222">
        <f t="shared" si="9"/>
        <v>23.344694318181816</v>
      </c>
      <c r="AX180" s="217"/>
    </row>
    <row r="181" spans="2:50" s="110" customFormat="1" hidden="1">
      <c r="B181" s="109"/>
      <c r="X181" s="122"/>
      <c r="Y181" s="109"/>
      <c r="Z181" s="188" t="s">
        <v>12</v>
      </c>
      <c r="AA181" s="188">
        <v>2012</v>
      </c>
      <c r="AB181" s="188" t="s">
        <v>459</v>
      </c>
      <c r="AC181" s="188">
        <v>45740</v>
      </c>
      <c r="AD181" s="188">
        <v>47064</v>
      </c>
      <c r="AE181" s="188">
        <v>43728</v>
      </c>
      <c r="AF181" s="188">
        <v>17604</v>
      </c>
      <c r="AG181" s="188">
        <v>2243</v>
      </c>
      <c r="AH181" s="188">
        <v>469</v>
      </c>
      <c r="AI181" s="188">
        <v>1070</v>
      </c>
      <c r="AJ181" s="188">
        <v>157917</v>
      </c>
      <c r="AK181" s="214"/>
      <c r="AL181" s="221">
        <f>VLOOKUP(AA181,pgdp!$A$13:$C$90,3,FALSE)</f>
        <v>0.89246166741880806</v>
      </c>
      <c r="AM181" s="188" t="s">
        <v>12</v>
      </c>
      <c r="AN181" s="188">
        <v>2012</v>
      </c>
      <c r="AO181" s="188" t="s">
        <v>459</v>
      </c>
      <c r="AP181" s="222">
        <f t="shared" si="11"/>
        <v>51.251500954982149</v>
      </c>
      <c r="AQ181" s="222">
        <f t="shared" si="11"/>
        <v>52.73503806176825</v>
      </c>
      <c r="AR181" s="222">
        <f t="shared" si="11"/>
        <v>48.997062390893298</v>
      </c>
      <c r="AS181" s="222">
        <f t="shared" si="10"/>
        <v>19.725216939473235</v>
      </c>
      <c r="AT181" s="222">
        <f t="shared" si="10"/>
        <v>2.5132732103634661</v>
      </c>
      <c r="AU181" s="222">
        <f t="shared" si="10"/>
        <v>0.52551276667876312</v>
      </c>
      <c r="AV181" s="222">
        <f t="shared" si="10"/>
        <v>1.1989310455144488</v>
      </c>
      <c r="AW181" s="222">
        <f t="shared" si="9"/>
        <v>176.9454148733694</v>
      </c>
      <c r="AX181" s="217"/>
    </row>
    <row r="182" spans="2:50" s="110" customFormat="1" hidden="1">
      <c r="B182" s="109"/>
      <c r="X182" s="119"/>
      <c r="Y182" s="120"/>
      <c r="Z182" s="188" t="s">
        <v>12</v>
      </c>
      <c r="AA182" s="188">
        <v>2012</v>
      </c>
      <c r="AB182" s="188" t="s">
        <v>480</v>
      </c>
      <c r="AC182" s="188">
        <v>1974</v>
      </c>
      <c r="AD182" s="188">
        <v>11167</v>
      </c>
      <c r="AE182" s="188">
        <v>2309</v>
      </c>
      <c r="AF182" s="188">
        <v>54</v>
      </c>
      <c r="AG182" s="188">
        <v>190</v>
      </c>
      <c r="AH182" s="188">
        <v>0</v>
      </c>
      <c r="AI182" s="188">
        <v>0</v>
      </c>
      <c r="AJ182" s="188">
        <v>15693</v>
      </c>
      <c r="AK182" s="217"/>
      <c r="AL182" s="221">
        <f>VLOOKUP(AA182,pgdp!$A$13:$C$90,3,FALSE)</f>
        <v>0.89246166741880806</v>
      </c>
      <c r="AM182" s="188" t="s">
        <v>12</v>
      </c>
      <c r="AN182" s="188">
        <v>2012</v>
      </c>
      <c r="AO182" s="188" t="s">
        <v>480</v>
      </c>
      <c r="AP182" s="222">
        <f t="shared" si="11"/>
        <v>2.2118597045285253</v>
      </c>
      <c r="AQ182" s="222">
        <f t="shared" si="11"/>
        <v>12.512582229214814</v>
      </c>
      <c r="AR182" s="222">
        <f t="shared" si="11"/>
        <v>2.5872259664419279</v>
      </c>
      <c r="AS182" s="222">
        <f t="shared" si="10"/>
        <v>6.0506800427832005E-2</v>
      </c>
      <c r="AT182" s="222">
        <f t="shared" si="10"/>
        <v>0.21289429780163113</v>
      </c>
      <c r="AU182" s="222">
        <f t="shared" si="10"/>
        <v>0</v>
      </c>
      <c r="AV182" s="222">
        <f t="shared" si="10"/>
        <v>0</v>
      </c>
      <c r="AW182" s="222">
        <f t="shared" si="9"/>
        <v>17.583948502110513</v>
      </c>
      <c r="AX182" s="214"/>
    </row>
    <row r="183" spans="2:50" s="110" customFormat="1" hidden="1">
      <c r="B183" s="109"/>
      <c r="X183" s="122"/>
      <c r="Y183" s="109"/>
      <c r="Z183" s="188" t="s">
        <v>12</v>
      </c>
      <c r="AA183" s="188">
        <v>2013</v>
      </c>
      <c r="AB183" s="188" t="s">
        <v>459</v>
      </c>
      <c r="AC183" s="188">
        <v>43885</v>
      </c>
      <c r="AD183" s="188">
        <v>49152</v>
      </c>
      <c r="AE183" s="188">
        <v>39036</v>
      </c>
      <c r="AF183" s="188">
        <v>15126</v>
      </c>
      <c r="AG183" s="188">
        <v>1572</v>
      </c>
      <c r="AH183" s="188">
        <v>424</v>
      </c>
      <c r="AI183" s="188">
        <v>697</v>
      </c>
      <c r="AJ183" s="188">
        <v>149892</v>
      </c>
      <c r="AK183" s="217"/>
      <c r="AL183" s="221">
        <f>VLOOKUP(AA183,pgdp!$A$13:$C$90,3,FALSE)</f>
        <v>0.9075385882666781</v>
      </c>
      <c r="AM183" s="188" t="s">
        <v>12</v>
      </c>
      <c r="AN183" s="188">
        <v>2013</v>
      </c>
      <c r="AO183" s="188" t="s">
        <v>459</v>
      </c>
      <c r="AP183" s="222">
        <f t="shared" si="11"/>
        <v>48.356070548820014</v>
      </c>
      <c r="AQ183" s="222">
        <f t="shared" si="11"/>
        <v>54.159680519895204</v>
      </c>
      <c r="AR183" s="222">
        <f t="shared" si="11"/>
        <v>43.013047053520282</v>
      </c>
      <c r="AS183" s="222">
        <f t="shared" si="10"/>
        <v>16.667059886554664</v>
      </c>
      <c r="AT183" s="222">
        <f t="shared" si="10"/>
        <v>1.7321577510025077</v>
      </c>
      <c r="AU183" s="222">
        <f t="shared" si="10"/>
        <v>0.46719776490143977</v>
      </c>
      <c r="AV183" s="222">
        <f t="shared" si="10"/>
        <v>0.76801142013279122</v>
      </c>
      <c r="AW183" s="222">
        <f t="shared" si="9"/>
        <v>165.16322494482691</v>
      </c>
      <c r="AX183" s="217"/>
    </row>
    <row r="184" spans="2:50" s="110" customFormat="1" hidden="1">
      <c r="B184" s="109"/>
      <c r="X184" s="123"/>
      <c r="Y184" s="124"/>
      <c r="Z184" s="188" t="s">
        <v>12</v>
      </c>
      <c r="AA184" s="188">
        <v>2013</v>
      </c>
      <c r="AB184" s="188" t="s">
        <v>481</v>
      </c>
      <c r="AC184" s="188">
        <v>2298</v>
      </c>
      <c r="AD184" s="188">
        <v>8472</v>
      </c>
      <c r="AE184" s="188">
        <v>1097</v>
      </c>
      <c r="AF184" s="188">
        <v>48</v>
      </c>
      <c r="AG184" s="188">
        <v>143</v>
      </c>
      <c r="AH184" s="188">
        <v>0</v>
      </c>
      <c r="AI184" s="188">
        <v>0</v>
      </c>
      <c r="AJ184" s="188">
        <v>12058</v>
      </c>
      <c r="AK184" s="214"/>
      <c r="AL184" s="221">
        <f>VLOOKUP(AA184,pgdp!$A$13:$C$90,3,FALSE)</f>
        <v>0.9075385882666781</v>
      </c>
      <c r="AM184" s="188" t="s">
        <v>12</v>
      </c>
      <c r="AN184" s="188">
        <v>2013</v>
      </c>
      <c r="AO184" s="188" t="s">
        <v>481</v>
      </c>
      <c r="AP184" s="222">
        <f t="shared" si="11"/>
        <v>2.5321237352441242</v>
      </c>
      <c r="AQ184" s="222">
        <f t="shared" si="11"/>
        <v>9.3351402458608419</v>
      </c>
      <c r="AR184" s="222">
        <f t="shared" si="11"/>
        <v>1.208764028530376</v>
      </c>
      <c r="AS184" s="222">
        <f t="shared" si="10"/>
        <v>5.289031300771016E-2</v>
      </c>
      <c r="AT184" s="222">
        <f t="shared" si="10"/>
        <v>0.15756905750213654</v>
      </c>
      <c r="AU184" s="222">
        <f t="shared" si="10"/>
        <v>0</v>
      </c>
      <c r="AV184" s="222">
        <f t="shared" si="10"/>
        <v>0</v>
      </c>
      <c r="AW184" s="222">
        <f t="shared" si="9"/>
        <v>13.286487380145191</v>
      </c>
      <c r="AX184" s="217"/>
    </row>
    <row r="185" spans="2:50" s="110" customFormat="1" hidden="1">
      <c r="B185" s="109"/>
      <c r="X185" s="123"/>
      <c r="Y185" s="124"/>
      <c r="Z185" s="188" t="s">
        <v>12</v>
      </c>
      <c r="AA185" s="188">
        <v>2013</v>
      </c>
      <c r="AB185" s="188" t="s">
        <v>482</v>
      </c>
      <c r="AC185" s="188">
        <v>0</v>
      </c>
      <c r="AD185" s="188">
        <v>40</v>
      </c>
      <c r="AE185" s="188">
        <v>0</v>
      </c>
      <c r="AF185" s="188">
        <v>0</v>
      </c>
      <c r="AG185" s="188">
        <v>0</v>
      </c>
      <c r="AH185" s="188">
        <v>0</v>
      </c>
      <c r="AI185" s="188">
        <v>24</v>
      </c>
      <c r="AJ185" s="188">
        <v>64</v>
      </c>
      <c r="AK185" s="217"/>
      <c r="AL185" s="221">
        <f>VLOOKUP(AA185,pgdp!$A$13:$C$90,3,FALSE)</f>
        <v>0.9075385882666781</v>
      </c>
      <c r="AM185" s="188" t="s">
        <v>12</v>
      </c>
      <c r="AN185" s="188">
        <v>2013</v>
      </c>
      <c r="AO185" s="188" t="s">
        <v>482</v>
      </c>
      <c r="AP185" s="222">
        <f t="shared" si="11"/>
        <v>0</v>
      </c>
      <c r="AQ185" s="222">
        <f t="shared" si="11"/>
        <v>4.4075260839758462E-2</v>
      </c>
      <c r="AR185" s="222">
        <f t="shared" si="11"/>
        <v>0</v>
      </c>
      <c r="AS185" s="222">
        <f t="shared" si="10"/>
        <v>0</v>
      </c>
      <c r="AT185" s="222">
        <f t="shared" si="10"/>
        <v>0</v>
      </c>
      <c r="AU185" s="222">
        <f t="shared" si="10"/>
        <v>0</v>
      </c>
      <c r="AV185" s="222">
        <f t="shared" si="10"/>
        <v>2.644515650385508E-2</v>
      </c>
      <c r="AW185" s="222">
        <f t="shared" si="9"/>
        <v>7.0520417343613542E-2</v>
      </c>
      <c r="AX185" s="214"/>
    </row>
    <row r="186" spans="2:50" s="110" customFormat="1" hidden="1">
      <c r="B186" s="109"/>
      <c r="X186" s="123"/>
      <c r="Y186" s="124"/>
      <c r="Z186" s="188" t="s">
        <v>12</v>
      </c>
      <c r="AA186" s="188">
        <v>2014</v>
      </c>
      <c r="AB186" s="188" t="s">
        <v>459</v>
      </c>
      <c r="AC186" s="188">
        <v>44600</v>
      </c>
      <c r="AD186" s="188">
        <v>43613</v>
      </c>
      <c r="AE186" s="188">
        <v>41490</v>
      </c>
      <c r="AF186" s="188">
        <v>14994</v>
      </c>
      <c r="AG186" s="188">
        <v>1791</v>
      </c>
      <c r="AH186" s="188">
        <v>453</v>
      </c>
      <c r="AI186" s="188">
        <v>573</v>
      </c>
      <c r="AJ186" s="188">
        <v>147514</v>
      </c>
      <c r="AK186" s="214"/>
      <c r="AL186" s="221">
        <f>VLOOKUP(AA186,pgdp!$A$13:$C$90,3,FALSE)</f>
        <v>0.9240281714268912</v>
      </c>
      <c r="AM186" s="188" t="s">
        <v>12</v>
      </c>
      <c r="AN186" s="188">
        <v>2014</v>
      </c>
      <c r="AO186" s="188" t="s">
        <v>459</v>
      </c>
      <c r="AP186" s="222">
        <f t="shared" si="11"/>
        <v>48.266926679441326</v>
      </c>
      <c r="AQ186" s="222">
        <f t="shared" si="11"/>
        <v>47.198777427589121</v>
      </c>
      <c r="AR186" s="222">
        <f t="shared" si="11"/>
        <v>44.901228428924227</v>
      </c>
      <c r="AS186" s="222">
        <f t="shared" si="10"/>
        <v>16.226777996222943</v>
      </c>
      <c r="AT186" s="222">
        <f t="shared" si="10"/>
        <v>1.938252593786534</v>
      </c>
      <c r="AU186" s="222">
        <f t="shared" si="10"/>
        <v>0.49024479340329419</v>
      </c>
      <c r="AV186" s="222">
        <f t="shared" si="10"/>
        <v>0.62011096384125286</v>
      </c>
      <c r="AW186" s="222">
        <f t="shared" si="9"/>
        <v>159.6423188832087</v>
      </c>
      <c r="AX186" s="217"/>
    </row>
    <row r="187" spans="2:50" s="110" customFormat="1" hidden="1">
      <c r="B187" s="109"/>
      <c r="X187" s="123"/>
      <c r="Y187" s="124"/>
      <c r="Z187" s="188" t="s">
        <v>12</v>
      </c>
      <c r="AA187" s="188">
        <v>2014</v>
      </c>
      <c r="AB187" s="188" t="s">
        <v>483</v>
      </c>
      <c r="AC187" s="188">
        <v>1393</v>
      </c>
      <c r="AD187" s="188">
        <v>12262</v>
      </c>
      <c r="AE187" s="188">
        <v>732</v>
      </c>
      <c r="AF187" s="188">
        <v>34</v>
      </c>
      <c r="AG187" s="188">
        <v>0</v>
      </c>
      <c r="AH187" s="188">
        <v>0</v>
      </c>
      <c r="AI187" s="188"/>
      <c r="AJ187" s="188">
        <v>14421</v>
      </c>
      <c r="AK187" s="217"/>
      <c r="AL187" s="221">
        <f>VLOOKUP(AA187,pgdp!$A$13:$C$90,3,FALSE)</f>
        <v>0.9240281714268912</v>
      </c>
      <c r="AM187" s="188" t="s">
        <v>12</v>
      </c>
      <c r="AN187" s="188">
        <v>2014</v>
      </c>
      <c r="AO187" s="188" t="s">
        <v>483</v>
      </c>
      <c r="AP187" s="222">
        <f t="shared" si="11"/>
        <v>1.5075297951673041</v>
      </c>
      <c r="AQ187" s="222">
        <f t="shared" si="11"/>
        <v>13.270158182585416</v>
      </c>
      <c r="AR187" s="222">
        <f t="shared" si="11"/>
        <v>0.79218363967154826</v>
      </c>
      <c r="AS187" s="222">
        <f t="shared" si="10"/>
        <v>3.679541495742164E-2</v>
      </c>
      <c r="AT187" s="222">
        <f t="shared" si="10"/>
        <v>0</v>
      </c>
      <c r="AU187" s="222">
        <f t="shared" si="10"/>
        <v>0</v>
      </c>
      <c r="AV187" s="222">
        <f t="shared" si="10"/>
        <v>0</v>
      </c>
      <c r="AW187" s="222">
        <f t="shared" si="9"/>
        <v>15.60666703238169</v>
      </c>
      <c r="AX187" s="214"/>
    </row>
    <row r="188" spans="2:50" s="110" customFormat="1" hidden="1">
      <c r="B188" s="109"/>
      <c r="X188" s="123"/>
      <c r="Y188" s="124"/>
      <c r="Z188" s="188" t="s">
        <v>12</v>
      </c>
      <c r="AA188" s="188">
        <v>2014</v>
      </c>
      <c r="AB188" s="188" t="s">
        <v>484</v>
      </c>
      <c r="AC188" s="188"/>
      <c r="AD188" s="188"/>
      <c r="AE188" s="188"/>
      <c r="AF188" s="188"/>
      <c r="AG188" s="188"/>
      <c r="AH188" s="188"/>
      <c r="AI188" s="188"/>
      <c r="AJ188" s="188"/>
      <c r="AK188" s="214"/>
      <c r="AL188" s="221">
        <f>VLOOKUP(AA188,pgdp!$A$13:$C$90,3,FALSE)</f>
        <v>0.9240281714268912</v>
      </c>
      <c r="AM188" s="188" t="s">
        <v>12</v>
      </c>
      <c r="AN188" s="188">
        <v>2014</v>
      </c>
      <c r="AO188" s="188" t="s">
        <v>484</v>
      </c>
      <c r="AP188" s="222">
        <f t="shared" si="11"/>
        <v>0</v>
      </c>
      <c r="AQ188" s="222">
        <f t="shared" si="11"/>
        <v>0</v>
      </c>
      <c r="AR188" s="222">
        <f t="shared" si="11"/>
        <v>0</v>
      </c>
      <c r="AS188" s="222">
        <f t="shared" si="10"/>
        <v>0</v>
      </c>
      <c r="AT188" s="222">
        <f t="shared" si="10"/>
        <v>0</v>
      </c>
      <c r="AU188" s="222">
        <f t="shared" si="10"/>
        <v>0</v>
      </c>
      <c r="AV188" s="222">
        <f t="shared" si="10"/>
        <v>0</v>
      </c>
      <c r="AW188" s="222">
        <f t="shared" si="9"/>
        <v>0</v>
      </c>
      <c r="AX188" s="217"/>
    </row>
    <row r="189" spans="2:50" s="110" customFormat="1" hidden="1">
      <c r="B189" s="109"/>
      <c r="X189" s="123"/>
      <c r="Y189" s="124"/>
      <c r="Z189" s="188" t="s">
        <v>12</v>
      </c>
      <c r="AA189" s="188">
        <v>2015</v>
      </c>
      <c r="AB189" s="188" t="s">
        <v>459</v>
      </c>
      <c r="AC189" s="188">
        <v>45101</v>
      </c>
      <c r="AD189" s="188">
        <v>45248</v>
      </c>
      <c r="AE189" s="188">
        <v>41152</v>
      </c>
      <c r="AF189" s="188">
        <v>15827</v>
      </c>
      <c r="AG189" s="188">
        <v>1249</v>
      </c>
      <c r="AH189" s="188">
        <v>370</v>
      </c>
      <c r="AI189" s="188">
        <v>485</v>
      </c>
      <c r="AJ189" s="188">
        <v>149433</v>
      </c>
      <c r="AK189" s="217"/>
      <c r="AL189" s="221">
        <f>VLOOKUP(AA189,pgdp!$A$13:$C$90,3,FALSE)</f>
        <v>0.9351696664966358</v>
      </c>
      <c r="AM189" s="188" t="s">
        <v>12</v>
      </c>
      <c r="AN189" s="188">
        <v>2015</v>
      </c>
      <c r="AO189" s="188" t="s">
        <v>459</v>
      </c>
      <c r="AP189" s="222">
        <f t="shared" si="11"/>
        <v>48.227612181818188</v>
      </c>
      <c r="AQ189" s="222">
        <f t="shared" si="11"/>
        <v>48.384802909090908</v>
      </c>
      <c r="AR189" s="222">
        <f t="shared" si="11"/>
        <v>44.004849038961041</v>
      </c>
      <c r="AS189" s="222">
        <f t="shared" si="10"/>
        <v>16.924201636363637</v>
      </c>
      <c r="AT189" s="222">
        <f t="shared" si="10"/>
        <v>1.3355865194805194</v>
      </c>
      <c r="AU189" s="222">
        <f t="shared" si="10"/>
        <v>0.39565012987012987</v>
      </c>
      <c r="AV189" s="222">
        <f t="shared" si="10"/>
        <v>0.51862246753246755</v>
      </c>
      <c r="AW189" s="222">
        <f t="shared" si="9"/>
        <v>159.7923942077922</v>
      </c>
      <c r="AX189" s="214"/>
    </row>
    <row r="190" spans="2:50" s="121" customFormat="1" hidden="1">
      <c r="B190" s="109"/>
      <c r="X190" s="123"/>
      <c r="Y190" s="124"/>
      <c r="Z190" s="188" t="s">
        <v>12</v>
      </c>
      <c r="AA190" s="188">
        <v>2015</v>
      </c>
      <c r="AB190" s="188" t="s">
        <v>485</v>
      </c>
      <c r="AC190" s="188">
        <v>717</v>
      </c>
      <c r="AD190" s="188">
        <v>8991</v>
      </c>
      <c r="AE190" s="188">
        <v>654</v>
      </c>
      <c r="AF190" s="188">
        <v>37</v>
      </c>
      <c r="AG190" s="188">
        <v>0</v>
      </c>
      <c r="AH190" s="188">
        <v>0</v>
      </c>
      <c r="AI190" s="188">
        <v>0</v>
      </c>
      <c r="AJ190" s="188">
        <v>10398</v>
      </c>
      <c r="AK190" s="217"/>
      <c r="AL190" s="221">
        <f>VLOOKUP(AA190,pgdp!$A$13:$C$90,3,FALSE)</f>
        <v>0.9351696664966358</v>
      </c>
      <c r="AM190" s="188" t="s">
        <v>12</v>
      </c>
      <c r="AN190" s="188">
        <v>2015</v>
      </c>
      <c r="AO190" s="188" t="s">
        <v>485</v>
      </c>
      <c r="AP190" s="222">
        <f t="shared" si="11"/>
        <v>0.76670579220779222</v>
      </c>
      <c r="AQ190" s="222">
        <f t="shared" si="11"/>
        <v>9.6142981558441551</v>
      </c>
      <c r="AR190" s="222">
        <f t="shared" si="11"/>
        <v>0.69933833766233777</v>
      </c>
      <c r="AS190" s="222">
        <f t="shared" si="10"/>
        <v>3.9565012987012982E-2</v>
      </c>
      <c r="AT190" s="222">
        <f t="shared" si="10"/>
        <v>0</v>
      </c>
      <c r="AU190" s="222">
        <f t="shared" si="10"/>
        <v>0</v>
      </c>
      <c r="AV190" s="222">
        <f t="shared" si="10"/>
        <v>0</v>
      </c>
      <c r="AW190" s="222">
        <f t="shared" si="9"/>
        <v>11.118837974025974</v>
      </c>
      <c r="AX190" s="217"/>
    </row>
    <row r="191" spans="2:50" s="121" customFormat="1" hidden="1">
      <c r="B191" s="109"/>
      <c r="X191" s="123"/>
      <c r="Y191" s="124"/>
      <c r="Z191" s="188" t="s">
        <v>12</v>
      </c>
      <c r="AA191" s="188">
        <v>2015</v>
      </c>
      <c r="AB191" s="188" t="s">
        <v>486</v>
      </c>
      <c r="AC191" s="188">
        <v>0</v>
      </c>
      <c r="AD191" s="188">
        <v>0</v>
      </c>
      <c r="AE191" s="188">
        <v>0</v>
      </c>
      <c r="AF191" s="188">
        <v>0</v>
      </c>
      <c r="AG191" s="188">
        <v>0</v>
      </c>
      <c r="AH191" s="188">
        <v>0</v>
      </c>
      <c r="AI191" s="188">
        <v>0</v>
      </c>
      <c r="AJ191" s="188">
        <v>0</v>
      </c>
      <c r="AK191" s="214"/>
      <c r="AL191" s="221">
        <f>VLOOKUP(AA191,pgdp!$A$13:$C$90,3,FALSE)</f>
        <v>0.9351696664966358</v>
      </c>
      <c r="AM191" s="188" t="s">
        <v>12</v>
      </c>
      <c r="AN191" s="188">
        <v>2015</v>
      </c>
      <c r="AO191" s="188" t="s">
        <v>486</v>
      </c>
      <c r="AP191" s="222">
        <f t="shared" si="11"/>
        <v>0</v>
      </c>
      <c r="AQ191" s="222">
        <f t="shared" si="11"/>
        <v>0</v>
      </c>
      <c r="AR191" s="222">
        <f t="shared" si="11"/>
        <v>0</v>
      </c>
      <c r="AS191" s="222">
        <f t="shared" si="10"/>
        <v>0</v>
      </c>
      <c r="AT191" s="222">
        <f t="shared" si="10"/>
        <v>0</v>
      </c>
      <c r="AU191" s="222">
        <f t="shared" si="10"/>
        <v>0</v>
      </c>
      <c r="AV191" s="222">
        <f t="shared" si="10"/>
        <v>0</v>
      </c>
      <c r="AW191" s="222">
        <f t="shared" si="9"/>
        <v>0</v>
      </c>
      <c r="AX191" s="217"/>
    </row>
    <row r="192" spans="2:50" s="121" customFormat="1" hidden="1">
      <c r="B192" s="109"/>
      <c r="X192" s="123"/>
      <c r="Y192" s="124"/>
      <c r="Z192" s="188" t="s">
        <v>12</v>
      </c>
      <c r="AA192" s="188">
        <v>2016</v>
      </c>
      <c r="AB192" s="188" t="s">
        <v>459</v>
      </c>
      <c r="AC192" s="188">
        <v>45399</v>
      </c>
      <c r="AD192" s="188">
        <v>46315</v>
      </c>
      <c r="AE192" s="188">
        <v>47230</v>
      </c>
      <c r="AF192" s="188">
        <v>17898</v>
      </c>
      <c r="AG192" s="188">
        <v>1924</v>
      </c>
      <c r="AH192" s="188">
        <v>362</v>
      </c>
      <c r="AI192" s="188">
        <v>474</v>
      </c>
      <c r="AJ192" s="188">
        <v>159601</v>
      </c>
      <c r="AK192" s="217"/>
      <c r="AL192" s="221">
        <f>VLOOKUP(AA192,pgdp!$A$13:$C$90,3,FALSE)</f>
        <v>0.94602138468179731</v>
      </c>
      <c r="AM192" s="188" t="s">
        <v>12</v>
      </c>
      <c r="AN192" s="188">
        <v>2016</v>
      </c>
      <c r="AO192" s="188" t="s">
        <v>459</v>
      </c>
      <c r="AP192" s="222">
        <f t="shared" si="11"/>
        <v>47.989401439662338</v>
      </c>
      <c r="AQ192" s="222">
        <f t="shared" si="11"/>
        <v>48.957667078084562</v>
      </c>
      <c r="AR192" s="222">
        <f t="shared" si="11"/>
        <v>49.924875657949563</v>
      </c>
      <c r="AS192" s="222">
        <f t="shared" si="10"/>
        <v>18.919234057293696</v>
      </c>
      <c r="AT192" s="222">
        <f t="shared" si="10"/>
        <v>2.0337806641095693</v>
      </c>
      <c r="AU192" s="222">
        <f t="shared" si="10"/>
        <v>0.38265519771708112</v>
      </c>
      <c r="AV192" s="222">
        <f t="shared" si="10"/>
        <v>0.50104575612678581</v>
      </c>
      <c r="AW192" s="222">
        <f t="shared" si="9"/>
        <v>168.70760279238638</v>
      </c>
      <c r="AX192" s="214"/>
    </row>
    <row r="193" spans="3:50" hidden="1">
      <c r="X193" s="123"/>
      <c r="Y193" s="124"/>
      <c r="Z193" s="188" t="s">
        <v>12</v>
      </c>
      <c r="AA193" s="188">
        <v>2016</v>
      </c>
      <c r="AB193" s="188" t="s">
        <v>487</v>
      </c>
      <c r="AC193" s="188">
        <v>438</v>
      </c>
      <c r="AD193" s="188">
        <v>8638</v>
      </c>
      <c r="AE193" s="188">
        <v>405</v>
      </c>
      <c r="AF193" s="188">
        <v>36</v>
      </c>
      <c r="AG193" s="188">
        <v>0</v>
      </c>
      <c r="AH193" s="188">
        <v>0</v>
      </c>
      <c r="AI193" s="188">
        <v>0</v>
      </c>
      <c r="AJ193" s="188">
        <v>9517</v>
      </c>
      <c r="AK193" s="217"/>
      <c r="AL193" s="221">
        <f>VLOOKUP(AA193,pgdp!$A$13:$C$90,3,FALSE)</f>
        <v>0.94602138468179731</v>
      </c>
      <c r="AM193" s="188" t="s">
        <v>12</v>
      </c>
      <c r="AN193" s="188">
        <v>2016</v>
      </c>
      <c r="AO193" s="188" t="s">
        <v>487</v>
      </c>
      <c r="AP193" s="222">
        <f t="shared" si="11"/>
        <v>0.46299164806652354</v>
      </c>
      <c r="AQ193" s="222">
        <f t="shared" si="11"/>
        <v>9.1308718173484724</v>
      </c>
      <c r="AR193" s="222">
        <f t="shared" si="11"/>
        <v>0.42810871567794989</v>
      </c>
      <c r="AS193" s="222">
        <f t="shared" si="10"/>
        <v>3.8054108060262208E-2</v>
      </c>
      <c r="AT193" s="222">
        <f t="shared" si="10"/>
        <v>0</v>
      </c>
      <c r="AU193" s="222">
        <f t="shared" si="10"/>
        <v>0</v>
      </c>
      <c r="AV193" s="222">
        <f t="shared" si="10"/>
        <v>0</v>
      </c>
      <c r="AW193" s="222">
        <f t="shared" si="9"/>
        <v>10.060026289153207</v>
      </c>
      <c r="AX193" s="217"/>
    </row>
    <row r="194" spans="3:50" hidden="1">
      <c r="Z194" s="188" t="s">
        <v>12</v>
      </c>
      <c r="AA194" s="188">
        <v>2017</v>
      </c>
      <c r="AB194" s="188" t="s">
        <v>459</v>
      </c>
      <c r="AC194" s="188">
        <v>45744</v>
      </c>
      <c r="AD194" s="188">
        <v>43520</v>
      </c>
      <c r="AE194" s="188">
        <v>48293</v>
      </c>
      <c r="AF194" s="188">
        <v>17175</v>
      </c>
      <c r="AG194" s="188">
        <v>1531</v>
      </c>
      <c r="AH194" s="188">
        <v>395</v>
      </c>
      <c r="AI194" s="188">
        <v>511</v>
      </c>
      <c r="AJ194" s="188">
        <v>157170</v>
      </c>
      <c r="AK194" s="214"/>
      <c r="AL194" s="221">
        <f>VLOOKUP(AA194,pgdp!$A$13:$C$90,3,FALSE)</f>
        <v>0.96224036736890672</v>
      </c>
      <c r="AM194" s="188" t="s">
        <v>12</v>
      </c>
      <c r="AN194" s="188">
        <v>2017</v>
      </c>
      <c r="AO194" s="188" t="s">
        <v>459</v>
      </c>
      <c r="AP194" s="222">
        <f t="shared" si="11"/>
        <v>47.539057340817756</v>
      </c>
      <c r="AQ194" s="222">
        <f t="shared" si="11"/>
        <v>45.227784528514967</v>
      </c>
      <c r="AR194" s="222">
        <f t="shared" si="11"/>
        <v>50.188083599162994</v>
      </c>
      <c r="AS194" s="222">
        <f t="shared" si="10"/>
        <v>17.848970571627863</v>
      </c>
      <c r="AT194" s="222">
        <f t="shared" si="10"/>
        <v>1.5910785412030428</v>
      </c>
      <c r="AU194" s="222">
        <f t="shared" si="10"/>
        <v>0.41050034211312986</v>
      </c>
      <c r="AV194" s="222">
        <f t="shared" si="10"/>
        <v>0.53105234131597312</v>
      </c>
      <c r="AW194" s="222">
        <f t="shared" si="9"/>
        <v>163.33756650612818</v>
      </c>
      <c r="AX194" s="214"/>
    </row>
    <row r="195" spans="3:50" hidden="1">
      <c r="Z195" s="188" t="s">
        <v>12</v>
      </c>
      <c r="AA195" s="188">
        <v>2017</v>
      </c>
      <c r="AB195" s="188" t="s">
        <v>488</v>
      </c>
      <c r="AC195" s="188">
        <v>488</v>
      </c>
      <c r="AD195" s="188">
        <v>11868</v>
      </c>
      <c r="AE195" s="188">
        <v>1632</v>
      </c>
      <c r="AF195" s="188">
        <v>327</v>
      </c>
      <c r="AG195" s="188">
        <v>131</v>
      </c>
      <c r="AH195" s="188">
        <v>0</v>
      </c>
      <c r="AI195" s="188">
        <v>0</v>
      </c>
      <c r="AJ195" s="188">
        <v>14446</v>
      </c>
      <c r="AK195" s="217"/>
      <c r="AL195" s="221">
        <f>VLOOKUP(AA195,pgdp!$A$13:$C$90,3,FALSE)</f>
        <v>0.96224036736890672</v>
      </c>
      <c r="AM195" s="188" t="s">
        <v>12</v>
      </c>
      <c r="AN195" s="188">
        <v>2017</v>
      </c>
      <c r="AO195" s="188" t="s">
        <v>488</v>
      </c>
      <c r="AP195" s="222">
        <f t="shared" si="11"/>
        <v>0.50714978974989211</v>
      </c>
      <c r="AQ195" s="222">
        <f t="shared" si="11"/>
        <v>12.333716608097786</v>
      </c>
      <c r="AR195" s="222">
        <f t="shared" si="11"/>
        <v>1.6960419198193113</v>
      </c>
      <c r="AS195" s="222">
        <f t="shared" si="10"/>
        <v>0.33983192878732527</v>
      </c>
      <c r="AT195" s="222">
        <f t="shared" si="10"/>
        <v>0.13614061978941777</v>
      </c>
      <c r="AU195" s="222">
        <f t="shared" si="10"/>
        <v>0</v>
      </c>
      <c r="AV195" s="222">
        <f t="shared" si="10"/>
        <v>0</v>
      </c>
      <c r="AW195" s="222">
        <f t="shared" si="9"/>
        <v>15.012880866243734</v>
      </c>
      <c r="AX195" s="217"/>
    </row>
    <row r="196" spans="3:50" ht="24" hidden="1">
      <c r="X196" s="125"/>
      <c r="Y196" s="117"/>
      <c r="Z196" s="188" t="s">
        <v>12</v>
      </c>
      <c r="AA196" s="188">
        <v>2018</v>
      </c>
      <c r="AB196" s="188" t="s">
        <v>459</v>
      </c>
      <c r="AC196" s="188">
        <v>45690</v>
      </c>
      <c r="AD196" s="188">
        <v>45063</v>
      </c>
      <c r="AE196" s="188">
        <v>48102</v>
      </c>
      <c r="AF196" s="188">
        <v>17092</v>
      </c>
      <c r="AG196" s="188">
        <v>1518</v>
      </c>
      <c r="AH196" s="188">
        <v>392</v>
      </c>
      <c r="AI196" s="188">
        <v>0</v>
      </c>
      <c r="AJ196" s="188">
        <v>157858</v>
      </c>
      <c r="AK196" s="217"/>
      <c r="AL196" s="221">
        <f>VLOOKUP(AA196,pgdp!$A$13:$C$90,3,FALSE)</f>
        <v>0.9807153483309915</v>
      </c>
      <c r="AM196" s="188" t="s">
        <v>12</v>
      </c>
      <c r="AN196" s="188">
        <v>2018</v>
      </c>
      <c r="AO196" s="188" t="s">
        <v>459</v>
      </c>
      <c r="AP196" s="222">
        <f t="shared" si="11"/>
        <v>46.588441873329003</v>
      </c>
      <c r="AQ196" s="222">
        <f t="shared" si="11"/>
        <v>45.94911263160045</v>
      </c>
      <c r="AR196" s="222">
        <f t="shared" si="11"/>
        <v>49.047871109452217</v>
      </c>
      <c r="AS196" s="222">
        <f t="shared" si="10"/>
        <v>17.428094736242926</v>
      </c>
      <c r="AT196" s="222">
        <f t="shared" si="10"/>
        <v>1.54784974313227</v>
      </c>
      <c r="AU196" s="222">
        <f t="shared" si="10"/>
        <v>0.39970823406314226</v>
      </c>
      <c r="AV196" s="222">
        <f t="shared" si="10"/>
        <v>0</v>
      </c>
      <c r="AW196" s="222">
        <f t="shared" si="9"/>
        <v>160.96209799168241</v>
      </c>
      <c r="AX196" s="214"/>
    </row>
    <row r="197" spans="3:50" hidden="1">
      <c r="X197" s="116"/>
      <c r="Y197" s="117"/>
      <c r="Z197" s="188" t="s">
        <v>12</v>
      </c>
      <c r="AA197" s="188">
        <v>2018</v>
      </c>
      <c r="AB197" s="188" t="s">
        <v>489</v>
      </c>
      <c r="AC197" s="188">
        <v>539</v>
      </c>
      <c r="AD197" s="188">
        <v>11834</v>
      </c>
      <c r="AE197" s="188">
        <v>1571</v>
      </c>
      <c r="AF197" s="188">
        <v>327</v>
      </c>
      <c r="AG197" s="188">
        <v>131</v>
      </c>
      <c r="AH197" s="188">
        <v>0</v>
      </c>
      <c r="AI197" s="188">
        <v>0</v>
      </c>
      <c r="AJ197" s="188">
        <v>14401</v>
      </c>
      <c r="AK197" s="217"/>
      <c r="AL197" s="221">
        <f>VLOOKUP(AA197,pgdp!$A$13:$C$90,3,FALSE)</f>
        <v>0.9807153483309915</v>
      </c>
      <c r="AM197" s="188" t="s">
        <v>12</v>
      </c>
      <c r="AN197" s="188">
        <v>2018</v>
      </c>
      <c r="AO197" s="188" t="s">
        <v>489</v>
      </c>
      <c r="AP197" s="222">
        <f t="shared" si="11"/>
        <v>0.54959882183682052</v>
      </c>
      <c r="AQ197" s="222">
        <f t="shared" si="11"/>
        <v>12.066702147712309</v>
      </c>
      <c r="AR197" s="222">
        <f t="shared" si="11"/>
        <v>1.6018919278397867</v>
      </c>
      <c r="AS197" s="222">
        <f t="shared" si="10"/>
        <v>0.33343008300675381</v>
      </c>
      <c r="AT197" s="222">
        <f t="shared" si="10"/>
        <v>0.13357596597518273</v>
      </c>
      <c r="AU197" s="222">
        <f t="shared" si="10"/>
        <v>0</v>
      </c>
      <c r="AV197" s="222">
        <f t="shared" si="10"/>
        <v>0</v>
      </c>
      <c r="AW197" s="222">
        <f t="shared" si="9"/>
        <v>14.684179282508447</v>
      </c>
      <c r="AX197" s="217"/>
    </row>
    <row r="198" spans="3:50" hidden="1">
      <c r="X198" s="116"/>
      <c r="Y198" s="117"/>
      <c r="Z198" s="188" t="s">
        <v>12</v>
      </c>
      <c r="AA198" s="188">
        <v>2018</v>
      </c>
      <c r="AB198" s="188" t="s">
        <v>490</v>
      </c>
      <c r="AC198" s="188">
        <v>0</v>
      </c>
      <c r="AD198" s="188">
        <v>674</v>
      </c>
      <c r="AE198" s="188">
        <v>0</v>
      </c>
      <c r="AF198" s="188">
        <v>60</v>
      </c>
      <c r="AG198" s="188">
        <v>0</v>
      </c>
      <c r="AH198" s="188">
        <v>0</v>
      </c>
      <c r="AI198" s="188">
        <v>0</v>
      </c>
      <c r="AJ198" s="188">
        <v>734</v>
      </c>
      <c r="AK198" s="214"/>
      <c r="AL198" s="221">
        <f>VLOOKUP(AA198,pgdp!$A$13:$C$90,3,FALSE)</f>
        <v>0.9807153483309915</v>
      </c>
      <c r="AM198" s="188" t="s">
        <v>12</v>
      </c>
      <c r="AN198" s="188">
        <v>2018</v>
      </c>
      <c r="AO198" s="188" t="s">
        <v>490</v>
      </c>
      <c r="AP198" s="222">
        <f t="shared" si="11"/>
        <v>0</v>
      </c>
      <c r="AQ198" s="222">
        <f t="shared" si="11"/>
        <v>0.68725344326162707</v>
      </c>
      <c r="AR198" s="222">
        <f t="shared" si="11"/>
        <v>0</v>
      </c>
      <c r="AS198" s="222">
        <f t="shared" si="10"/>
        <v>6.1179831744358502E-2</v>
      </c>
      <c r="AT198" s="222">
        <f t="shared" si="10"/>
        <v>0</v>
      </c>
      <c r="AU198" s="222">
        <f t="shared" si="10"/>
        <v>0</v>
      </c>
      <c r="AV198" s="222">
        <f t="shared" si="10"/>
        <v>0</v>
      </c>
      <c r="AW198" s="222">
        <f t="shared" si="9"/>
        <v>0.74843327500598567</v>
      </c>
      <c r="AX198" s="217"/>
    </row>
    <row r="199" spans="3:50" hidden="1">
      <c r="X199" s="116"/>
      <c r="Y199" s="117"/>
      <c r="Z199" s="188" t="s">
        <v>12</v>
      </c>
      <c r="AA199" s="188">
        <v>2019</v>
      </c>
      <c r="AB199" s="188" t="s">
        <v>459</v>
      </c>
      <c r="AC199" s="188">
        <v>49674</v>
      </c>
      <c r="AD199" s="188">
        <v>57464</v>
      </c>
      <c r="AE199" s="188">
        <v>57897</v>
      </c>
      <c r="AF199" s="188">
        <v>18482</v>
      </c>
      <c r="AG199" s="188">
        <v>2738</v>
      </c>
      <c r="AH199" s="188">
        <v>419</v>
      </c>
      <c r="AI199" s="188">
        <v>0</v>
      </c>
      <c r="AJ199" s="188">
        <v>186674</v>
      </c>
      <c r="AK199" s="217"/>
      <c r="AL199" s="221">
        <f>VLOOKUP(AA199,pgdp!$A$13:$C$90,3,FALSE)</f>
        <v>1</v>
      </c>
      <c r="AM199" s="188" t="s">
        <v>12</v>
      </c>
      <c r="AN199" s="188">
        <v>2019</v>
      </c>
      <c r="AO199" s="188" t="s">
        <v>459</v>
      </c>
      <c r="AP199" s="222">
        <f t="shared" si="11"/>
        <v>49.673999999999999</v>
      </c>
      <c r="AQ199" s="222">
        <f t="shared" si="11"/>
        <v>57.463999999999999</v>
      </c>
      <c r="AR199" s="222">
        <f t="shared" si="11"/>
        <v>57.896999999999998</v>
      </c>
      <c r="AS199" s="222">
        <f t="shared" si="10"/>
        <v>18.481999999999999</v>
      </c>
      <c r="AT199" s="222">
        <f t="shared" si="10"/>
        <v>2.738</v>
      </c>
      <c r="AU199" s="222">
        <f t="shared" si="10"/>
        <v>0.41899999999999998</v>
      </c>
      <c r="AV199" s="222">
        <f t="shared" si="10"/>
        <v>0</v>
      </c>
      <c r="AW199" s="222">
        <f t="shared" si="9"/>
        <v>186.67400000000001</v>
      </c>
      <c r="AX199" s="214"/>
    </row>
    <row r="200" spans="3:50" ht="19" hidden="1">
      <c r="C200" s="126"/>
      <c r="D200" s="41"/>
      <c r="E200" s="41"/>
      <c r="X200" s="116"/>
      <c r="Y200" s="117"/>
      <c r="Z200" s="188" t="s">
        <v>12</v>
      </c>
      <c r="AA200" s="188">
        <v>2019</v>
      </c>
      <c r="AB200" s="188" t="s">
        <v>491</v>
      </c>
      <c r="AC200" s="188">
        <v>508</v>
      </c>
      <c r="AD200" s="188">
        <v>5908</v>
      </c>
      <c r="AE200" s="188">
        <v>586</v>
      </c>
      <c r="AF200" s="188">
        <v>168</v>
      </c>
      <c r="AG200" s="188">
        <v>227</v>
      </c>
      <c r="AH200" s="188">
        <v>0</v>
      </c>
      <c r="AI200" s="188">
        <v>0</v>
      </c>
      <c r="AJ200" s="188">
        <v>7397</v>
      </c>
      <c r="AK200" s="217"/>
      <c r="AL200" s="221">
        <f>VLOOKUP(AA200,pgdp!$A$13:$C$90,3,FALSE)</f>
        <v>1</v>
      </c>
      <c r="AM200" s="188" t="s">
        <v>12</v>
      </c>
      <c r="AN200" s="188">
        <v>2019</v>
      </c>
      <c r="AO200" s="188" t="s">
        <v>491</v>
      </c>
      <c r="AP200" s="222">
        <f t="shared" si="11"/>
        <v>0.50800000000000001</v>
      </c>
      <c r="AQ200" s="222">
        <f t="shared" si="11"/>
        <v>5.9080000000000004</v>
      </c>
      <c r="AR200" s="222">
        <f t="shared" si="11"/>
        <v>0.58599999999999997</v>
      </c>
      <c r="AS200" s="222">
        <f t="shared" si="10"/>
        <v>0.16800000000000001</v>
      </c>
      <c r="AT200" s="222">
        <f t="shared" si="10"/>
        <v>0.22700000000000001</v>
      </c>
      <c r="AU200" s="222">
        <f t="shared" si="10"/>
        <v>0</v>
      </c>
      <c r="AV200" s="222">
        <f t="shared" si="10"/>
        <v>0</v>
      </c>
      <c r="AW200" s="222">
        <f t="shared" si="9"/>
        <v>7.3970000000000002</v>
      </c>
      <c r="AX200" s="217"/>
    </row>
    <row r="201" spans="3:50" s="127" customFormat="1" ht="19" hidden="1">
      <c r="C201" s="70"/>
      <c r="D201" s="71"/>
      <c r="E201" s="71"/>
      <c r="X201" s="114"/>
      <c r="Y201" s="118"/>
      <c r="Z201" s="188" t="s">
        <v>30</v>
      </c>
      <c r="AA201" s="188">
        <v>2001</v>
      </c>
      <c r="AB201" s="188" t="s">
        <v>459</v>
      </c>
      <c r="AC201" s="188">
        <v>20816</v>
      </c>
      <c r="AD201" s="188">
        <v>28357</v>
      </c>
      <c r="AE201" s="188">
        <v>21019</v>
      </c>
      <c r="AF201" s="188">
        <v>14020</v>
      </c>
      <c r="AG201" s="188">
        <v>1386</v>
      </c>
      <c r="AH201" s="188">
        <v>1070</v>
      </c>
      <c r="AI201" s="188">
        <v>12</v>
      </c>
      <c r="AJ201" s="188">
        <v>86680</v>
      </c>
      <c r="AK201" s="214"/>
      <c r="AL201" s="221">
        <f>VLOOKUP(AA201,pgdp!$A$13:$C$90,3,FALSE)</f>
        <v>0.71033050332114134</v>
      </c>
      <c r="AM201" s="188" t="s">
        <v>30</v>
      </c>
      <c r="AN201" s="188">
        <v>2001</v>
      </c>
      <c r="AO201" s="188" t="s">
        <v>459</v>
      </c>
      <c r="AP201" s="222">
        <f t="shared" si="11"/>
        <v>29.304668605212719</v>
      </c>
      <c r="AQ201" s="222">
        <f t="shared" si="11"/>
        <v>39.920853556784067</v>
      </c>
      <c r="AR201" s="222">
        <f t="shared" si="11"/>
        <v>29.590451067110212</v>
      </c>
      <c r="AS201" s="222">
        <f t="shared" si="10"/>
        <v>19.737291210851382</v>
      </c>
      <c r="AT201" s="222">
        <f t="shared" si="10"/>
        <v>1.9512043950242519</v>
      </c>
      <c r="AU201" s="222">
        <f t="shared" si="10"/>
        <v>1.5063410553217529</v>
      </c>
      <c r="AV201" s="222">
        <f t="shared" si="10"/>
        <v>1.6893544545664517E-2</v>
      </c>
      <c r="AW201" s="222">
        <f t="shared" si="9"/>
        <v>122.02770343485004</v>
      </c>
      <c r="AX201" s="217"/>
    </row>
    <row r="202" spans="3:50" s="127" customFormat="1" ht="19" hidden="1">
      <c r="C202" s="70"/>
      <c r="D202" s="71"/>
      <c r="E202" s="71"/>
      <c r="X202" s="122"/>
      <c r="Y202" s="109"/>
      <c r="Z202" s="188" t="s">
        <v>30</v>
      </c>
      <c r="AA202" s="188">
        <v>2001</v>
      </c>
      <c r="AB202" s="188" t="s">
        <v>460</v>
      </c>
      <c r="AC202" s="188"/>
      <c r="AD202" s="188"/>
      <c r="AE202" s="188">
        <v>1165</v>
      </c>
      <c r="AF202" s="188"/>
      <c r="AG202" s="188"/>
      <c r="AH202" s="188"/>
      <c r="AI202" s="188"/>
      <c r="AJ202" s="188">
        <v>1165</v>
      </c>
      <c r="AK202" s="217"/>
      <c r="AL202" s="223">
        <v>0.71033050332114134</v>
      </c>
      <c r="AM202" s="188" t="s">
        <v>30</v>
      </c>
      <c r="AN202" s="188">
        <v>2001</v>
      </c>
      <c r="AO202" s="188" t="s">
        <v>460</v>
      </c>
      <c r="AP202" s="222">
        <f t="shared" si="11"/>
        <v>0</v>
      </c>
      <c r="AQ202" s="222">
        <f t="shared" si="11"/>
        <v>0</v>
      </c>
      <c r="AR202" s="222">
        <f t="shared" si="11"/>
        <v>1.6400816163082639</v>
      </c>
      <c r="AS202" s="222">
        <f t="shared" si="10"/>
        <v>0</v>
      </c>
      <c r="AT202" s="222">
        <f t="shared" si="10"/>
        <v>0</v>
      </c>
      <c r="AU202" s="222">
        <f t="shared" si="10"/>
        <v>0</v>
      </c>
      <c r="AV202" s="222">
        <f t="shared" si="10"/>
        <v>0</v>
      </c>
      <c r="AW202" s="222">
        <f t="shared" si="9"/>
        <v>1.6400816163082639</v>
      </c>
      <c r="AX202" s="214"/>
    </row>
    <row r="203" spans="3:50" s="127" customFormat="1" ht="19" hidden="1">
      <c r="C203" s="70"/>
      <c r="D203" s="71"/>
      <c r="E203" s="71"/>
      <c r="X203" s="122"/>
      <c r="Y203" s="109"/>
      <c r="Z203" s="188" t="s">
        <v>30</v>
      </c>
      <c r="AA203" s="188">
        <v>2001</v>
      </c>
      <c r="AB203" s="188" t="s">
        <v>461</v>
      </c>
      <c r="AC203" s="188">
        <v>140</v>
      </c>
      <c r="AD203" s="188">
        <v>971</v>
      </c>
      <c r="AE203" s="188">
        <v>-130</v>
      </c>
      <c r="AF203" s="188">
        <v>277</v>
      </c>
      <c r="AG203" s="188">
        <v>24</v>
      </c>
      <c r="AH203" s="188">
        <v>14</v>
      </c>
      <c r="AI203" s="188"/>
      <c r="AJ203" s="188">
        <v>1295</v>
      </c>
      <c r="AK203" s="214"/>
      <c r="AL203" s="221">
        <v>0.71033050332114134</v>
      </c>
      <c r="AM203" s="188" t="s">
        <v>30</v>
      </c>
      <c r="AN203" s="188">
        <v>2001</v>
      </c>
      <c r="AO203" s="188" t="s">
        <v>461</v>
      </c>
      <c r="AP203" s="222">
        <f t="shared" si="11"/>
        <v>0.19709135303275271</v>
      </c>
      <c r="AQ203" s="222">
        <f t="shared" si="11"/>
        <v>1.3669693128200207</v>
      </c>
      <c r="AR203" s="222">
        <f t="shared" si="11"/>
        <v>-0.18301339924469898</v>
      </c>
      <c r="AS203" s="222">
        <f t="shared" si="10"/>
        <v>0.38995931992908928</v>
      </c>
      <c r="AT203" s="222">
        <f t="shared" si="10"/>
        <v>3.3787089091329034E-2</v>
      </c>
      <c r="AU203" s="222">
        <f t="shared" si="10"/>
        <v>1.9709135303275272E-2</v>
      </c>
      <c r="AV203" s="222">
        <f t="shared" si="10"/>
        <v>0</v>
      </c>
      <c r="AW203" s="222">
        <f t="shared" si="9"/>
        <v>1.8230950155529626</v>
      </c>
      <c r="AX203" s="217"/>
    </row>
    <row r="204" spans="3:50" s="127" customFormat="1" ht="19" hidden="1">
      <c r="C204" s="70"/>
      <c r="D204" s="71"/>
      <c r="E204" s="71"/>
      <c r="X204" s="122"/>
      <c r="Y204" s="109"/>
      <c r="Z204" s="188" t="s">
        <v>30</v>
      </c>
      <c r="AA204" s="188">
        <v>2002</v>
      </c>
      <c r="AB204" s="188" t="s">
        <v>459</v>
      </c>
      <c r="AC204" s="188">
        <v>24531</v>
      </c>
      <c r="AD204" s="188">
        <v>34323</v>
      </c>
      <c r="AE204" s="188">
        <v>22397</v>
      </c>
      <c r="AF204" s="188">
        <v>14545</v>
      </c>
      <c r="AG204" s="188">
        <v>1759</v>
      </c>
      <c r="AH204" s="188">
        <v>1374</v>
      </c>
      <c r="AI204" s="188">
        <v>34</v>
      </c>
      <c r="AJ204" s="188">
        <v>98963</v>
      </c>
      <c r="AK204" s="217"/>
      <c r="AL204" s="223">
        <v>0.72177029812501559</v>
      </c>
      <c r="AM204" s="188" t="s">
        <v>30</v>
      </c>
      <c r="AN204" s="188">
        <v>2002</v>
      </c>
      <c r="AO204" s="188" t="s">
        <v>459</v>
      </c>
      <c r="AP204" s="222">
        <f t="shared" si="11"/>
        <v>33.987267228542926</v>
      </c>
      <c r="AQ204" s="222">
        <f t="shared" si="11"/>
        <v>47.553910280269001</v>
      </c>
      <c r="AR204" s="222">
        <f t="shared" si="11"/>
        <v>31.030647919680238</v>
      </c>
      <c r="AS204" s="222">
        <f t="shared" si="10"/>
        <v>20.15184060328388</v>
      </c>
      <c r="AT204" s="222">
        <f t="shared" si="10"/>
        <v>2.4370634321881299</v>
      </c>
      <c r="AU204" s="222">
        <f t="shared" si="10"/>
        <v>1.9036527321355827</v>
      </c>
      <c r="AV204" s="222">
        <f t="shared" si="10"/>
        <v>4.7106399485159982E-2</v>
      </c>
      <c r="AW204" s="222">
        <f t="shared" si="9"/>
        <v>137.11148859558494</v>
      </c>
      <c r="AX204" s="217"/>
    </row>
    <row r="205" spans="3:50" s="127" customFormat="1" ht="19" hidden="1">
      <c r="C205" s="70"/>
      <c r="D205" s="71"/>
      <c r="E205" s="71"/>
      <c r="X205" s="122"/>
      <c r="Y205" s="109"/>
      <c r="Z205" s="188" t="s">
        <v>30</v>
      </c>
      <c r="AA205" s="188">
        <v>2002</v>
      </c>
      <c r="AB205" s="188" t="s">
        <v>462</v>
      </c>
      <c r="AC205" s="188">
        <v>206</v>
      </c>
      <c r="AD205" s="188">
        <v>41</v>
      </c>
      <c r="AE205" s="188">
        <v>832</v>
      </c>
      <c r="AF205" s="188">
        <v>-26</v>
      </c>
      <c r="AG205" s="188">
        <v>47</v>
      </c>
      <c r="AH205" s="188"/>
      <c r="AI205" s="188"/>
      <c r="AJ205" s="188">
        <v>1100</v>
      </c>
      <c r="AK205" s="217"/>
      <c r="AL205" s="223">
        <v>0.72177029812501559</v>
      </c>
      <c r="AM205" s="188" t="s">
        <v>30</v>
      </c>
      <c r="AN205" s="188">
        <v>2002</v>
      </c>
      <c r="AO205" s="188" t="s">
        <v>462</v>
      </c>
      <c r="AP205" s="222">
        <f t="shared" si="11"/>
        <v>0.2854093615865575</v>
      </c>
      <c r="AQ205" s="222">
        <f t="shared" si="11"/>
        <v>5.6804775849751743E-2</v>
      </c>
      <c r="AR205" s="222">
        <f t="shared" si="11"/>
        <v>1.1527213050486207</v>
      </c>
      <c r="AS205" s="222">
        <f t="shared" si="10"/>
        <v>-3.6022540782769397E-2</v>
      </c>
      <c r="AT205" s="222">
        <f t="shared" si="10"/>
        <v>6.5117669876544687E-2</v>
      </c>
      <c r="AU205" s="222">
        <f t="shared" si="10"/>
        <v>0</v>
      </c>
      <c r="AV205" s="222">
        <f t="shared" si="10"/>
        <v>0</v>
      </c>
      <c r="AW205" s="222">
        <f t="shared" si="9"/>
        <v>1.5240305715787053</v>
      </c>
      <c r="AX205" s="217"/>
    </row>
    <row r="206" spans="3:50" s="127" customFormat="1" ht="19" hidden="1">
      <c r="C206" s="70"/>
      <c r="D206" s="71"/>
      <c r="E206" s="71"/>
      <c r="X206" s="122"/>
      <c r="Y206" s="109"/>
      <c r="Z206" s="188" t="s">
        <v>30</v>
      </c>
      <c r="AA206" s="188">
        <v>2003</v>
      </c>
      <c r="AB206" s="188" t="s">
        <v>459</v>
      </c>
      <c r="AC206" s="188">
        <v>25317</v>
      </c>
      <c r="AD206" s="188">
        <v>34367</v>
      </c>
      <c r="AE206" s="188">
        <v>28880</v>
      </c>
      <c r="AF206" s="188">
        <v>18513</v>
      </c>
      <c r="AG206" s="188">
        <v>1496</v>
      </c>
      <c r="AH206" s="188">
        <v>1534</v>
      </c>
      <c r="AI206" s="188">
        <v>24</v>
      </c>
      <c r="AJ206" s="188">
        <v>110130</v>
      </c>
      <c r="AK206" s="217"/>
      <c r="AL206" s="221">
        <v>0.73558157581522121</v>
      </c>
      <c r="AM206" s="188" t="s">
        <v>30</v>
      </c>
      <c r="AN206" s="188">
        <v>2003</v>
      </c>
      <c r="AO206" s="188" t="s">
        <v>459</v>
      </c>
      <c r="AP206" s="222">
        <f t="shared" si="11"/>
        <v>34.417664651187039</v>
      </c>
      <c r="AQ206" s="222">
        <f t="shared" si="11"/>
        <v>46.720854803781847</v>
      </c>
      <c r="AR206" s="222">
        <f t="shared" si="11"/>
        <v>39.261451006291495</v>
      </c>
      <c r="AS206" s="222">
        <f t="shared" si="10"/>
        <v>25.167840806075983</v>
      </c>
      <c r="AT206" s="222">
        <f t="shared" si="10"/>
        <v>2.0337649136223019</v>
      </c>
      <c r="AU206" s="222">
        <f t="shared" si="10"/>
        <v>2.0854247175779483</v>
      </c>
      <c r="AV206" s="222">
        <f t="shared" si="10"/>
        <v>3.2627244603566342E-2</v>
      </c>
      <c r="AW206" s="222">
        <f t="shared" si="9"/>
        <v>149.71826867461505</v>
      </c>
      <c r="AX206" s="214"/>
    </row>
    <row r="207" spans="3:50" s="127" customFormat="1" ht="19" hidden="1">
      <c r="C207" s="70"/>
      <c r="D207" s="71"/>
      <c r="E207" s="71"/>
      <c r="X207" s="122"/>
      <c r="Y207" s="109"/>
      <c r="Z207" s="188" t="s">
        <v>30</v>
      </c>
      <c r="AA207" s="188">
        <v>2003</v>
      </c>
      <c r="AB207" s="188" t="s">
        <v>463</v>
      </c>
      <c r="AC207" s="188">
        <v>3363</v>
      </c>
      <c r="AD207" s="188">
        <v>8887</v>
      </c>
      <c r="AE207" s="188">
        <v>2500</v>
      </c>
      <c r="AF207" s="188">
        <v>312</v>
      </c>
      <c r="AG207" s="188">
        <v>138</v>
      </c>
      <c r="AH207" s="188">
        <v>2</v>
      </c>
      <c r="AI207" s="188"/>
      <c r="AJ207" s="188">
        <v>15202</v>
      </c>
      <c r="AK207" s="214"/>
      <c r="AL207" s="223">
        <v>0.73558157581522121</v>
      </c>
      <c r="AM207" s="188" t="s">
        <v>30</v>
      </c>
      <c r="AN207" s="188">
        <v>2003</v>
      </c>
      <c r="AO207" s="188" t="s">
        <v>463</v>
      </c>
      <c r="AP207" s="222">
        <f t="shared" si="11"/>
        <v>4.5718926500747328</v>
      </c>
      <c r="AQ207" s="222">
        <f t="shared" si="11"/>
        <v>12.081596782995586</v>
      </c>
      <c r="AR207" s="222">
        <f t="shared" si="11"/>
        <v>3.3986713128714938</v>
      </c>
      <c r="AS207" s="222">
        <f t="shared" si="10"/>
        <v>0.42415417984636239</v>
      </c>
      <c r="AT207" s="222">
        <f t="shared" si="10"/>
        <v>0.18760665647050645</v>
      </c>
      <c r="AU207" s="222">
        <f t="shared" si="10"/>
        <v>2.7189370502971946E-3</v>
      </c>
      <c r="AV207" s="222">
        <f t="shared" si="10"/>
        <v>0</v>
      </c>
      <c r="AW207" s="222">
        <f t="shared" si="9"/>
        <v>20.666640519308977</v>
      </c>
      <c r="AX207" s="217"/>
    </row>
    <row r="208" spans="3:50" s="127" customFormat="1" ht="19" hidden="1">
      <c r="C208" s="70"/>
      <c r="D208" s="71"/>
      <c r="E208" s="71"/>
      <c r="X208" s="122"/>
      <c r="Y208" s="109"/>
      <c r="Z208" s="188" t="s">
        <v>30</v>
      </c>
      <c r="AA208" s="188">
        <v>2004</v>
      </c>
      <c r="AB208" s="188" t="s">
        <v>459</v>
      </c>
      <c r="AC208" s="188">
        <v>26231</v>
      </c>
      <c r="AD208" s="188">
        <v>32981</v>
      </c>
      <c r="AE208" s="188">
        <v>28836</v>
      </c>
      <c r="AF208" s="188">
        <v>20251</v>
      </c>
      <c r="AG208" s="188">
        <v>1538</v>
      </c>
      <c r="AH208" s="188">
        <v>1434</v>
      </c>
      <c r="AI208" s="188">
        <v>0</v>
      </c>
      <c r="AJ208" s="188">
        <v>111270</v>
      </c>
      <c r="AK208" s="217"/>
      <c r="AL208" s="221">
        <v>0.75378638244667995</v>
      </c>
      <c r="AM208" s="188" t="s">
        <v>30</v>
      </c>
      <c r="AN208" s="188">
        <v>2004</v>
      </c>
      <c r="AO208" s="188" t="s">
        <v>459</v>
      </c>
      <c r="AP208" s="222">
        <f t="shared" si="11"/>
        <v>34.798983652182763</v>
      </c>
      <c r="AQ208" s="222">
        <f t="shared" si="11"/>
        <v>43.753775297649334</v>
      </c>
      <c r="AR208" s="222">
        <f t="shared" si="11"/>
        <v>38.254869909433197</v>
      </c>
      <c r="AS208" s="222">
        <f t="shared" si="10"/>
        <v>26.865701572199047</v>
      </c>
      <c r="AT208" s="222">
        <f t="shared" si="10"/>
        <v>2.0403658593670499</v>
      </c>
      <c r="AU208" s="222">
        <f t="shared" si="10"/>
        <v>1.9023957362368986</v>
      </c>
      <c r="AV208" s="222">
        <f t="shared" si="10"/>
        <v>0</v>
      </c>
      <c r="AW208" s="222">
        <f t="shared" si="9"/>
        <v>147.61476539126897</v>
      </c>
      <c r="AX208" s="217"/>
    </row>
    <row r="209" spans="3:50" s="127" customFormat="1" ht="19" hidden="1">
      <c r="C209" s="70"/>
      <c r="D209" s="71"/>
      <c r="E209" s="71"/>
      <c r="X209" s="122"/>
      <c r="Y209" s="109"/>
      <c r="Z209" s="188" t="s">
        <v>30</v>
      </c>
      <c r="AA209" s="188">
        <v>2004</v>
      </c>
      <c r="AB209" s="188" t="s">
        <v>464</v>
      </c>
      <c r="AC209" s="188">
        <v>3450</v>
      </c>
      <c r="AD209" s="188">
        <v>6102</v>
      </c>
      <c r="AE209" s="188">
        <v>3622</v>
      </c>
      <c r="AF209" s="188">
        <v>39</v>
      </c>
      <c r="AG209" s="188">
        <v>293</v>
      </c>
      <c r="AH209" s="188">
        <v>7</v>
      </c>
      <c r="AI209" s="188"/>
      <c r="AJ209" s="188">
        <v>13513</v>
      </c>
      <c r="AK209" s="217"/>
      <c r="AL209" s="223">
        <v>0.75378638244667995</v>
      </c>
      <c r="AM209" s="188" t="s">
        <v>30</v>
      </c>
      <c r="AN209" s="188">
        <v>2004</v>
      </c>
      <c r="AO209" s="188" t="s">
        <v>464</v>
      </c>
      <c r="AP209" s="222">
        <f t="shared" si="11"/>
        <v>4.5768935076829145</v>
      </c>
      <c r="AQ209" s="222">
        <f t="shared" si="11"/>
        <v>8.0951316475017805</v>
      </c>
      <c r="AR209" s="222">
        <f t="shared" si="11"/>
        <v>4.8050748651673967</v>
      </c>
      <c r="AS209" s="222">
        <f t="shared" si="10"/>
        <v>5.1738796173806861E-2</v>
      </c>
      <c r="AT209" s="222">
        <f t="shared" si="10"/>
        <v>0.38870428920321565</v>
      </c>
      <c r="AU209" s="222">
        <f t="shared" si="10"/>
        <v>9.2864505952986679E-3</v>
      </c>
      <c r="AV209" s="222">
        <f t="shared" si="10"/>
        <v>0</v>
      </c>
      <c r="AW209" s="222">
        <f t="shared" si="9"/>
        <v>17.926829556324414</v>
      </c>
      <c r="AX209" s="214"/>
    </row>
    <row r="210" spans="3:50" s="127" customFormat="1" ht="19" hidden="1">
      <c r="C210" s="70"/>
      <c r="D210" s="71"/>
      <c r="E210" s="71"/>
      <c r="X210" s="122"/>
      <c r="Y210" s="109"/>
      <c r="Z210" s="188" t="s">
        <v>30</v>
      </c>
      <c r="AA210" s="188">
        <v>2004</v>
      </c>
      <c r="AB210" s="188" t="s">
        <v>465</v>
      </c>
      <c r="AC210" s="188"/>
      <c r="AD210" s="188">
        <v>169</v>
      </c>
      <c r="AE210" s="188">
        <v>2</v>
      </c>
      <c r="AF210" s="188"/>
      <c r="AG210" s="188"/>
      <c r="AH210" s="188"/>
      <c r="AI210" s="188"/>
      <c r="AJ210" s="188">
        <v>172</v>
      </c>
      <c r="AK210" s="214"/>
      <c r="AL210" s="223">
        <v>0.75378638244667995</v>
      </c>
      <c r="AM210" s="188" t="s">
        <v>30</v>
      </c>
      <c r="AN210" s="188">
        <v>2004</v>
      </c>
      <c r="AO210" s="188" t="s">
        <v>465</v>
      </c>
      <c r="AP210" s="222">
        <f t="shared" si="11"/>
        <v>0</v>
      </c>
      <c r="AQ210" s="222">
        <f t="shared" si="11"/>
        <v>0.22420145008649642</v>
      </c>
      <c r="AR210" s="222">
        <f t="shared" si="11"/>
        <v>2.6532715986567622E-3</v>
      </c>
      <c r="AS210" s="222">
        <f t="shared" si="10"/>
        <v>0</v>
      </c>
      <c r="AT210" s="222">
        <f t="shared" si="10"/>
        <v>0</v>
      </c>
      <c r="AU210" s="222">
        <f t="shared" si="10"/>
        <v>0</v>
      </c>
      <c r="AV210" s="222">
        <f t="shared" si="10"/>
        <v>0</v>
      </c>
      <c r="AW210" s="222">
        <f t="shared" si="9"/>
        <v>0.22818135748448154</v>
      </c>
      <c r="AX210" s="217"/>
    </row>
    <row r="211" spans="3:50" s="127" customFormat="1" ht="19" hidden="1">
      <c r="C211" s="70"/>
      <c r="D211" s="71"/>
      <c r="E211" s="71"/>
      <c r="X211" s="122"/>
      <c r="Y211" s="109"/>
      <c r="Z211" s="188" t="s">
        <v>30</v>
      </c>
      <c r="AA211" s="188">
        <v>2005</v>
      </c>
      <c r="AB211" s="188" t="s">
        <v>459</v>
      </c>
      <c r="AC211" s="188">
        <v>28744</v>
      </c>
      <c r="AD211" s="188">
        <v>33925</v>
      </c>
      <c r="AE211" s="188">
        <v>32244</v>
      </c>
      <c r="AF211" s="188">
        <v>20408</v>
      </c>
      <c r="AG211" s="188">
        <v>1358</v>
      </c>
      <c r="AH211" s="188">
        <v>1669</v>
      </c>
      <c r="AI211" s="188">
        <v>0</v>
      </c>
      <c r="AJ211" s="188">
        <v>118349</v>
      </c>
      <c r="AK211" s="217"/>
      <c r="AL211" s="223">
        <v>0.77750760344715164</v>
      </c>
      <c r="AM211" s="188" t="s">
        <v>30</v>
      </c>
      <c r="AN211" s="188">
        <v>2005</v>
      </c>
      <c r="AO211" s="188" t="s">
        <v>459</v>
      </c>
      <c r="AP211" s="222">
        <f t="shared" si="11"/>
        <v>36.969413382661244</v>
      </c>
      <c r="AQ211" s="222">
        <f t="shared" si="11"/>
        <v>43.633013811814038</v>
      </c>
      <c r="AR211" s="222">
        <f t="shared" si="11"/>
        <v>41.4709770773215</v>
      </c>
      <c r="AS211" s="222">
        <f t="shared" si="10"/>
        <v>26.247974823036138</v>
      </c>
      <c r="AT211" s="222">
        <f t="shared" si="10"/>
        <v>1.7466067135281786</v>
      </c>
      <c r="AU211" s="222">
        <f t="shared" si="10"/>
        <v>2.1466028018251326</v>
      </c>
      <c r="AV211" s="222">
        <f t="shared" si="10"/>
        <v>0</v>
      </c>
      <c r="AW211" s="222">
        <f t="shared" si="10"/>
        <v>152.21587477124186</v>
      </c>
      <c r="AX211" s="214"/>
    </row>
    <row r="212" spans="3:50" s="127" customFormat="1" ht="19" hidden="1">
      <c r="C212" s="70"/>
      <c r="D212" s="71"/>
      <c r="E212" s="71"/>
      <c r="X212" s="122"/>
      <c r="Y212" s="109"/>
      <c r="Z212" s="188" t="s">
        <v>30</v>
      </c>
      <c r="AA212" s="188">
        <v>2005</v>
      </c>
      <c r="AB212" s="188" t="s">
        <v>466</v>
      </c>
      <c r="AC212" s="188">
        <v>1600</v>
      </c>
      <c r="AD212" s="188">
        <v>5627</v>
      </c>
      <c r="AE212" s="188">
        <v>2870</v>
      </c>
      <c r="AF212" s="188">
        <v>143</v>
      </c>
      <c r="AG212" s="188">
        <v>141</v>
      </c>
      <c r="AH212" s="188"/>
      <c r="AI212" s="188"/>
      <c r="AJ212" s="188">
        <v>10381</v>
      </c>
      <c r="AK212" s="214"/>
      <c r="AL212" s="221">
        <v>0.77750760344715164</v>
      </c>
      <c r="AM212" s="188" t="s">
        <v>30</v>
      </c>
      <c r="AN212" s="188">
        <v>2005</v>
      </c>
      <c r="AO212" s="188" t="s">
        <v>466</v>
      </c>
      <c r="AP212" s="222">
        <f t="shared" si="11"/>
        <v>2.0578576889875451</v>
      </c>
      <c r="AQ212" s="222">
        <f t="shared" si="11"/>
        <v>7.237228259958072</v>
      </c>
      <c r="AR212" s="222">
        <f t="shared" si="11"/>
        <v>3.6912822296214087</v>
      </c>
      <c r="AS212" s="222">
        <f t="shared" si="10"/>
        <v>0.18392103095326184</v>
      </c>
      <c r="AT212" s="222">
        <f t="shared" si="10"/>
        <v>0.18134870884202742</v>
      </c>
      <c r="AU212" s="222">
        <f t="shared" si="10"/>
        <v>0</v>
      </c>
      <c r="AV212" s="222">
        <f t="shared" si="10"/>
        <v>0</v>
      </c>
      <c r="AW212" s="222">
        <f t="shared" si="10"/>
        <v>13.351637918362316</v>
      </c>
      <c r="AX212" s="217"/>
    </row>
    <row r="213" spans="3:50" s="127" customFormat="1" ht="19" hidden="1">
      <c r="C213" s="70"/>
      <c r="D213" s="71"/>
      <c r="E213" s="71"/>
      <c r="X213" s="122"/>
      <c r="Y213" s="109"/>
      <c r="Z213" s="188" t="s">
        <v>30</v>
      </c>
      <c r="AA213" s="188">
        <v>2005</v>
      </c>
      <c r="AB213" s="188" t="s">
        <v>467</v>
      </c>
      <c r="AC213" s="188">
        <v>0</v>
      </c>
      <c r="AD213" s="188">
        <v>200</v>
      </c>
      <c r="AE213" s="188">
        <v>3</v>
      </c>
      <c r="AF213" s="188"/>
      <c r="AG213" s="188"/>
      <c r="AH213" s="188">
        <v>11</v>
      </c>
      <c r="AI213" s="188"/>
      <c r="AJ213" s="188">
        <v>214</v>
      </c>
      <c r="AK213" s="217"/>
      <c r="AL213" s="223">
        <v>0.77750760344715164</v>
      </c>
      <c r="AM213" s="188" t="s">
        <v>30</v>
      </c>
      <c r="AN213" s="188">
        <v>2005</v>
      </c>
      <c r="AO213" s="188" t="s">
        <v>467</v>
      </c>
      <c r="AP213" s="222">
        <f t="shared" si="11"/>
        <v>0</v>
      </c>
      <c r="AQ213" s="222">
        <f t="shared" si="11"/>
        <v>0.25723221112344313</v>
      </c>
      <c r="AR213" s="222">
        <f t="shared" si="11"/>
        <v>3.8584831668516469E-3</v>
      </c>
      <c r="AS213" s="222">
        <f t="shared" si="10"/>
        <v>0</v>
      </c>
      <c r="AT213" s="222">
        <f t="shared" si="10"/>
        <v>0</v>
      </c>
      <c r="AU213" s="222">
        <f t="shared" si="10"/>
        <v>1.4147771611789371E-2</v>
      </c>
      <c r="AV213" s="222">
        <f t="shared" si="10"/>
        <v>0</v>
      </c>
      <c r="AW213" s="222">
        <f t="shared" si="10"/>
        <v>0.27523846590208417</v>
      </c>
      <c r="AX213" s="217"/>
    </row>
    <row r="214" spans="3:50" s="127" customFormat="1" ht="19" hidden="1">
      <c r="C214" s="70"/>
      <c r="D214" s="71"/>
      <c r="E214" s="71"/>
      <c r="X214" s="122"/>
      <c r="Y214" s="109"/>
      <c r="Z214" s="188" t="s">
        <v>30</v>
      </c>
      <c r="AA214" s="188">
        <v>2006</v>
      </c>
      <c r="AB214" s="188" t="s">
        <v>459</v>
      </c>
      <c r="AC214" s="188">
        <v>29548</v>
      </c>
      <c r="AD214" s="188">
        <v>38035</v>
      </c>
      <c r="AE214" s="188">
        <v>33603</v>
      </c>
      <c r="AF214" s="188">
        <v>21813</v>
      </c>
      <c r="AG214" s="188">
        <v>1964</v>
      </c>
      <c r="AH214" s="188">
        <v>1761</v>
      </c>
      <c r="AI214" s="188">
        <v>212</v>
      </c>
      <c r="AJ214" s="188">
        <v>126938</v>
      </c>
      <c r="AK214" s="214"/>
      <c r="AL214" s="223">
        <v>0.80275228380407149</v>
      </c>
      <c r="AM214" s="188" t="s">
        <v>30</v>
      </c>
      <c r="AN214" s="188">
        <v>2006</v>
      </c>
      <c r="AO214" s="188" t="s">
        <v>459</v>
      </c>
      <c r="AP214" s="222">
        <f t="shared" si="11"/>
        <v>36.808366162445957</v>
      </c>
      <c r="AQ214" s="222">
        <f t="shared" si="11"/>
        <v>47.380743434027075</v>
      </c>
      <c r="AR214" s="222">
        <f t="shared" si="11"/>
        <v>41.859737652520359</v>
      </c>
      <c r="AS214" s="222">
        <f t="shared" si="10"/>
        <v>27.172766045127716</v>
      </c>
      <c r="AT214" s="222">
        <f t="shared" si="10"/>
        <v>2.4465828869312261</v>
      </c>
      <c r="AU214" s="222">
        <f t="shared" si="10"/>
        <v>2.1937028838522856</v>
      </c>
      <c r="AV214" s="222">
        <f t="shared" si="10"/>
        <v>0.26409143178687366</v>
      </c>
      <c r="AW214" s="222">
        <f t="shared" si="10"/>
        <v>158.12848192529324</v>
      </c>
      <c r="AX214" s="217"/>
    </row>
    <row r="215" spans="3:50" s="127" customFormat="1" ht="19" hidden="1">
      <c r="C215" s="70"/>
      <c r="D215" s="71"/>
      <c r="E215" s="71"/>
      <c r="X215" s="122"/>
      <c r="Y215" s="109"/>
      <c r="Z215" s="188" t="s">
        <v>30</v>
      </c>
      <c r="AA215" s="188">
        <v>2006</v>
      </c>
      <c r="AB215" s="188" t="s">
        <v>468</v>
      </c>
      <c r="AC215" s="188">
        <v>1670</v>
      </c>
      <c r="AD215" s="188">
        <v>8121</v>
      </c>
      <c r="AE215" s="188">
        <v>2235</v>
      </c>
      <c r="AF215" s="188">
        <v>395</v>
      </c>
      <c r="AG215" s="188">
        <v>28</v>
      </c>
      <c r="AH215" s="188"/>
      <c r="AI215" s="188"/>
      <c r="AJ215" s="188">
        <v>12449</v>
      </c>
      <c r="AK215" s="217"/>
      <c r="AL215" s="221">
        <v>0.80275228380407149</v>
      </c>
      <c r="AM215" s="188" t="s">
        <v>30</v>
      </c>
      <c r="AN215" s="188">
        <v>2006</v>
      </c>
      <c r="AO215" s="188" t="s">
        <v>468</v>
      </c>
      <c r="AP215" s="222">
        <f t="shared" si="11"/>
        <v>2.0803428824720709</v>
      </c>
      <c r="AQ215" s="222">
        <f t="shared" si="11"/>
        <v>10.116445837458496</v>
      </c>
      <c r="AR215" s="222">
        <f t="shared" si="11"/>
        <v>2.7841714624701068</v>
      </c>
      <c r="AS215" s="222">
        <f t="shared" si="10"/>
        <v>0.49205714884818447</v>
      </c>
      <c r="AT215" s="222">
        <f t="shared" si="10"/>
        <v>3.488000042468143E-2</v>
      </c>
      <c r="AU215" s="222">
        <f t="shared" si="10"/>
        <v>0</v>
      </c>
      <c r="AV215" s="222">
        <f t="shared" si="10"/>
        <v>0</v>
      </c>
      <c r="AW215" s="222">
        <f t="shared" si="10"/>
        <v>15.50789733167354</v>
      </c>
      <c r="AX215" s="214"/>
    </row>
    <row r="216" spans="3:50" s="127" customFormat="1" ht="19" hidden="1">
      <c r="C216" s="70"/>
      <c r="D216" s="71"/>
      <c r="E216" s="71"/>
      <c r="X216" s="122"/>
      <c r="Y216" s="109"/>
      <c r="Z216" s="188" t="s">
        <v>30</v>
      </c>
      <c r="AA216" s="188">
        <v>2006</v>
      </c>
      <c r="AB216" s="188" t="s">
        <v>469</v>
      </c>
      <c r="AC216" s="188">
        <v>180</v>
      </c>
      <c r="AD216" s="188">
        <v>553</v>
      </c>
      <c r="AE216" s="188">
        <v>151</v>
      </c>
      <c r="AF216" s="188">
        <v>12</v>
      </c>
      <c r="AG216" s="188">
        <v>191</v>
      </c>
      <c r="AH216" s="188">
        <v>325</v>
      </c>
      <c r="AI216" s="188"/>
      <c r="AJ216" s="188">
        <v>1411</v>
      </c>
      <c r="AK216" s="217"/>
      <c r="AL216" s="223">
        <v>0.80275228380407149</v>
      </c>
      <c r="AM216" s="188" t="s">
        <v>30</v>
      </c>
      <c r="AN216" s="188">
        <v>2006</v>
      </c>
      <c r="AO216" s="188" t="s">
        <v>469</v>
      </c>
      <c r="AP216" s="222">
        <f t="shared" si="11"/>
        <v>0.22422857415866634</v>
      </c>
      <c r="AQ216" s="222">
        <f t="shared" si="11"/>
        <v>0.68888000838745822</v>
      </c>
      <c r="AR216" s="222">
        <f t="shared" si="11"/>
        <v>0.18810285943310343</v>
      </c>
      <c r="AS216" s="222">
        <f t="shared" si="10"/>
        <v>1.4948571610577754E-2</v>
      </c>
      <c r="AT216" s="222">
        <f t="shared" si="10"/>
        <v>0.2379314314683626</v>
      </c>
      <c r="AU216" s="222">
        <f t="shared" si="10"/>
        <v>0.40485714778648085</v>
      </c>
      <c r="AV216" s="222">
        <f t="shared" si="10"/>
        <v>0</v>
      </c>
      <c r="AW216" s="222">
        <f t="shared" si="10"/>
        <v>1.7577028785437676</v>
      </c>
      <c r="AX216" s="217"/>
    </row>
    <row r="217" spans="3:50" s="127" customFormat="1" ht="19" hidden="1">
      <c r="C217" s="70"/>
      <c r="D217" s="71"/>
      <c r="E217" s="71"/>
      <c r="X217" s="122"/>
      <c r="Y217" s="109"/>
      <c r="Z217" s="188" t="s">
        <v>30</v>
      </c>
      <c r="AA217" s="188">
        <v>2006</v>
      </c>
      <c r="AB217" s="188" t="s">
        <v>470</v>
      </c>
      <c r="AC217" s="188"/>
      <c r="AD217" s="188"/>
      <c r="AE217" s="188"/>
      <c r="AF217" s="188"/>
      <c r="AG217" s="188"/>
      <c r="AH217" s="188"/>
      <c r="AI217" s="188"/>
      <c r="AJ217" s="188">
        <v>0</v>
      </c>
      <c r="AK217" s="214"/>
      <c r="AL217" s="221">
        <v>0.80275228380407149</v>
      </c>
      <c r="AM217" s="188" t="s">
        <v>30</v>
      </c>
      <c r="AN217" s="188">
        <v>2006</v>
      </c>
      <c r="AO217" s="188" t="s">
        <v>470</v>
      </c>
      <c r="AP217" s="222">
        <f t="shared" si="11"/>
        <v>0</v>
      </c>
      <c r="AQ217" s="222">
        <f t="shared" si="11"/>
        <v>0</v>
      </c>
      <c r="AR217" s="222">
        <f t="shared" si="11"/>
        <v>0</v>
      </c>
      <c r="AS217" s="222">
        <f t="shared" si="10"/>
        <v>0</v>
      </c>
      <c r="AT217" s="222">
        <f t="shared" si="10"/>
        <v>0</v>
      </c>
      <c r="AU217" s="222">
        <f t="shared" si="10"/>
        <v>0</v>
      </c>
      <c r="AV217" s="222">
        <f t="shared" si="10"/>
        <v>0</v>
      </c>
      <c r="AW217" s="222">
        <f t="shared" si="10"/>
        <v>0</v>
      </c>
      <c r="AX217" s="217"/>
    </row>
    <row r="218" spans="3:50" s="127" customFormat="1" ht="19" hidden="1">
      <c r="C218" s="70"/>
      <c r="D218" s="71"/>
      <c r="E218" s="71"/>
      <c r="X218" s="122"/>
      <c r="Y218" s="109"/>
      <c r="Z218" s="188" t="s">
        <v>30</v>
      </c>
      <c r="AA218" s="188">
        <v>2007</v>
      </c>
      <c r="AB218" s="188" t="s">
        <v>459</v>
      </c>
      <c r="AC218" s="188">
        <v>30163</v>
      </c>
      <c r="AD218" s="188">
        <v>38584</v>
      </c>
      <c r="AE218" s="188">
        <v>31490</v>
      </c>
      <c r="AF218" s="188">
        <v>24342</v>
      </c>
      <c r="AG218" s="188">
        <v>2285</v>
      </c>
      <c r="AH218" s="188">
        <v>1900</v>
      </c>
      <c r="AI218" s="188">
        <v>44</v>
      </c>
      <c r="AJ218" s="188">
        <v>128807</v>
      </c>
      <c r="AK218" s="217"/>
      <c r="AL218" s="223">
        <v>0.82459421647952613</v>
      </c>
      <c r="AM218" s="188" t="s">
        <v>30</v>
      </c>
      <c r="AN218" s="188">
        <v>2007</v>
      </c>
      <c r="AO218" s="188" t="s">
        <v>459</v>
      </c>
      <c r="AP218" s="222">
        <f t="shared" si="11"/>
        <v>36.579203925024032</v>
      </c>
      <c r="AQ218" s="222">
        <f t="shared" si="11"/>
        <v>46.791499659951839</v>
      </c>
      <c r="AR218" s="222">
        <f t="shared" si="11"/>
        <v>38.18848031028103</v>
      </c>
      <c r="AS218" s="222">
        <f t="shared" si="10"/>
        <v>29.51997420491778</v>
      </c>
      <c r="AT218" s="222">
        <f t="shared" si="10"/>
        <v>2.7710599399489415</v>
      </c>
      <c r="AU218" s="222">
        <f t="shared" si="10"/>
        <v>2.3041636262157499</v>
      </c>
      <c r="AV218" s="222">
        <f t="shared" si="10"/>
        <v>5.3359578712364734E-2</v>
      </c>
      <c r="AW218" s="222">
        <f t="shared" si="10"/>
        <v>156.20652852735375</v>
      </c>
      <c r="AX218" s="214"/>
    </row>
    <row r="219" spans="3:50" s="127" customFormat="1" ht="19" hidden="1">
      <c r="C219" s="70"/>
      <c r="D219" s="71"/>
      <c r="E219" s="71"/>
      <c r="X219" s="122"/>
      <c r="Y219" s="109"/>
      <c r="Z219" s="188" t="s">
        <v>30</v>
      </c>
      <c r="AA219" s="188">
        <v>2007</v>
      </c>
      <c r="AB219" s="188" t="s">
        <v>471</v>
      </c>
      <c r="AC219" s="188">
        <v>1626</v>
      </c>
      <c r="AD219" s="188">
        <v>9653</v>
      </c>
      <c r="AE219" s="188">
        <v>7945</v>
      </c>
      <c r="AF219" s="188">
        <v>224</v>
      </c>
      <c r="AG219" s="188">
        <v>43</v>
      </c>
      <c r="AH219" s="188"/>
      <c r="AI219" s="188"/>
      <c r="AJ219" s="188">
        <v>19491</v>
      </c>
      <c r="AK219" s="217"/>
      <c r="AL219" s="221">
        <v>0.82459421647952613</v>
      </c>
      <c r="AM219" s="188" t="s">
        <v>30</v>
      </c>
      <c r="AN219" s="188">
        <v>2007</v>
      </c>
      <c r="AO219" s="188" t="s">
        <v>471</v>
      </c>
      <c r="AP219" s="222">
        <f t="shared" si="11"/>
        <v>1.9718789769614786</v>
      </c>
      <c r="AQ219" s="222">
        <f t="shared" si="11"/>
        <v>11.706363938874018</v>
      </c>
      <c r="AR219" s="222">
        <f t="shared" si="11"/>
        <v>9.6350421106758581</v>
      </c>
      <c r="AS219" s="222">
        <f t="shared" si="10"/>
        <v>0.27164876435385688</v>
      </c>
      <c r="AT219" s="222">
        <f t="shared" si="10"/>
        <v>5.2146861014356449E-2</v>
      </c>
      <c r="AU219" s="222">
        <f t="shared" si="10"/>
        <v>0</v>
      </c>
      <c r="AV219" s="222">
        <f t="shared" si="10"/>
        <v>0</v>
      </c>
      <c r="AW219" s="222">
        <f t="shared" si="10"/>
        <v>23.637080651879568</v>
      </c>
      <c r="AX219" s="217"/>
    </row>
    <row r="220" spans="3:50" s="127" customFormat="1" ht="19" hidden="1">
      <c r="C220" s="70"/>
      <c r="D220" s="71"/>
      <c r="E220" s="71"/>
      <c r="X220" s="122"/>
      <c r="Y220" s="109"/>
      <c r="Z220" s="188" t="s">
        <v>30</v>
      </c>
      <c r="AA220" s="188">
        <v>2007</v>
      </c>
      <c r="AB220" s="188" t="s">
        <v>472</v>
      </c>
      <c r="AC220" s="188"/>
      <c r="AD220" s="188"/>
      <c r="AE220" s="188"/>
      <c r="AF220" s="188"/>
      <c r="AG220" s="188"/>
      <c r="AH220" s="188"/>
      <c r="AI220" s="188"/>
      <c r="AJ220" s="188">
        <v>0</v>
      </c>
      <c r="AK220" s="214"/>
      <c r="AL220" s="223">
        <v>0.82459421647952613</v>
      </c>
      <c r="AM220" s="188" t="s">
        <v>30</v>
      </c>
      <c r="AN220" s="188">
        <v>2007</v>
      </c>
      <c r="AO220" s="188" t="s">
        <v>472</v>
      </c>
      <c r="AP220" s="222">
        <f t="shared" si="11"/>
        <v>0</v>
      </c>
      <c r="AQ220" s="222">
        <f t="shared" si="11"/>
        <v>0</v>
      </c>
      <c r="AR220" s="222">
        <f t="shared" si="11"/>
        <v>0</v>
      </c>
      <c r="AS220" s="222">
        <f t="shared" si="10"/>
        <v>0</v>
      </c>
      <c r="AT220" s="222">
        <f t="shared" si="10"/>
        <v>0</v>
      </c>
      <c r="AU220" s="222">
        <f t="shared" si="10"/>
        <v>0</v>
      </c>
      <c r="AV220" s="222">
        <f t="shared" si="10"/>
        <v>0</v>
      </c>
      <c r="AW220" s="222">
        <f t="shared" si="10"/>
        <v>0</v>
      </c>
      <c r="AX220" s="214"/>
    </row>
    <row r="221" spans="3:50" s="127" customFormat="1" ht="19" hidden="1">
      <c r="C221" s="70"/>
      <c r="D221" s="71"/>
      <c r="E221" s="71"/>
      <c r="X221" s="122"/>
      <c r="Y221" s="109"/>
      <c r="Z221" s="188" t="s">
        <v>30</v>
      </c>
      <c r="AA221" s="188">
        <v>2008</v>
      </c>
      <c r="AB221" s="188" t="s">
        <v>459</v>
      </c>
      <c r="AC221" s="188">
        <v>30677</v>
      </c>
      <c r="AD221" s="188">
        <v>40957</v>
      </c>
      <c r="AE221" s="188">
        <v>35136</v>
      </c>
      <c r="AF221" s="188">
        <v>26261</v>
      </c>
      <c r="AG221" s="188">
        <v>2507</v>
      </c>
      <c r="AH221" s="188">
        <v>1001</v>
      </c>
      <c r="AI221" s="188">
        <v>60</v>
      </c>
      <c r="AJ221" s="188">
        <v>136600</v>
      </c>
      <c r="AK221" s="217"/>
      <c r="AL221" s="223">
        <v>0.84165483055935886</v>
      </c>
      <c r="AM221" s="188" t="s">
        <v>30</v>
      </c>
      <c r="AN221" s="188">
        <v>2008</v>
      </c>
      <c r="AO221" s="188" t="s">
        <v>459</v>
      </c>
      <c r="AP221" s="222">
        <f t="shared" si="11"/>
        <v>36.448433355526809</v>
      </c>
      <c r="AQ221" s="222">
        <f t="shared" si="11"/>
        <v>48.662466503970776</v>
      </c>
      <c r="AR221" s="222">
        <f t="shared" si="11"/>
        <v>41.746329640440393</v>
      </c>
      <c r="AS221" s="222">
        <f t="shared" si="10"/>
        <v>31.201626897985118</v>
      </c>
      <c r="AT221" s="222">
        <f t="shared" si="10"/>
        <v>2.978655749333563</v>
      </c>
      <c r="AU221" s="222">
        <f t="shared" si="10"/>
        <v>1.1893236557969271</v>
      </c>
      <c r="AV221" s="222">
        <f t="shared" si="10"/>
        <v>7.1288131216599021E-2</v>
      </c>
      <c r="AW221" s="222">
        <f t="shared" si="10"/>
        <v>162.29931206979046</v>
      </c>
      <c r="AX221" s="217"/>
    </row>
    <row r="222" spans="3:50" s="127" customFormat="1" ht="19" hidden="1">
      <c r="C222" s="70"/>
      <c r="D222" s="71"/>
      <c r="E222" s="71"/>
      <c r="X222" s="122"/>
      <c r="Y222" s="109"/>
      <c r="Z222" s="188" t="s">
        <v>30</v>
      </c>
      <c r="AA222" s="188">
        <v>2008</v>
      </c>
      <c r="AB222" s="188" t="s">
        <v>473</v>
      </c>
      <c r="AC222" s="188">
        <v>1503</v>
      </c>
      <c r="AD222" s="188">
        <v>11268</v>
      </c>
      <c r="AE222" s="188">
        <v>8679</v>
      </c>
      <c r="AF222" s="188">
        <v>368</v>
      </c>
      <c r="AG222" s="188">
        <v>582</v>
      </c>
      <c r="AH222" s="188"/>
      <c r="AI222" s="188">
        <v>548</v>
      </c>
      <c r="AJ222" s="188">
        <v>22948</v>
      </c>
      <c r="AK222" s="217"/>
      <c r="AL222" s="221">
        <v>0.84165483055935886</v>
      </c>
      <c r="AM222" s="188" t="s">
        <v>30</v>
      </c>
      <c r="AN222" s="188">
        <v>2008</v>
      </c>
      <c r="AO222" s="188" t="s">
        <v>473</v>
      </c>
      <c r="AP222" s="222">
        <f t="shared" si="11"/>
        <v>1.7857676869758059</v>
      </c>
      <c r="AQ222" s="222">
        <f t="shared" si="11"/>
        <v>13.387911042477299</v>
      </c>
      <c r="AR222" s="222">
        <f t="shared" si="11"/>
        <v>10.311828180481051</v>
      </c>
      <c r="AS222" s="222">
        <f t="shared" si="10"/>
        <v>0.43723387146180737</v>
      </c>
      <c r="AT222" s="222">
        <f t="shared" si="10"/>
        <v>0.69149487280101063</v>
      </c>
      <c r="AU222" s="222">
        <f t="shared" si="10"/>
        <v>0</v>
      </c>
      <c r="AV222" s="222">
        <f t="shared" si="10"/>
        <v>0.65109826511160451</v>
      </c>
      <c r="AW222" s="222">
        <f t="shared" si="10"/>
        <v>27.265333919308578</v>
      </c>
      <c r="AX222" s="214"/>
    </row>
    <row r="223" spans="3:50" s="127" customFormat="1" ht="19" hidden="1">
      <c r="C223" s="70"/>
      <c r="D223" s="71"/>
      <c r="E223" s="71"/>
      <c r="X223" s="122"/>
      <c r="Y223" s="109"/>
      <c r="Z223" s="188" t="s">
        <v>30</v>
      </c>
      <c r="AA223" s="188">
        <v>2009</v>
      </c>
      <c r="AB223" s="188" t="s">
        <v>459</v>
      </c>
      <c r="AC223" s="188">
        <v>31847</v>
      </c>
      <c r="AD223" s="188">
        <v>44353</v>
      </c>
      <c r="AE223" s="188">
        <v>35938</v>
      </c>
      <c r="AF223" s="188">
        <v>26305</v>
      </c>
      <c r="AG223" s="188">
        <v>2591</v>
      </c>
      <c r="AH223" s="188">
        <v>990</v>
      </c>
      <c r="AI223" s="188">
        <v>61</v>
      </c>
      <c r="AJ223" s="188">
        <v>142086</v>
      </c>
      <c r="AK223" s="214"/>
      <c r="AL223" s="223">
        <v>0.85147741466177274</v>
      </c>
      <c r="AM223" s="188" t="s">
        <v>30</v>
      </c>
      <c r="AN223" s="188">
        <v>2009</v>
      </c>
      <c r="AO223" s="188" t="s">
        <v>459</v>
      </c>
      <c r="AP223" s="222">
        <f t="shared" si="11"/>
        <v>37.402049016943558</v>
      </c>
      <c r="AQ223" s="222">
        <f t="shared" si="11"/>
        <v>52.089461489261083</v>
      </c>
      <c r="AR223" s="222">
        <f t="shared" si="11"/>
        <v>42.206639167611321</v>
      </c>
      <c r="AS223" s="222">
        <f t="shared" si="10"/>
        <v>30.89336199298836</v>
      </c>
      <c r="AT223" s="222">
        <f t="shared" si="10"/>
        <v>3.0429462430653049</v>
      </c>
      <c r="AU223" s="222">
        <f t="shared" si="10"/>
        <v>1.1626849790176192</v>
      </c>
      <c r="AV223" s="222">
        <f t="shared" si="10"/>
        <v>7.1640185575833112E-2</v>
      </c>
      <c r="AW223" s="222">
        <f t="shared" si="10"/>
        <v>166.86995750373481</v>
      </c>
      <c r="AX223" s="217"/>
    </row>
    <row r="224" spans="3:50" s="127" customFormat="1" ht="19" hidden="1">
      <c r="C224" s="70"/>
      <c r="D224" s="71"/>
      <c r="E224" s="71"/>
      <c r="X224" s="122"/>
      <c r="Y224" s="109"/>
      <c r="Z224" s="188" t="s">
        <v>30</v>
      </c>
      <c r="AA224" s="188">
        <v>2009</v>
      </c>
      <c r="AB224" s="188" t="s">
        <v>474</v>
      </c>
      <c r="AC224" s="188">
        <v>0</v>
      </c>
      <c r="AD224" s="188">
        <v>1135</v>
      </c>
      <c r="AE224" s="188">
        <v>0</v>
      </c>
      <c r="AF224" s="188">
        <v>75</v>
      </c>
      <c r="AG224" s="188">
        <v>230</v>
      </c>
      <c r="AH224" s="188">
        <v>97</v>
      </c>
      <c r="AI224" s="188">
        <v>0</v>
      </c>
      <c r="AJ224" s="188">
        <v>1537</v>
      </c>
      <c r="AK224" s="217"/>
      <c r="AL224" s="223">
        <v>0.85147741466177274</v>
      </c>
      <c r="AM224" s="188" t="s">
        <v>30</v>
      </c>
      <c r="AN224" s="188">
        <v>2009</v>
      </c>
      <c r="AO224" s="188" t="s">
        <v>474</v>
      </c>
      <c r="AP224" s="222">
        <f t="shared" si="11"/>
        <v>0</v>
      </c>
      <c r="AQ224" s="222">
        <f t="shared" si="11"/>
        <v>1.3329772234191899</v>
      </c>
      <c r="AR224" s="222">
        <f t="shared" si="11"/>
        <v>0</v>
      </c>
      <c r="AS224" s="222">
        <f t="shared" si="10"/>
        <v>8.8082195380122685E-2</v>
      </c>
      <c r="AT224" s="222">
        <f t="shared" si="10"/>
        <v>0.27011873249904289</v>
      </c>
      <c r="AU224" s="222">
        <f t="shared" ref="AU224:AW287" si="12">AH224/$AL224/1000</f>
        <v>0.113919639358292</v>
      </c>
      <c r="AV224" s="222">
        <f t="shared" si="12"/>
        <v>0</v>
      </c>
      <c r="AW224" s="222">
        <f t="shared" si="12"/>
        <v>1.8050977906566474</v>
      </c>
      <c r="AX224" s="217"/>
    </row>
    <row r="225" spans="3:50" s="127" customFormat="1" ht="19" hidden="1">
      <c r="C225" s="70"/>
      <c r="D225" s="71"/>
      <c r="E225" s="71"/>
      <c r="X225" s="122"/>
      <c r="Y225" s="109"/>
      <c r="Z225" s="188" t="s">
        <v>30</v>
      </c>
      <c r="AA225" s="188">
        <v>2009</v>
      </c>
      <c r="AB225" s="188" t="s">
        <v>475</v>
      </c>
      <c r="AC225" s="188">
        <v>75</v>
      </c>
      <c r="AD225" s="188">
        <v>4140</v>
      </c>
      <c r="AE225" s="188">
        <v>1658</v>
      </c>
      <c r="AF225" s="188">
        <v>36</v>
      </c>
      <c r="AG225" s="188">
        <v>0</v>
      </c>
      <c r="AH225" s="188">
        <v>0</v>
      </c>
      <c r="AI225" s="188">
        <v>0</v>
      </c>
      <c r="AJ225" s="188">
        <v>5909</v>
      </c>
      <c r="AK225" s="214"/>
      <c r="AL225" s="221">
        <v>0.85147741466177274</v>
      </c>
      <c r="AM225" s="188" t="s">
        <v>30</v>
      </c>
      <c r="AN225" s="188">
        <v>2009</v>
      </c>
      <c r="AO225" s="188" t="s">
        <v>475</v>
      </c>
      <c r="AP225" s="222">
        <f t="shared" si="11"/>
        <v>8.8082195380122685E-2</v>
      </c>
      <c r="AQ225" s="222">
        <f t="shared" si="11"/>
        <v>4.8621371849827719</v>
      </c>
      <c r="AR225" s="222">
        <f t="shared" si="11"/>
        <v>1.9472037325365785</v>
      </c>
      <c r="AS225" s="222">
        <f t="shared" si="11"/>
        <v>4.2279453782458884E-2</v>
      </c>
      <c r="AT225" s="222">
        <f t="shared" si="11"/>
        <v>0</v>
      </c>
      <c r="AU225" s="222">
        <f t="shared" si="12"/>
        <v>0</v>
      </c>
      <c r="AV225" s="222">
        <f t="shared" si="12"/>
        <v>0</v>
      </c>
      <c r="AW225" s="222">
        <f t="shared" si="12"/>
        <v>6.9397025666819321</v>
      </c>
      <c r="AX225" s="214"/>
    </row>
    <row r="226" spans="3:50" s="127" customFormat="1" hidden="1">
      <c r="X226" s="122"/>
      <c r="Y226" s="109"/>
      <c r="Z226" s="188" t="s">
        <v>30</v>
      </c>
      <c r="AA226" s="188">
        <v>2009</v>
      </c>
      <c r="AB226" s="188" t="s">
        <v>476</v>
      </c>
      <c r="AC226" s="188">
        <v>1561</v>
      </c>
      <c r="AD226" s="188">
        <v>5601</v>
      </c>
      <c r="AE226" s="188">
        <v>6585</v>
      </c>
      <c r="AF226" s="188">
        <v>-127</v>
      </c>
      <c r="AG226" s="188">
        <v>282</v>
      </c>
      <c r="AH226" s="188">
        <v>0</v>
      </c>
      <c r="AI226" s="188">
        <v>15</v>
      </c>
      <c r="AJ226" s="188">
        <v>13916</v>
      </c>
      <c r="AK226" s="217"/>
      <c r="AL226" s="223">
        <v>0.85147741466177274</v>
      </c>
      <c r="AM226" s="188" t="s">
        <v>30</v>
      </c>
      <c r="AN226" s="188">
        <v>2009</v>
      </c>
      <c r="AO226" s="188" t="s">
        <v>476</v>
      </c>
      <c r="AP226" s="222">
        <f t="shared" si="11"/>
        <v>1.8332840931782866</v>
      </c>
      <c r="AQ226" s="222">
        <f t="shared" si="11"/>
        <v>6.5779783509875616</v>
      </c>
      <c r="AR226" s="222">
        <f t="shared" si="11"/>
        <v>7.7336167543747711</v>
      </c>
      <c r="AS226" s="222">
        <f t="shared" si="11"/>
        <v>-0.14915251751034106</v>
      </c>
      <c r="AT226" s="222">
        <f t="shared" si="11"/>
        <v>0.33118905462926124</v>
      </c>
      <c r="AU226" s="222">
        <f t="shared" si="12"/>
        <v>0</v>
      </c>
      <c r="AV226" s="222">
        <f t="shared" si="12"/>
        <v>1.7616439076024535E-2</v>
      </c>
      <c r="AW226" s="222">
        <f t="shared" si="12"/>
        <v>16.34335774546383</v>
      </c>
      <c r="AX226" s="217"/>
    </row>
    <row r="227" spans="3:50" s="127" customFormat="1" hidden="1">
      <c r="X227" s="122"/>
      <c r="Y227" s="109"/>
      <c r="Z227" s="188" t="s">
        <v>30</v>
      </c>
      <c r="AA227" s="188">
        <v>2010</v>
      </c>
      <c r="AB227" s="188" t="s">
        <v>459</v>
      </c>
      <c r="AC227" s="188">
        <v>33614</v>
      </c>
      <c r="AD227" s="188">
        <v>42267</v>
      </c>
      <c r="AE227" s="188">
        <v>35830</v>
      </c>
      <c r="AF227" s="188">
        <v>27700</v>
      </c>
      <c r="AG227" s="188">
        <v>2317</v>
      </c>
      <c r="AH227" s="188">
        <v>569</v>
      </c>
      <c r="AI227" s="188">
        <v>64</v>
      </c>
      <c r="AJ227" s="188">
        <v>142360</v>
      </c>
      <c r="AK227" s="217"/>
      <c r="AL227" s="223">
        <v>0.85894343086456204</v>
      </c>
      <c r="AM227" s="188" t="s">
        <v>30</v>
      </c>
      <c r="AN227" s="188">
        <v>2010</v>
      </c>
      <c r="AO227" s="188" t="s">
        <v>459</v>
      </c>
      <c r="AP227" s="222">
        <f t="shared" si="11"/>
        <v>39.134125475720928</v>
      </c>
      <c r="AQ227" s="222">
        <f t="shared" si="11"/>
        <v>49.208129989953491</v>
      </c>
      <c r="AR227" s="222">
        <f t="shared" si="11"/>
        <v>41.714039263255813</v>
      </c>
      <c r="AS227" s="222">
        <f t="shared" si="11"/>
        <v>32.248922344186049</v>
      </c>
      <c r="AT227" s="222">
        <f t="shared" si="11"/>
        <v>2.6975001108837215</v>
      </c>
      <c r="AU227" s="222">
        <f t="shared" si="12"/>
        <v>0.66244176223255813</v>
      </c>
      <c r="AV227" s="222">
        <f t="shared" si="12"/>
        <v>7.4510145488372106E-2</v>
      </c>
      <c r="AW227" s="222">
        <f t="shared" si="12"/>
        <v>165.73850487069768</v>
      </c>
      <c r="AX227" s="217"/>
    </row>
    <row r="228" spans="3:50" s="127" customFormat="1" hidden="1">
      <c r="X228" s="122"/>
      <c r="Y228" s="109"/>
      <c r="Z228" s="188" t="s">
        <v>30</v>
      </c>
      <c r="AA228" s="188">
        <v>2010</v>
      </c>
      <c r="AB228" s="188" t="s">
        <v>477</v>
      </c>
      <c r="AC228" s="188">
        <v>1792</v>
      </c>
      <c r="AD228" s="188">
        <v>13560</v>
      </c>
      <c r="AE228" s="188">
        <v>4556</v>
      </c>
      <c r="AF228" s="188">
        <v>247</v>
      </c>
      <c r="AG228" s="188">
        <v>881</v>
      </c>
      <c r="AH228" s="188">
        <v>8</v>
      </c>
      <c r="AI228" s="188">
        <v>863</v>
      </c>
      <c r="AJ228" s="188">
        <v>21906</v>
      </c>
      <c r="AK228" s="217"/>
      <c r="AL228" s="221">
        <v>0.85894343086456204</v>
      </c>
      <c r="AM228" s="188" t="s">
        <v>30</v>
      </c>
      <c r="AN228" s="188">
        <v>2010</v>
      </c>
      <c r="AO228" s="188" t="s">
        <v>477</v>
      </c>
      <c r="AP228" s="222">
        <f t="shared" si="11"/>
        <v>2.0862840736744186</v>
      </c>
      <c r="AQ228" s="222">
        <f t="shared" si="11"/>
        <v>15.786837075348839</v>
      </c>
      <c r="AR228" s="222">
        <f t="shared" si="11"/>
        <v>5.3041909819534885</v>
      </c>
      <c r="AS228" s="222">
        <f t="shared" si="11"/>
        <v>0.28756259274418605</v>
      </c>
      <c r="AT228" s="222">
        <f t="shared" si="11"/>
        <v>1.0256787214883722</v>
      </c>
      <c r="AU228" s="222">
        <f t="shared" si="12"/>
        <v>9.3137681860465133E-3</v>
      </c>
      <c r="AV228" s="222">
        <f t="shared" si="12"/>
        <v>1.0047227430697674</v>
      </c>
      <c r="AW228" s="222">
        <f t="shared" si="12"/>
        <v>25.503425735441862</v>
      </c>
      <c r="AX228" s="214"/>
    </row>
    <row r="229" spans="3:50" s="127" customFormat="1" hidden="1">
      <c r="X229" s="122"/>
      <c r="Y229" s="109"/>
      <c r="Z229" s="188" t="s">
        <v>30</v>
      </c>
      <c r="AA229" s="188">
        <v>2010</v>
      </c>
      <c r="AB229" s="188" t="s">
        <v>478</v>
      </c>
      <c r="AC229" s="188">
        <v>0</v>
      </c>
      <c r="AD229" s="188">
        <v>218</v>
      </c>
      <c r="AE229" s="188">
        <v>0</v>
      </c>
      <c r="AF229" s="188">
        <v>0</v>
      </c>
      <c r="AG229" s="188">
        <v>0</v>
      </c>
      <c r="AH229" s="188">
        <v>0</v>
      </c>
      <c r="AI229" s="188">
        <v>0</v>
      </c>
      <c r="AJ229" s="188">
        <v>218</v>
      </c>
      <c r="AK229" s="217"/>
      <c r="AL229" s="223">
        <v>0.85894343086456204</v>
      </c>
      <c r="AM229" s="188" t="s">
        <v>30</v>
      </c>
      <c r="AN229" s="188">
        <v>2010</v>
      </c>
      <c r="AO229" s="188" t="s">
        <v>478</v>
      </c>
      <c r="AP229" s="222">
        <f t="shared" ref="AP229:AT279" si="13">AC229/$AL229/1000</f>
        <v>0</v>
      </c>
      <c r="AQ229" s="222">
        <f t="shared" si="13"/>
        <v>0.25380018306976748</v>
      </c>
      <c r="AR229" s="222">
        <f t="shared" si="13"/>
        <v>0</v>
      </c>
      <c r="AS229" s="222">
        <f t="shared" si="13"/>
        <v>0</v>
      </c>
      <c r="AT229" s="222">
        <f t="shared" si="13"/>
        <v>0</v>
      </c>
      <c r="AU229" s="222">
        <f t="shared" si="12"/>
        <v>0</v>
      </c>
      <c r="AV229" s="222">
        <f t="shared" si="12"/>
        <v>0</v>
      </c>
      <c r="AW229" s="222">
        <f t="shared" si="12"/>
        <v>0.25380018306976748</v>
      </c>
      <c r="AX229" s="217"/>
    </row>
    <row r="230" spans="3:50" s="127" customFormat="1" hidden="1">
      <c r="X230" s="122"/>
      <c r="Y230" s="109"/>
      <c r="Z230" s="188" t="s">
        <v>30</v>
      </c>
      <c r="AA230" s="188">
        <v>2011</v>
      </c>
      <c r="AB230" s="188" t="s">
        <v>459</v>
      </c>
      <c r="AC230" s="188">
        <v>34235</v>
      </c>
      <c r="AD230" s="188">
        <v>45820</v>
      </c>
      <c r="AE230" s="188">
        <v>36277</v>
      </c>
      <c r="AF230" s="188">
        <v>26982</v>
      </c>
      <c r="AG230" s="188">
        <v>1416</v>
      </c>
      <c r="AH230" s="188">
        <v>591</v>
      </c>
      <c r="AI230" s="188">
        <v>67</v>
      </c>
      <c r="AJ230" s="188">
        <v>145386</v>
      </c>
      <c r="AK230" s="217"/>
      <c r="AL230" s="221">
        <v>0.87638757317399019</v>
      </c>
      <c r="AM230" s="188" t="s">
        <v>30</v>
      </c>
      <c r="AN230" s="188">
        <v>2011</v>
      </c>
      <c r="AO230" s="188" t="s">
        <v>459</v>
      </c>
      <c r="AP230" s="222">
        <f t="shared" si="13"/>
        <v>39.063767045454547</v>
      </c>
      <c r="AQ230" s="222">
        <f t="shared" si="13"/>
        <v>52.282804323725053</v>
      </c>
      <c r="AR230" s="222">
        <f t="shared" si="13"/>
        <v>41.393786391352549</v>
      </c>
      <c r="AS230" s="222">
        <f t="shared" si="13"/>
        <v>30.78774828159645</v>
      </c>
      <c r="AT230" s="222">
        <f t="shared" si="13"/>
        <v>1.6157235033259423</v>
      </c>
      <c r="AU230" s="222">
        <f t="shared" si="12"/>
        <v>0.67435917405764967</v>
      </c>
      <c r="AV230" s="222">
        <f t="shared" si="12"/>
        <v>7.6450194013303774E-2</v>
      </c>
      <c r="AW230" s="222">
        <f t="shared" si="12"/>
        <v>165.89235681818181</v>
      </c>
      <c r="AX230" s="217"/>
    </row>
    <row r="231" spans="3:50" s="127" customFormat="1" hidden="1">
      <c r="X231" s="122"/>
      <c r="Y231" s="109"/>
      <c r="Z231" s="188" t="s">
        <v>30</v>
      </c>
      <c r="AA231" s="188">
        <v>2011</v>
      </c>
      <c r="AB231" s="188" t="s">
        <v>479</v>
      </c>
      <c r="AC231" s="188">
        <v>1805</v>
      </c>
      <c r="AD231" s="188">
        <v>13538</v>
      </c>
      <c r="AE231" s="188">
        <v>5512</v>
      </c>
      <c r="AF231" s="188">
        <v>499</v>
      </c>
      <c r="AG231" s="188">
        <v>195</v>
      </c>
      <c r="AH231" s="188">
        <v>0</v>
      </c>
      <c r="AI231" s="188">
        <v>17</v>
      </c>
      <c r="AJ231" s="188">
        <v>21566</v>
      </c>
      <c r="AK231" s="217"/>
      <c r="AL231" s="223">
        <v>0.87638757317399019</v>
      </c>
      <c r="AM231" s="188" t="s">
        <v>30</v>
      </c>
      <c r="AN231" s="188">
        <v>2011</v>
      </c>
      <c r="AO231" s="188" t="s">
        <v>479</v>
      </c>
      <c r="AP231" s="222">
        <f t="shared" si="13"/>
        <v>2.0595910476718404</v>
      </c>
      <c r="AQ231" s="222">
        <f t="shared" si="13"/>
        <v>15.447503381374721</v>
      </c>
      <c r="AR231" s="222">
        <f t="shared" si="13"/>
        <v>6.2894547671840355</v>
      </c>
      <c r="AS231" s="222">
        <f t="shared" si="13"/>
        <v>0.56938278824833699</v>
      </c>
      <c r="AT231" s="222">
        <f t="shared" si="13"/>
        <v>0.22250429600886917</v>
      </c>
      <c r="AU231" s="222">
        <f t="shared" si="12"/>
        <v>0</v>
      </c>
      <c r="AV231" s="222">
        <f t="shared" si="12"/>
        <v>1.9397810421286032E-2</v>
      </c>
      <c r="AW231" s="222">
        <f t="shared" si="12"/>
        <v>24.60783409090909</v>
      </c>
      <c r="AX231" s="214"/>
    </row>
    <row r="232" spans="3:50" s="127" customFormat="1" hidden="1">
      <c r="X232" s="122"/>
      <c r="Y232" s="109"/>
      <c r="Z232" s="188" t="s">
        <v>30</v>
      </c>
      <c r="AA232" s="188">
        <v>2012</v>
      </c>
      <c r="AB232" s="188" t="s">
        <v>459</v>
      </c>
      <c r="AC232" s="188">
        <v>35131</v>
      </c>
      <c r="AD232" s="188">
        <v>47007</v>
      </c>
      <c r="AE232" s="188">
        <v>36020</v>
      </c>
      <c r="AF232" s="188">
        <v>26113</v>
      </c>
      <c r="AG232" s="188">
        <v>1468</v>
      </c>
      <c r="AH232" s="188">
        <v>490</v>
      </c>
      <c r="AI232" s="188">
        <v>65</v>
      </c>
      <c r="AJ232" s="188">
        <v>146295</v>
      </c>
      <c r="AK232" s="217"/>
      <c r="AL232" s="221">
        <v>0.89246166741880806</v>
      </c>
      <c r="AM232" s="188" t="s">
        <v>30</v>
      </c>
      <c r="AN232" s="188">
        <v>2012</v>
      </c>
      <c r="AO232" s="188" t="s">
        <v>459</v>
      </c>
      <c r="AP232" s="222">
        <f t="shared" si="13"/>
        <v>39.364155663521593</v>
      </c>
      <c r="AQ232" s="222">
        <f t="shared" si="13"/>
        <v>52.67116977242776</v>
      </c>
      <c r="AR232" s="222">
        <f t="shared" si="13"/>
        <v>40.360276877972382</v>
      </c>
      <c r="AS232" s="222">
        <f t="shared" si="13"/>
        <v>29.259519992073653</v>
      </c>
      <c r="AT232" s="222">
        <f t="shared" si="13"/>
        <v>1.6448885745936552</v>
      </c>
      <c r="AU232" s="222">
        <f t="shared" si="12"/>
        <v>0.54904318906736449</v>
      </c>
      <c r="AV232" s="222">
        <f t="shared" si="12"/>
        <v>7.2832259774242236E-2</v>
      </c>
      <c r="AW232" s="222">
        <f t="shared" si="12"/>
        <v>163.92300682573486</v>
      </c>
      <c r="AX232" s="217"/>
    </row>
    <row r="233" spans="3:50" s="127" customFormat="1" hidden="1">
      <c r="X233" s="122"/>
      <c r="Y233" s="109"/>
      <c r="Z233" s="188" t="s">
        <v>30</v>
      </c>
      <c r="AA233" s="188">
        <v>2012</v>
      </c>
      <c r="AB233" s="188" t="s">
        <v>480</v>
      </c>
      <c r="AC233" s="188">
        <v>1493</v>
      </c>
      <c r="AD233" s="188">
        <v>10595</v>
      </c>
      <c r="AE233" s="188">
        <v>4472</v>
      </c>
      <c r="AF233" s="188">
        <v>260</v>
      </c>
      <c r="AG233" s="188">
        <v>-35</v>
      </c>
      <c r="AH233" s="188">
        <v>0</v>
      </c>
      <c r="AI233" s="188">
        <v>12</v>
      </c>
      <c r="AJ233" s="188">
        <v>16797</v>
      </c>
      <c r="AK233" s="217"/>
      <c r="AL233" s="223">
        <v>0.89246166741880806</v>
      </c>
      <c r="AM233" s="188" t="s">
        <v>30</v>
      </c>
      <c r="AN233" s="188">
        <v>2012</v>
      </c>
      <c r="AO233" s="188" t="s">
        <v>480</v>
      </c>
      <c r="AP233" s="222">
        <f t="shared" si="13"/>
        <v>1.672900982199133</v>
      </c>
      <c r="AQ233" s="222">
        <f t="shared" si="13"/>
        <v>11.871658343201483</v>
      </c>
      <c r="AR233" s="222">
        <f t="shared" si="13"/>
        <v>5.0108594724678648</v>
      </c>
      <c r="AS233" s="222">
        <f t="shared" si="13"/>
        <v>0.29132903909696894</v>
      </c>
      <c r="AT233" s="222">
        <f t="shared" si="13"/>
        <v>-3.9217370647668892E-2</v>
      </c>
      <c r="AU233" s="222">
        <f t="shared" si="12"/>
        <v>0</v>
      </c>
      <c r="AV233" s="222">
        <f t="shared" si="12"/>
        <v>1.3445955650629334E-2</v>
      </c>
      <c r="AW233" s="222">
        <f t="shared" si="12"/>
        <v>18.82097642196841</v>
      </c>
      <c r="AX233" s="214"/>
    </row>
    <row r="234" spans="3:50" s="127" customFormat="1" hidden="1">
      <c r="X234" s="122"/>
      <c r="Y234" s="109"/>
      <c r="Z234" s="188" t="s">
        <v>30</v>
      </c>
      <c r="AA234" s="188">
        <v>2013</v>
      </c>
      <c r="AB234" s="188" t="s">
        <v>459</v>
      </c>
      <c r="AC234" s="188">
        <v>34704</v>
      </c>
      <c r="AD234" s="188">
        <v>42550</v>
      </c>
      <c r="AE234" s="188">
        <v>30341</v>
      </c>
      <c r="AF234" s="188">
        <v>22766</v>
      </c>
      <c r="AG234" s="188">
        <v>482</v>
      </c>
      <c r="AH234" s="188">
        <v>520</v>
      </c>
      <c r="AI234" s="188">
        <v>45</v>
      </c>
      <c r="AJ234" s="188">
        <v>131408</v>
      </c>
      <c r="AK234" s="217"/>
      <c r="AL234" s="223">
        <v>0.9075385882666781</v>
      </c>
      <c r="AM234" s="188" t="s">
        <v>30</v>
      </c>
      <c r="AN234" s="188">
        <v>2013</v>
      </c>
      <c r="AO234" s="188" t="s">
        <v>459</v>
      </c>
      <c r="AP234" s="222">
        <f t="shared" si="13"/>
        <v>38.239696304574451</v>
      </c>
      <c r="AQ234" s="222">
        <f t="shared" si="13"/>
        <v>46.885058718293067</v>
      </c>
      <c r="AR234" s="222">
        <f t="shared" si="13"/>
        <v>33.432187228477794</v>
      </c>
      <c r="AS234" s="222">
        <f t="shared" si="13"/>
        <v>25.085434706948529</v>
      </c>
      <c r="AT234" s="222">
        <f t="shared" si="13"/>
        <v>0.53110689311908943</v>
      </c>
      <c r="AU234" s="222">
        <f t="shared" si="12"/>
        <v>0.57297839091686009</v>
      </c>
      <c r="AV234" s="222">
        <f t="shared" si="12"/>
        <v>4.9584668444728273E-2</v>
      </c>
      <c r="AW234" s="222">
        <f t="shared" si="12"/>
        <v>144.79604691077452</v>
      </c>
      <c r="AX234" s="217"/>
    </row>
    <row r="235" spans="3:50" s="127" customFormat="1" hidden="1">
      <c r="X235" s="122"/>
      <c r="Y235" s="109"/>
      <c r="Z235" s="188" t="s">
        <v>30</v>
      </c>
      <c r="AA235" s="188">
        <v>2013</v>
      </c>
      <c r="AB235" s="188" t="s">
        <v>481</v>
      </c>
      <c r="AC235" s="188">
        <v>900</v>
      </c>
      <c r="AD235" s="188">
        <v>9508</v>
      </c>
      <c r="AE235" s="188">
        <v>2611</v>
      </c>
      <c r="AF235" s="188">
        <v>3</v>
      </c>
      <c r="AG235" s="188">
        <v>-30</v>
      </c>
      <c r="AH235" s="188">
        <v>0</v>
      </c>
      <c r="AI235" s="188">
        <v>10</v>
      </c>
      <c r="AJ235" s="188">
        <v>13001</v>
      </c>
      <c r="AK235" s="217"/>
      <c r="AL235" s="221">
        <v>0.9075385882666781</v>
      </c>
      <c r="AM235" s="188" t="s">
        <v>30</v>
      </c>
      <c r="AN235" s="188">
        <v>2013</v>
      </c>
      <c r="AO235" s="188" t="s">
        <v>481</v>
      </c>
      <c r="AP235" s="222">
        <f t="shared" si="13"/>
        <v>0.9916933688945655</v>
      </c>
      <c r="AQ235" s="222">
        <f t="shared" si="13"/>
        <v>10.476689501610588</v>
      </c>
      <c r="AR235" s="222">
        <f t="shared" si="13"/>
        <v>2.8770126513152339</v>
      </c>
      <c r="AS235" s="222">
        <f t="shared" si="13"/>
        <v>3.305644562981885E-3</v>
      </c>
      <c r="AT235" s="222">
        <f t="shared" si="13"/>
        <v>-3.3056445629818854E-2</v>
      </c>
      <c r="AU235" s="222">
        <f t="shared" si="12"/>
        <v>0</v>
      </c>
      <c r="AV235" s="222">
        <f t="shared" si="12"/>
        <v>1.1018815209939616E-2</v>
      </c>
      <c r="AW235" s="222">
        <f t="shared" si="12"/>
        <v>14.325561654442495</v>
      </c>
      <c r="AX235" s="217"/>
    </row>
    <row r="236" spans="3:50" s="127" customFormat="1" hidden="1">
      <c r="X236" s="122"/>
      <c r="Y236" s="109"/>
      <c r="Z236" s="188" t="s">
        <v>30</v>
      </c>
      <c r="AA236" s="188">
        <v>2013</v>
      </c>
      <c r="AB236" s="188" t="s">
        <v>482</v>
      </c>
      <c r="AC236" s="188">
        <v>0</v>
      </c>
      <c r="AD236" s="188">
        <v>14</v>
      </c>
      <c r="AE236" s="188">
        <v>0</v>
      </c>
      <c r="AF236" s="188">
        <v>0</v>
      </c>
      <c r="AG236" s="188">
        <v>0</v>
      </c>
      <c r="AH236" s="188">
        <v>0</v>
      </c>
      <c r="AI236" s="188">
        <v>0</v>
      </c>
      <c r="AJ236" s="188">
        <v>14</v>
      </c>
      <c r="AK236" s="217"/>
      <c r="AL236" s="223">
        <v>0.9075385882666781</v>
      </c>
      <c r="AM236" s="188" t="s">
        <v>30</v>
      </c>
      <c r="AN236" s="188">
        <v>2013</v>
      </c>
      <c r="AO236" s="188" t="s">
        <v>482</v>
      </c>
      <c r="AP236" s="222">
        <f t="shared" si="13"/>
        <v>0</v>
      </c>
      <c r="AQ236" s="222">
        <f t="shared" si="13"/>
        <v>1.5426341293915463E-2</v>
      </c>
      <c r="AR236" s="222">
        <f t="shared" si="13"/>
        <v>0</v>
      </c>
      <c r="AS236" s="222">
        <f t="shared" si="13"/>
        <v>0</v>
      </c>
      <c r="AT236" s="222">
        <f t="shared" si="13"/>
        <v>0</v>
      </c>
      <c r="AU236" s="222">
        <f t="shared" si="12"/>
        <v>0</v>
      </c>
      <c r="AV236" s="222">
        <f t="shared" si="12"/>
        <v>0</v>
      </c>
      <c r="AW236" s="222">
        <f t="shared" si="12"/>
        <v>1.5426341293915463E-2</v>
      </c>
      <c r="AX236" s="217"/>
    </row>
    <row r="237" spans="3:50" s="127" customFormat="1" hidden="1">
      <c r="X237" s="122"/>
      <c r="Y237" s="109"/>
      <c r="Z237" s="188" t="s">
        <v>30</v>
      </c>
      <c r="AA237" s="188">
        <v>2014</v>
      </c>
      <c r="AB237" s="188" t="s">
        <v>459</v>
      </c>
      <c r="AC237" s="188">
        <v>35103</v>
      </c>
      <c r="AD237" s="188">
        <v>43196</v>
      </c>
      <c r="AE237" s="188">
        <v>31259</v>
      </c>
      <c r="AF237" s="188">
        <v>23655</v>
      </c>
      <c r="AG237" s="188">
        <v>1291</v>
      </c>
      <c r="AH237" s="188">
        <v>465</v>
      </c>
      <c r="AI237" s="188">
        <v>150</v>
      </c>
      <c r="AJ237" s="188">
        <v>135120</v>
      </c>
      <c r="AK237" s="217"/>
      <c r="AL237" s="221">
        <v>0.9240281714268912</v>
      </c>
      <c r="AM237" s="188" t="s">
        <v>30</v>
      </c>
      <c r="AN237" s="188">
        <v>2014</v>
      </c>
      <c r="AO237" s="188" t="s">
        <v>459</v>
      </c>
      <c r="AP237" s="222">
        <f t="shared" si="13"/>
        <v>37.989101507363877</v>
      </c>
      <c r="AQ237" s="222">
        <f t="shared" si="13"/>
        <v>46.74749248531721</v>
      </c>
      <c r="AR237" s="222">
        <f t="shared" si="13"/>
        <v>33.829055181001266</v>
      </c>
      <c r="AS237" s="222">
        <f t="shared" si="13"/>
        <v>25.599868847582616</v>
      </c>
      <c r="AT237" s="222">
        <f t="shared" si="13"/>
        <v>1.3971435502950393</v>
      </c>
      <c r="AU237" s="222">
        <f t="shared" si="12"/>
        <v>0.50323141044709008</v>
      </c>
      <c r="AV237" s="222">
        <f t="shared" si="12"/>
        <v>0.1623327130474484</v>
      </c>
      <c r="AW237" s="222">
        <f t="shared" si="12"/>
        <v>146.22930791314153</v>
      </c>
      <c r="AX237" s="217"/>
    </row>
    <row r="238" spans="3:50" s="127" customFormat="1" hidden="1">
      <c r="X238" s="122"/>
      <c r="Y238" s="109"/>
      <c r="Z238" s="188" t="s">
        <v>30</v>
      </c>
      <c r="AA238" s="188">
        <v>2014</v>
      </c>
      <c r="AB238" s="188" t="s">
        <v>483</v>
      </c>
      <c r="AC238" s="188">
        <v>784</v>
      </c>
      <c r="AD238" s="188">
        <v>12795</v>
      </c>
      <c r="AE238" s="188">
        <v>3131</v>
      </c>
      <c r="AF238" s="188">
        <v>167</v>
      </c>
      <c r="AG238" s="188"/>
      <c r="AH238" s="188"/>
      <c r="AI238" s="188"/>
      <c r="AJ238" s="188">
        <v>16877</v>
      </c>
      <c r="AK238" s="217"/>
      <c r="AL238" s="223">
        <v>0.9240281714268912</v>
      </c>
      <c r="AM238" s="188" t="s">
        <v>30</v>
      </c>
      <c r="AN238" s="188">
        <v>2014</v>
      </c>
      <c r="AO238" s="188" t="s">
        <v>483</v>
      </c>
      <c r="AP238" s="222">
        <f t="shared" si="13"/>
        <v>0.8484589801946637</v>
      </c>
      <c r="AQ238" s="222">
        <f t="shared" si="13"/>
        <v>13.84698042294735</v>
      </c>
      <c r="AR238" s="222">
        <f t="shared" si="13"/>
        <v>3.3884248303437396</v>
      </c>
      <c r="AS238" s="222">
        <f t="shared" si="13"/>
        <v>0.18073042052615923</v>
      </c>
      <c r="AT238" s="222">
        <f t="shared" si="13"/>
        <v>0</v>
      </c>
      <c r="AU238" s="222">
        <f t="shared" si="12"/>
        <v>0</v>
      </c>
      <c r="AV238" s="222">
        <f t="shared" si="12"/>
        <v>0</v>
      </c>
      <c r="AW238" s="222">
        <f t="shared" si="12"/>
        <v>18.264594654011912</v>
      </c>
      <c r="AX238" s="217"/>
    </row>
    <row r="239" spans="3:50" s="127" customFormat="1" hidden="1">
      <c r="X239" s="122"/>
      <c r="Y239" s="109"/>
      <c r="Z239" s="188" t="s">
        <v>30</v>
      </c>
      <c r="AA239" s="188">
        <v>2014</v>
      </c>
      <c r="AB239" s="188" t="s">
        <v>484</v>
      </c>
      <c r="AC239" s="188"/>
      <c r="AD239" s="188"/>
      <c r="AE239" s="188"/>
      <c r="AF239" s="188"/>
      <c r="AG239" s="188"/>
      <c r="AH239" s="188"/>
      <c r="AI239" s="188"/>
      <c r="AJ239" s="188"/>
      <c r="AK239" s="217"/>
      <c r="AL239" s="221">
        <v>0.9240281714268912</v>
      </c>
      <c r="AM239" s="188" t="s">
        <v>30</v>
      </c>
      <c r="AN239" s="188">
        <v>2014</v>
      </c>
      <c r="AO239" s="188" t="s">
        <v>484</v>
      </c>
      <c r="AP239" s="222">
        <f t="shared" si="13"/>
        <v>0</v>
      </c>
      <c r="AQ239" s="222">
        <f t="shared" si="13"/>
        <v>0</v>
      </c>
      <c r="AR239" s="222">
        <f t="shared" si="13"/>
        <v>0</v>
      </c>
      <c r="AS239" s="222">
        <f t="shared" si="13"/>
        <v>0</v>
      </c>
      <c r="AT239" s="222">
        <f t="shared" si="13"/>
        <v>0</v>
      </c>
      <c r="AU239" s="222">
        <f t="shared" si="12"/>
        <v>0</v>
      </c>
      <c r="AV239" s="222">
        <f t="shared" si="12"/>
        <v>0</v>
      </c>
      <c r="AW239" s="222">
        <f t="shared" si="12"/>
        <v>0</v>
      </c>
      <c r="AX239" s="217"/>
    </row>
    <row r="240" spans="3:50" s="127" customFormat="1" hidden="1">
      <c r="X240" s="122"/>
      <c r="Y240" s="109"/>
      <c r="Z240" s="188" t="s">
        <v>30</v>
      </c>
      <c r="AA240" s="188">
        <v>2015</v>
      </c>
      <c r="AB240" s="188" t="s">
        <v>459</v>
      </c>
      <c r="AC240" s="188">
        <v>33617</v>
      </c>
      <c r="AD240" s="188">
        <v>44596</v>
      </c>
      <c r="AE240" s="188">
        <v>33914</v>
      </c>
      <c r="AF240" s="188">
        <v>23568</v>
      </c>
      <c r="AG240" s="188">
        <v>1045</v>
      </c>
      <c r="AH240" s="188">
        <v>328</v>
      </c>
      <c r="AI240" s="188">
        <v>67</v>
      </c>
      <c r="AJ240" s="188">
        <v>137134</v>
      </c>
      <c r="AK240" s="217"/>
      <c r="AL240" s="223">
        <v>0.9351696664966358</v>
      </c>
      <c r="AM240" s="188" t="s">
        <v>30</v>
      </c>
      <c r="AN240" s="188">
        <v>2015</v>
      </c>
      <c r="AO240" s="188" t="s">
        <v>459</v>
      </c>
      <c r="AP240" s="222">
        <f t="shared" si="13"/>
        <v>35.947487610389608</v>
      </c>
      <c r="AQ240" s="222">
        <f t="shared" si="13"/>
        <v>47.687603220779224</v>
      </c>
      <c r="AR240" s="222">
        <f t="shared" si="13"/>
        <v>36.265077038961039</v>
      </c>
      <c r="AS240" s="222">
        <f t="shared" si="13"/>
        <v>25.201843948051948</v>
      </c>
      <c r="AT240" s="222">
        <f t="shared" si="13"/>
        <v>1.1174442857142859</v>
      </c>
      <c r="AU240" s="222">
        <f t="shared" si="12"/>
        <v>0.3507384935064935</v>
      </c>
      <c r="AV240" s="222">
        <f t="shared" si="12"/>
        <v>7.1644753246753248E-2</v>
      </c>
      <c r="AW240" s="222">
        <f t="shared" si="12"/>
        <v>146.64077002597404</v>
      </c>
      <c r="AX240" s="217"/>
    </row>
    <row r="241" spans="24:50" s="127" customFormat="1" hidden="1">
      <c r="X241" s="122"/>
      <c r="Y241" s="109"/>
      <c r="Z241" s="188" t="s">
        <v>30</v>
      </c>
      <c r="AA241" s="188">
        <v>2015</v>
      </c>
      <c r="AB241" s="188" t="s">
        <v>485</v>
      </c>
      <c r="AC241" s="188">
        <v>756</v>
      </c>
      <c r="AD241" s="188">
        <v>10531</v>
      </c>
      <c r="AE241" s="188">
        <v>4484</v>
      </c>
      <c r="AF241" s="188">
        <v>15</v>
      </c>
      <c r="AG241" s="188">
        <v>133</v>
      </c>
      <c r="AH241" s="188">
        <v>0</v>
      </c>
      <c r="AI241" s="188">
        <v>0</v>
      </c>
      <c r="AJ241" s="188">
        <v>15919</v>
      </c>
      <c r="AK241" s="217"/>
      <c r="AL241" s="223">
        <v>0.9351696664966358</v>
      </c>
      <c r="AM241" s="188" t="s">
        <v>30</v>
      </c>
      <c r="AN241" s="188">
        <v>2015</v>
      </c>
      <c r="AO241" s="188" t="s">
        <v>485</v>
      </c>
      <c r="AP241" s="222">
        <f t="shared" si="13"/>
        <v>0.80840945454545454</v>
      </c>
      <c r="AQ241" s="222">
        <f t="shared" si="13"/>
        <v>11.261058155844156</v>
      </c>
      <c r="AR241" s="222">
        <f t="shared" si="13"/>
        <v>4.7948518441558443</v>
      </c>
      <c r="AS241" s="222">
        <f t="shared" si="13"/>
        <v>1.603987012987013E-2</v>
      </c>
      <c r="AT241" s="222">
        <f t="shared" si="13"/>
        <v>0.14222018181818183</v>
      </c>
      <c r="AU241" s="222">
        <f t="shared" si="12"/>
        <v>0</v>
      </c>
      <c r="AV241" s="222">
        <f t="shared" si="12"/>
        <v>0</v>
      </c>
      <c r="AW241" s="222">
        <f t="shared" si="12"/>
        <v>17.022579506493507</v>
      </c>
      <c r="AX241" s="217"/>
    </row>
    <row r="242" spans="24:50" s="127" customFormat="1" hidden="1">
      <c r="X242" s="122"/>
      <c r="Y242" s="109"/>
      <c r="Z242" s="188" t="s">
        <v>30</v>
      </c>
      <c r="AA242" s="188">
        <v>2015</v>
      </c>
      <c r="AB242" s="188" t="s">
        <v>486</v>
      </c>
      <c r="AC242" s="188">
        <v>0</v>
      </c>
      <c r="AD242" s="188">
        <v>0</v>
      </c>
      <c r="AE242" s="188">
        <v>0</v>
      </c>
      <c r="AF242" s="188">
        <v>0</v>
      </c>
      <c r="AG242" s="188">
        <v>0</v>
      </c>
      <c r="AH242" s="188">
        <v>0</v>
      </c>
      <c r="AI242" s="188">
        <v>0</v>
      </c>
      <c r="AJ242" s="188">
        <v>0</v>
      </c>
      <c r="AK242" s="217"/>
      <c r="AL242" s="221">
        <v>0.9351696664966358</v>
      </c>
      <c r="AM242" s="188" t="s">
        <v>30</v>
      </c>
      <c r="AN242" s="188">
        <v>2015</v>
      </c>
      <c r="AO242" s="188" t="s">
        <v>486</v>
      </c>
      <c r="AP242" s="222">
        <f t="shared" si="13"/>
        <v>0</v>
      </c>
      <c r="AQ242" s="222">
        <f t="shared" si="13"/>
        <v>0</v>
      </c>
      <c r="AR242" s="222">
        <f t="shared" si="13"/>
        <v>0</v>
      </c>
      <c r="AS242" s="222">
        <f t="shared" si="13"/>
        <v>0</v>
      </c>
      <c r="AT242" s="222">
        <f t="shared" si="13"/>
        <v>0</v>
      </c>
      <c r="AU242" s="222">
        <f t="shared" si="12"/>
        <v>0</v>
      </c>
      <c r="AV242" s="222">
        <f t="shared" si="12"/>
        <v>0</v>
      </c>
      <c r="AW242" s="222">
        <f t="shared" si="12"/>
        <v>0</v>
      </c>
      <c r="AX242" s="217"/>
    </row>
    <row r="243" spans="24:50" s="127" customFormat="1" hidden="1">
      <c r="X243" s="122"/>
      <c r="Y243" s="109"/>
      <c r="Z243" s="188" t="s">
        <v>30</v>
      </c>
      <c r="AA243" s="188">
        <v>2016</v>
      </c>
      <c r="AB243" s="188" t="s">
        <v>459</v>
      </c>
      <c r="AC243" s="188">
        <v>34026</v>
      </c>
      <c r="AD243" s="188">
        <v>44442</v>
      </c>
      <c r="AE243" s="188">
        <v>40939</v>
      </c>
      <c r="AF243" s="188">
        <v>24458</v>
      </c>
      <c r="AG243" s="188">
        <v>1654</v>
      </c>
      <c r="AH243" s="188">
        <v>492</v>
      </c>
      <c r="AI243" s="188">
        <v>63</v>
      </c>
      <c r="AJ243" s="188">
        <v>146075</v>
      </c>
      <c r="AK243" s="217"/>
      <c r="AL243" s="223">
        <v>0.94602138468179731</v>
      </c>
      <c r="AM243" s="188" t="s">
        <v>30</v>
      </c>
      <c r="AN243" s="188">
        <v>2016</v>
      </c>
      <c r="AO243" s="188" t="s">
        <v>459</v>
      </c>
      <c r="AP243" s="222">
        <f t="shared" si="13"/>
        <v>35.967474468291165</v>
      </c>
      <c r="AQ243" s="222">
        <f t="shared" si="13"/>
        <v>46.9777964003937</v>
      </c>
      <c r="AR243" s="222">
        <f t="shared" si="13"/>
        <v>43.27492027441874</v>
      </c>
      <c r="AS243" s="222">
        <f t="shared" si="13"/>
        <v>25.853538192719252</v>
      </c>
      <c r="AT243" s="222">
        <f t="shared" si="13"/>
        <v>1.7483748536576027</v>
      </c>
      <c r="AU243" s="222">
        <f t="shared" si="12"/>
        <v>0.52007281015691686</v>
      </c>
      <c r="AV243" s="222">
        <f t="shared" si="12"/>
        <v>6.6594689105458862E-2</v>
      </c>
      <c r="AW243" s="222">
        <f t="shared" si="12"/>
        <v>154.40982874730005</v>
      </c>
      <c r="AX243" s="217"/>
    </row>
    <row r="244" spans="24:50" s="127" customFormat="1" hidden="1">
      <c r="X244" s="122"/>
      <c r="Y244" s="109"/>
      <c r="Z244" s="188" t="s">
        <v>30</v>
      </c>
      <c r="AA244" s="188">
        <v>2016</v>
      </c>
      <c r="AB244" s="188" t="s">
        <v>487</v>
      </c>
      <c r="AC244" s="188">
        <v>778</v>
      </c>
      <c r="AD244" s="188">
        <v>11336</v>
      </c>
      <c r="AE244" s="188">
        <v>4247</v>
      </c>
      <c r="AF244" s="188">
        <v>17</v>
      </c>
      <c r="AG244" s="188">
        <v>0</v>
      </c>
      <c r="AH244" s="188">
        <v>0</v>
      </c>
      <c r="AI244" s="188">
        <v>3</v>
      </c>
      <c r="AJ244" s="188">
        <v>16380</v>
      </c>
      <c r="AK244" s="217"/>
      <c r="AL244" s="221">
        <f>VLOOKUP(AA244,pgdp!$A$13:$C$90,3,FALSE)</f>
        <v>0.94602138468179731</v>
      </c>
      <c r="AM244" s="188" t="s">
        <v>30</v>
      </c>
      <c r="AN244" s="188">
        <v>2016</v>
      </c>
      <c r="AO244" s="188" t="s">
        <v>487</v>
      </c>
      <c r="AP244" s="222">
        <f t="shared" si="13"/>
        <v>0.82239155752455551</v>
      </c>
      <c r="AQ244" s="222">
        <f t="shared" si="13"/>
        <v>11.982815804753677</v>
      </c>
      <c r="AR244" s="222">
        <f t="shared" si="13"/>
        <v>4.4893276925537116</v>
      </c>
      <c r="AS244" s="222">
        <f t="shared" si="13"/>
        <v>1.7969995472901599E-2</v>
      </c>
      <c r="AT244" s="222">
        <f t="shared" si="13"/>
        <v>0</v>
      </c>
      <c r="AU244" s="222">
        <f t="shared" si="12"/>
        <v>0</v>
      </c>
      <c r="AV244" s="222">
        <f t="shared" si="12"/>
        <v>3.1711756716885173E-3</v>
      </c>
      <c r="AW244" s="222">
        <f t="shared" si="12"/>
        <v>17.314619167419306</v>
      </c>
      <c r="AX244" s="217"/>
    </row>
    <row r="245" spans="24:50" s="127" customFormat="1" hidden="1">
      <c r="X245" s="122"/>
      <c r="Y245" s="109"/>
      <c r="Z245" s="188" t="s">
        <v>30</v>
      </c>
      <c r="AA245" s="188">
        <v>2017</v>
      </c>
      <c r="AB245" s="188" t="s">
        <v>459</v>
      </c>
      <c r="AC245" s="188">
        <v>34570</v>
      </c>
      <c r="AD245" s="188">
        <v>45920</v>
      </c>
      <c r="AE245" s="188">
        <v>38102</v>
      </c>
      <c r="AF245" s="188">
        <v>27339</v>
      </c>
      <c r="AG245" s="188">
        <v>1989</v>
      </c>
      <c r="AH245" s="188">
        <v>336</v>
      </c>
      <c r="AI245" s="188">
        <v>64</v>
      </c>
      <c r="AJ245" s="188">
        <v>148320</v>
      </c>
      <c r="AK245" s="217"/>
      <c r="AL245" s="221">
        <f>VLOOKUP(AA245,pgdp!$A$13:$C$90,3,FALSE)</f>
        <v>0.96224036736890672</v>
      </c>
      <c r="AM245" s="188" t="s">
        <v>30</v>
      </c>
      <c r="AN245" s="188">
        <v>2017</v>
      </c>
      <c r="AO245" s="188" t="s">
        <v>459</v>
      </c>
      <c r="AP245" s="222">
        <f t="shared" si="13"/>
        <v>35.926574245192157</v>
      </c>
      <c r="AQ245" s="222">
        <f t="shared" si="13"/>
        <v>47.721963822366895</v>
      </c>
      <c r="AR245" s="222">
        <f t="shared" si="13"/>
        <v>39.597174772644237</v>
      </c>
      <c r="AS245" s="222">
        <f t="shared" si="13"/>
        <v>28.411819881090782</v>
      </c>
      <c r="AT245" s="222">
        <f t="shared" si="13"/>
        <v>2.0670510897797856</v>
      </c>
      <c r="AU245" s="222">
        <f t="shared" si="12"/>
        <v>0.34918510113926998</v>
      </c>
      <c r="AV245" s="222">
        <f t="shared" si="12"/>
        <v>6.6511447836051438E-2</v>
      </c>
      <c r="AW245" s="222">
        <f t="shared" si="12"/>
        <v>154.14028036004919</v>
      </c>
      <c r="AX245" s="217"/>
    </row>
    <row r="246" spans="24:50" s="127" customFormat="1" hidden="1">
      <c r="X246" s="122"/>
      <c r="Y246" s="109"/>
      <c r="Z246" s="188" t="s">
        <v>30</v>
      </c>
      <c r="AA246" s="188">
        <v>2017</v>
      </c>
      <c r="AB246" s="188" t="s">
        <v>488</v>
      </c>
      <c r="AC246" s="188">
        <v>915</v>
      </c>
      <c r="AD246" s="188">
        <v>12859</v>
      </c>
      <c r="AE246" s="188">
        <v>7604</v>
      </c>
      <c r="AF246" s="188">
        <v>387</v>
      </c>
      <c r="AG246" s="188">
        <v>203</v>
      </c>
      <c r="AH246" s="188">
        <v>0</v>
      </c>
      <c r="AI246" s="188">
        <v>0</v>
      </c>
      <c r="AJ246" s="188">
        <v>21968</v>
      </c>
      <c r="AK246" s="217"/>
      <c r="AL246" s="223">
        <v>0.96224036736890672</v>
      </c>
      <c r="AM246" s="188" t="s">
        <v>30</v>
      </c>
      <c r="AN246" s="188">
        <v>2017</v>
      </c>
      <c r="AO246" s="188" t="s">
        <v>488</v>
      </c>
      <c r="AP246" s="222">
        <f t="shared" si="13"/>
        <v>0.9509058557810478</v>
      </c>
      <c r="AQ246" s="222">
        <f t="shared" si="13"/>
        <v>13.363604808184146</v>
      </c>
      <c r="AR246" s="222">
        <f t="shared" si="13"/>
        <v>7.9023913960208603</v>
      </c>
      <c r="AS246" s="222">
        <f t="shared" si="13"/>
        <v>0.40218641113362341</v>
      </c>
      <c r="AT246" s="222">
        <f t="shared" si="13"/>
        <v>0.21096599860497561</v>
      </c>
      <c r="AU246" s="222">
        <f t="shared" si="12"/>
        <v>0</v>
      </c>
      <c r="AV246" s="222">
        <f t="shared" si="12"/>
        <v>0</v>
      </c>
      <c r="AW246" s="222">
        <f t="shared" si="12"/>
        <v>22.830054469724651</v>
      </c>
      <c r="AX246" s="217"/>
    </row>
    <row r="247" spans="24:50" s="127" customFormat="1" hidden="1">
      <c r="X247" s="122"/>
      <c r="Y247" s="109"/>
      <c r="Z247" s="188" t="s">
        <v>30</v>
      </c>
      <c r="AA247" s="188">
        <v>2018</v>
      </c>
      <c r="AB247" s="188" t="s">
        <v>459</v>
      </c>
      <c r="AC247" s="188">
        <v>34693</v>
      </c>
      <c r="AD247" s="188">
        <v>45406</v>
      </c>
      <c r="AE247" s="188">
        <v>37853</v>
      </c>
      <c r="AF247" s="188">
        <v>27577</v>
      </c>
      <c r="AG247" s="188">
        <v>1976</v>
      </c>
      <c r="AH247" s="188">
        <v>334</v>
      </c>
      <c r="AI247" s="188">
        <v>64</v>
      </c>
      <c r="AJ247" s="188">
        <v>147901</v>
      </c>
      <c r="AK247" s="217"/>
      <c r="AL247" s="223">
        <v>0.9807153483309915</v>
      </c>
      <c r="AM247" s="188" t="s">
        <v>30</v>
      </c>
      <c r="AN247" s="188">
        <v>2018</v>
      </c>
      <c r="AO247" s="188" t="s">
        <v>459</v>
      </c>
      <c r="AP247" s="222">
        <f t="shared" si="13"/>
        <v>35.375198378450492</v>
      </c>
      <c r="AQ247" s="222">
        <f t="shared" si="13"/>
        <v>46.298857336405703</v>
      </c>
      <c r="AR247" s="222">
        <f t="shared" si="13"/>
        <v>38.597336183653375</v>
      </c>
      <c r="AS247" s="222">
        <f t="shared" si="13"/>
        <v>28.119270333569574</v>
      </c>
      <c r="AT247" s="222">
        <f t="shared" si="13"/>
        <v>2.0148557921142065</v>
      </c>
      <c r="AU247" s="222">
        <f t="shared" si="12"/>
        <v>0.34056773004359564</v>
      </c>
      <c r="AV247" s="222">
        <f t="shared" si="12"/>
        <v>6.5258487193982403E-2</v>
      </c>
      <c r="AW247" s="222">
        <f t="shared" si="12"/>
        <v>150.80930491370611</v>
      </c>
      <c r="AX247" s="217"/>
    </row>
    <row r="248" spans="24:50" s="127" customFormat="1" hidden="1">
      <c r="X248" s="122"/>
      <c r="Y248" s="109"/>
      <c r="Z248" s="188" t="s">
        <v>30</v>
      </c>
      <c r="AA248" s="188">
        <v>2018</v>
      </c>
      <c r="AB248" s="188" t="s">
        <v>489</v>
      </c>
      <c r="AC248" s="188">
        <v>915</v>
      </c>
      <c r="AD248" s="188">
        <v>12767</v>
      </c>
      <c r="AE248" s="188">
        <v>7502</v>
      </c>
      <c r="AF248" s="188">
        <v>365</v>
      </c>
      <c r="AG248" s="188">
        <v>216</v>
      </c>
      <c r="AH248" s="188">
        <v>0</v>
      </c>
      <c r="AI248" s="188">
        <v>0</v>
      </c>
      <c r="AJ248" s="188">
        <v>21764</v>
      </c>
      <c r="AK248" s="217"/>
      <c r="AL248" s="223">
        <v>0.9807153483309915</v>
      </c>
      <c r="AM248" s="188" t="s">
        <v>30</v>
      </c>
      <c r="AN248" s="188">
        <v>2018</v>
      </c>
      <c r="AO248" s="188" t="s">
        <v>489</v>
      </c>
      <c r="AP248" s="222">
        <f t="shared" si="13"/>
        <v>0.93299243410146726</v>
      </c>
      <c r="AQ248" s="222">
        <f t="shared" si="13"/>
        <v>13.018048531337083</v>
      </c>
      <c r="AR248" s="222">
        <f t="shared" si="13"/>
        <v>7.6495182957696253</v>
      </c>
      <c r="AS248" s="222">
        <f t="shared" si="13"/>
        <v>0.37217730977818086</v>
      </c>
      <c r="AT248" s="222">
        <f t="shared" si="13"/>
        <v>0.22024739427969062</v>
      </c>
      <c r="AU248" s="222">
        <f t="shared" si="12"/>
        <v>0</v>
      </c>
      <c r="AV248" s="222">
        <f t="shared" si="12"/>
        <v>0</v>
      </c>
      <c r="AW248" s="222">
        <f t="shared" si="12"/>
        <v>22.19196430140364</v>
      </c>
      <c r="AX248" s="217"/>
    </row>
    <row r="249" spans="24:50" hidden="1">
      <c r="X249" s="122"/>
      <c r="Y249" s="109"/>
      <c r="Z249" s="188" t="s">
        <v>30</v>
      </c>
      <c r="AA249" s="188">
        <v>2018</v>
      </c>
      <c r="AB249" s="188" t="s">
        <v>490</v>
      </c>
      <c r="AC249" s="188">
        <v>0</v>
      </c>
      <c r="AD249" s="188">
        <v>19</v>
      </c>
      <c r="AE249" s="188">
        <v>300</v>
      </c>
      <c r="AF249" s="188">
        <v>256</v>
      </c>
      <c r="AG249" s="188">
        <v>0</v>
      </c>
      <c r="AH249" s="188">
        <v>0</v>
      </c>
      <c r="AI249" s="188">
        <v>0</v>
      </c>
      <c r="AJ249" s="188">
        <v>575</v>
      </c>
      <c r="AK249" s="217"/>
      <c r="AL249" s="221">
        <v>0.9807153483309915</v>
      </c>
      <c r="AM249" s="188" t="s">
        <v>30</v>
      </c>
      <c r="AN249" s="188">
        <v>2018</v>
      </c>
      <c r="AO249" s="188" t="s">
        <v>490</v>
      </c>
      <c r="AP249" s="222">
        <f t="shared" si="13"/>
        <v>0</v>
      </c>
      <c r="AQ249" s="222">
        <f t="shared" si="13"/>
        <v>1.9373613385713525E-2</v>
      </c>
      <c r="AR249" s="222">
        <f t="shared" si="13"/>
        <v>0.30589915872179252</v>
      </c>
      <c r="AS249" s="222">
        <f t="shared" si="13"/>
        <v>0.26103394877592961</v>
      </c>
      <c r="AT249" s="222">
        <f t="shared" si="13"/>
        <v>0</v>
      </c>
      <c r="AU249" s="222">
        <f t="shared" si="12"/>
        <v>0</v>
      </c>
      <c r="AV249" s="222">
        <f t="shared" si="12"/>
        <v>0</v>
      </c>
      <c r="AW249" s="222">
        <f t="shared" si="12"/>
        <v>0.58630672088343572</v>
      </c>
      <c r="AX249" s="217"/>
    </row>
    <row r="250" spans="24:50" hidden="1">
      <c r="X250" s="122"/>
      <c r="Y250" s="109"/>
      <c r="Z250" s="188" t="s">
        <v>30</v>
      </c>
      <c r="AA250" s="188">
        <v>2019</v>
      </c>
      <c r="AB250" s="188" t="s">
        <v>459</v>
      </c>
      <c r="AC250" s="188">
        <v>37963</v>
      </c>
      <c r="AD250" s="188">
        <v>52045</v>
      </c>
      <c r="AE250" s="188">
        <v>43881</v>
      </c>
      <c r="AF250" s="188">
        <v>40178</v>
      </c>
      <c r="AG250" s="188">
        <v>1958</v>
      </c>
      <c r="AH250" s="188">
        <v>396</v>
      </c>
      <c r="AI250" s="188">
        <v>69</v>
      </c>
      <c r="AJ250" s="188">
        <v>176491</v>
      </c>
      <c r="AK250" s="217"/>
      <c r="AL250" s="223">
        <v>1</v>
      </c>
      <c r="AM250" s="188" t="s">
        <v>30</v>
      </c>
      <c r="AN250" s="188">
        <v>2019</v>
      </c>
      <c r="AO250" s="188" t="s">
        <v>459</v>
      </c>
      <c r="AP250" s="222">
        <f t="shared" si="13"/>
        <v>37.963000000000001</v>
      </c>
      <c r="AQ250" s="222">
        <f t="shared" si="13"/>
        <v>52.045000000000002</v>
      </c>
      <c r="AR250" s="222">
        <f t="shared" si="13"/>
        <v>43.881</v>
      </c>
      <c r="AS250" s="222">
        <f t="shared" si="13"/>
        <v>40.177999999999997</v>
      </c>
      <c r="AT250" s="222">
        <f t="shared" si="13"/>
        <v>1.958</v>
      </c>
      <c r="AU250" s="222">
        <f t="shared" si="12"/>
        <v>0.39600000000000002</v>
      </c>
      <c r="AV250" s="222">
        <f t="shared" si="12"/>
        <v>6.9000000000000006E-2</v>
      </c>
      <c r="AW250" s="222">
        <f t="shared" si="12"/>
        <v>176.49100000000001</v>
      </c>
      <c r="AX250" s="217"/>
    </row>
    <row r="251" spans="24:50" s="127" customFormat="1" hidden="1">
      <c r="X251" s="122"/>
      <c r="Y251" s="109"/>
      <c r="Z251" s="188" t="s">
        <v>30</v>
      </c>
      <c r="AA251" s="188">
        <v>2019</v>
      </c>
      <c r="AB251" s="188" t="s">
        <v>491</v>
      </c>
      <c r="AC251" s="188">
        <v>991</v>
      </c>
      <c r="AD251" s="188">
        <v>9362</v>
      </c>
      <c r="AE251" s="188">
        <v>6660</v>
      </c>
      <c r="AF251" s="188">
        <v>314</v>
      </c>
      <c r="AG251" s="188">
        <v>346</v>
      </c>
      <c r="AH251" s="188">
        <v>0</v>
      </c>
      <c r="AI251" s="188">
        <v>9</v>
      </c>
      <c r="AJ251" s="188">
        <v>17682</v>
      </c>
      <c r="AK251" s="217"/>
      <c r="AL251" s="223">
        <v>1</v>
      </c>
      <c r="AM251" s="188" t="s">
        <v>30</v>
      </c>
      <c r="AN251" s="188">
        <v>2019</v>
      </c>
      <c r="AO251" s="188" t="s">
        <v>491</v>
      </c>
      <c r="AP251" s="222">
        <f t="shared" si="13"/>
        <v>0.99099999999999999</v>
      </c>
      <c r="AQ251" s="222">
        <f t="shared" si="13"/>
        <v>9.3620000000000001</v>
      </c>
      <c r="AR251" s="222">
        <f t="shared" si="13"/>
        <v>6.66</v>
      </c>
      <c r="AS251" s="222">
        <f t="shared" si="13"/>
        <v>0.314</v>
      </c>
      <c r="AT251" s="222">
        <f t="shared" si="13"/>
        <v>0.34599999999999997</v>
      </c>
      <c r="AU251" s="222">
        <f t="shared" si="12"/>
        <v>0</v>
      </c>
      <c r="AV251" s="222">
        <f t="shared" si="12"/>
        <v>8.9999999999999993E-3</v>
      </c>
      <c r="AW251" s="222">
        <f t="shared" si="12"/>
        <v>17.681999999999999</v>
      </c>
      <c r="AX251" s="217"/>
    </row>
    <row r="252" spans="24:50" hidden="1">
      <c r="X252" s="122"/>
      <c r="Y252" s="109"/>
      <c r="Z252" s="188" t="s">
        <v>46</v>
      </c>
      <c r="AA252" s="188">
        <v>2001</v>
      </c>
      <c r="AB252" s="188" t="s">
        <v>459</v>
      </c>
      <c r="AC252" s="188">
        <v>0</v>
      </c>
      <c r="AD252" s="188">
        <v>16685</v>
      </c>
      <c r="AE252" s="188">
        <v>2475</v>
      </c>
      <c r="AF252" s="188">
        <v>11421</v>
      </c>
      <c r="AG252" s="188">
        <v>968</v>
      </c>
      <c r="AH252" s="188">
        <v>81</v>
      </c>
      <c r="AI252" s="188">
        <v>566</v>
      </c>
      <c r="AJ252" s="188">
        <v>32196</v>
      </c>
      <c r="AK252" s="217"/>
      <c r="AL252" s="221">
        <v>0.71033050332114134</v>
      </c>
      <c r="AM252" s="188" t="s">
        <v>46</v>
      </c>
      <c r="AN252" s="188">
        <v>2001</v>
      </c>
      <c r="AO252" s="188" t="s">
        <v>459</v>
      </c>
      <c r="AP252" s="222">
        <f t="shared" si="13"/>
        <v>0</v>
      </c>
      <c r="AQ252" s="222">
        <f t="shared" si="13"/>
        <v>23.489065895367709</v>
      </c>
      <c r="AR252" s="222">
        <f t="shared" si="13"/>
        <v>3.4842935625433071</v>
      </c>
      <c r="AS252" s="222">
        <f t="shared" si="13"/>
        <v>16.078431021336208</v>
      </c>
      <c r="AT252" s="222">
        <f t="shared" si="13"/>
        <v>1.3627459266836044</v>
      </c>
      <c r="AU252" s="222">
        <f t="shared" si="12"/>
        <v>0.11403142568323552</v>
      </c>
      <c r="AV252" s="222">
        <f t="shared" si="12"/>
        <v>0.79681218440384316</v>
      </c>
      <c r="AW252" s="222">
        <f t="shared" si="12"/>
        <v>45.32538001601791</v>
      </c>
      <c r="AX252" s="217"/>
    </row>
    <row r="253" spans="24:50" s="127" customFormat="1" hidden="1">
      <c r="X253" s="122"/>
      <c r="Y253" s="109"/>
      <c r="Z253" s="188" t="s">
        <v>46</v>
      </c>
      <c r="AA253" s="188">
        <v>2001</v>
      </c>
      <c r="AB253" s="188" t="s">
        <v>460</v>
      </c>
      <c r="AC253" s="188"/>
      <c r="AD253" s="188">
        <v>21769</v>
      </c>
      <c r="AE253" s="188"/>
      <c r="AF253" s="188"/>
      <c r="AG253" s="188"/>
      <c r="AH253" s="188"/>
      <c r="AI253" s="188"/>
      <c r="AJ253" s="188">
        <v>21769</v>
      </c>
      <c r="AK253" s="217"/>
      <c r="AL253" s="223">
        <v>0.71033050332114134</v>
      </c>
      <c r="AM253" s="188" t="s">
        <v>46</v>
      </c>
      <c r="AN253" s="188">
        <v>2001</v>
      </c>
      <c r="AO253" s="188" t="s">
        <v>460</v>
      </c>
      <c r="AP253" s="222">
        <f t="shared" si="13"/>
        <v>0</v>
      </c>
      <c r="AQ253" s="222">
        <f t="shared" si="13"/>
        <v>30.646297601214243</v>
      </c>
      <c r="AR253" s="222">
        <f t="shared" si="13"/>
        <v>0</v>
      </c>
      <c r="AS253" s="222">
        <f t="shared" si="13"/>
        <v>0</v>
      </c>
      <c r="AT253" s="222">
        <f t="shared" si="13"/>
        <v>0</v>
      </c>
      <c r="AU253" s="222">
        <f t="shared" si="12"/>
        <v>0</v>
      </c>
      <c r="AV253" s="222">
        <f t="shared" si="12"/>
        <v>0</v>
      </c>
      <c r="AW253" s="222">
        <f t="shared" si="12"/>
        <v>30.646297601214243</v>
      </c>
      <c r="AX253" s="217"/>
    </row>
    <row r="254" spans="24:50" hidden="1">
      <c r="X254" s="122"/>
      <c r="Y254" s="109"/>
      <c r="Z254" s="188" t="s">
        <v>46</v>
      </c>
      <c r="AA254" s="188">
        <v>2001</v>
      </c>
      <c r="AB254" s="188" t="s">
        <v>461</v>
      </c>
      <c r="AC254" s="188"/>
      <c r="AD254" s="188">
        <v>1568</v>
      </c>
      <c r="AE254" s="188">
        <v>-79</v>
      </c>
      <c r="AF254" s="188">
        <v>77</v>
      </c>
      <c r="AG254" s="188">
        <v>-5</v>
      </c>
      <c r="AH254" s="188"/>
      <c r="AI254" s="188">
        <v>178</v>
      </c>
      <c r="AJ254" s="188">
        <v>1739</v>
      </c>
      <c r="AK254" s="217"/>
      <c r="AL254" s="221">
        <v>0.71033050332114134</v>
      </c>
      <c r="AM254" s="188" t="s">
        <v>46</v>
      </c>
      <c r="AN254" s="188">
        <v>2001</v>
      </c>
      <c r="AO254" s="188" t="s">
        <v>461</v>
      </c>
      <c r="AP254" s="222">
        <f t="shared" si="13"/>
        <v>0</v>
      </c>
      <c r="AQ254" s="222">
        <f t="shared" si="13"/>
        <v>2.2074231539668303</v>
      </c>
      <c r="AR254" s="222">
        <f t="shared" si="13"/>
        <v>-0.11121583492562474</v>
      </c>
      <c r="AS254" s="222">
        <f t="shared" si="13"/>
        <v>0.108400244168014</v>
      </c>
      <c r="AT254" s="222">
        <f t="shared" si="13"/>
        <v>-7.0389768940268826E-3</v>
      </c>
      <c r="AU254" s="222">
        <f t="shared" si="12"/>
        <v>0</v>
      </c>
      <c r="AV254" s="222">
        <f t="shared" si="12"/>
        <v>0.25058757742735704</v>
      </c>
      <c r="AW254" s="222">
        <f t="shared" si="12"/>
        <v>2.4481561637425497</v>
      </c>
      <c r="AX254" s="217"/>
    </row>
    <row r="255" spans="24:50" s="127" customFormat="1" hidden="1">
      <c r="X255" s="122"/>
      <c r="Y255" s="109"/>
      <c r="Z255" s="188" t="s">
        <v>46</v>
      </c>
      <c r="AA255" s="188">
        <v>2002</v>
      </c>
      <c r="AB255" s="188" t="s">
        <v>459</v>
      </c>
      <c r="AC255" s="188">
        <v>0</v>
      </c>
      <c r="AD255" s="188">
        <v>20089</v>
      </c>
      <c r="AE255" s="188">
        <v>3456</v>
      </c>
      <c r="AF255" s="188">
        <v>15748</v>
      </c>
      <c r="AG255" s="188">
        <v>935</v>
      </c>
      <c r="AH255" s="188">
        <v>69</v>
      </c>
      <c r="AI255" s="188">
        <v>1721</v>
      </c>
      <c r="AJ255" s="188">
        <v>42018</v>
      </c>
      <c r="AK255" s="217"/>
      <c r="AL255" s="223">
        <v>0.72177029812501559</v>
      </c>
      <c r="AM255" s="188" t="s">
        <v>46</v>
      </c>
      <c r="AN255" s="188">
        <v>2002</v>
      </c>
      <c r="AO255" s="188" t="s">
        <v>459</v>
      </c>
      <c r="AP255" s="222">
        <f t="shared" si="13"/>
        <v>0</v>
      </c>
      <c r="AQ255" s="222">
        <f t="shared" si="13"/>
        <v>27.832954684040551</v>
      </c>
      <c r="AR255" s="222">
        <f t="shared" si="13"/>
        <v>4.7882269594327314</v>
      </c>
      <c r="AS255" s="222">
        <f t="shared" si="13"/>
        <v>21.818575855655865</v>
      </c>
      <c r="AT255" s="222">
        <f t="shared" si="13"/>
        <v>1.2954259858418995</v>
      </c>
      <c r="AU255" s="222">
        <f t="shared" si="12"/>
        <v>9.5598281308118788E-2</v>
      </c>
      <c r="AV255" s="222">
        <f t="shared" si="12"/>
        <v>2.384415103351774</v>
      </c>
      <c r="AW255" s="222">
        <f t="shared" si="12"/>
        <v>58.215196869630944</v>
      </c>
      <c r="AX255" s="217"/>
    </row>
    <row r="256" spans="24:50" hidden="1">
      <c r="X256" s="122"/>
      <c r="Y256" s="109"/>
      <c r="Z256" s="188" t="s">
        <v>46</v>
      </c>
      <c r="AA256" s="188">
        <v>2002</v>
      </c>
      <c r="AB256" s="188" t="s">
        <v>462</v>
      </c>
      <c r="AC256" s="188"/>
      <c r="AD256" s="188">
        <v>15194</v>
      </c>
      <c r="AE256" s="188">
        <v>63</v>
      </c>
      <c r="AF256" s="188">
        <v>34</v>
      </c>
      <c r="AG256" s="188"/>
      <c r="AH256" s="188"/>
      <c r="AI256" s="188"/>
      <c r="AJ256" s="188">
        <v>15291</v>
      </c>
      <c r="AK256" s="217"/>
      <c r="AL256" s="223">
        <v>0.72177029812501559</v>
      </c>
      <c r="AM256" s="188" t="s">
        <v>46</v>
      </c>
      <c r="AN256" s="188">
        <v>2002</v>
      </c>
      <c r="AO256" s="188" t="s">
        <v>462</v>
      </c>
      <c r="AP256" s="222">
        <f t="shared" si="13"/>
        <v>0</v>
      </c>
      <c r="AQ256" s="222">
        <f t="shared" si="13"/>
        <v>21.051018640515313</v>
      </c>
      <c r="AR256" s="222">
        <f t="shared" si="13"/>
        <v>8.7285387281325857E-2</v>
      </c>
      <c r="AS256" s="222">
        <f t="shared" si="13"/>
        <v>4.7106399485159982E-2</v>
      </c>
      <c r="AT256" s="222">
        <f t="shared" si="13"/>
        <v>0</v>
      </c>
      <c r="AU256" s="222">
        <f t="shared" si="12"/>
        <v>0</v>
      </c>
      <c r="AV256" s="222">
        <f t="shared" si="12"/>
        <v>0</v>
      </c>
      <c r="AW256" s="222">
        <f t="shared" si="12"/>
        <v>21.185410427281802</v>
      </c>
      <c r="AX256" s="217"/>
    </row>
    <row r="257" spans="24:50" hidden="1">
      <c r="X257" s="122"/>
      <c r="Y257" s="109"/>
      <c r="Z257" s="188" t="s">
        <v>46</v>
      </c>
      <c r="AA257" s="188">
        <v>2003</v>
      </c>
      <c r="AB257" s="188" t="s">
        <v>459</v>
      </c>
      <c r="AC257" s="188">
        <v>0</v>
      </c>
      <c r="AD257" s="188">
        <v>22348</v>
      </c>
      <c r="AE257" s="188">
        <v>4107</v>
      </c>
      <c r="AF257" s="188">
        <v>17554</v>
      </c>
      <c r="AG257" s="188">
        <v>1207</v>
      </c>
      <c r="AH257" s="188">
        <v>91</v>
      </c>
      <c r="AI257" s="188">
        <v>2176</v>
      </c>
      <c r="AJ257" s="188">
        <v>47482</v>
      </c>
      <c r="AK257" s="217"/>
      <c r="AL257" s="223">
        <v>0.73558157581522121</v>
      </c>
      <c r="AM257" s="188" t="s">
        <v>46</v>
      </c>
      <c r="AN257" s="188">
        <v>2003</v>
      </c>
      <c r="AO257" s="188" t="s">
        <v>459</v>
      </c>
      <c r="AP257" s="222">
        <f t="shared" si="13"/>
        <v>0</v>
      </c>
      <c r="AQ257" s="222">
        <f t="shared" si="13"/>
        <v>30.381402600020856</v>
      </c>
      <c r="AR257" s="222">
        <f t="shared" si="13"/>
        <v>5.583337232785289</v>
      </c>
      <c r="AS257" s="222">
        <f t="shared" si="13"/>
        <v>23.864110490458479</v>
      </c>
      <c r="AT257" s="222">
        <f t="shared" si="13"/>
        <v>1.6408785098543572</v>
      </c>
      <c r="AU257" s="222">
        <f t="shared" si="12"/>
        <v>0.12371163578852237</v>
      </c>
      <c r="AV257" s="222">
        <f t="shared" si="12"/>
        <v>2.9582035107233482</v>
      </c>
      <c r="AW257" s="222">
        <f t="shared" si="12"/>
        <v>64.550284511105701</v>
      </c>
      <c r="AX257" s="217"/>
    </row>
    <row r="258" spans="24:50" s="127" customFormat="1" hidden="1">
      <c r="X258" s="122"/>
      <c r="Y258" s="109"/>
      <c r="Z258" s="188" t="s">
        <v>46</v>
      </c>
      <c r="AA258" s="188">
        <v>2003</v>
      </c>
      <c r="AB258" s="188" t="s">
        <v>463</v>
      </c>
      <c r="AC258" s="188"/>
      <c r="AD258" s="188">
        <v>19065</v>
      </c>
      <c r="AE258" s="188">
        <v>484</v>
      </c>
      <c r="AF258" s="188">
        <v>486</v>
      </c>
      <c r="AG258" s="188"/>
      <c r="AH258" s="188"/>
      <c r="AI258" s="188"/>
      <c r="AJ258" s="188">
        <v>20036</v>
      </c>
      <c r="AK258" s="217"/>
      <c r="AL258" s="221">
        <v>0.73558157581522121</v>
      </c>
      <c r="AM258" s="188" t="s">
        <v>46</v>
      </c>
      <c r="AN258" s="188">
        <v>2003</v>
      </c>
      <c r="AO258" s="188" t="s">
        <v>463</v>
      </c>
      <c r="AP258" s="222">
        <f t="shared" si="13"/>
        <v>0</v>
      </c>
      <c r="AQ258" s="222">
        <f t="shared" si="13"/>
        <v>25.918267431958011</v>
      </c>
      <c r="AR258" s="222">
        <f t="shared" si="13"/>
        <v>0.6579827661719212</v>
      </c>
      <c r="AS258" s="222">
        <f t="shared" si="13"/>
        <v>0.66070170322221844</v>
      </c>
      <c r="AT258" s="222">
        <f t="shared" si="13"/>
        <v>0</v>
      </c>
      <c r="AU258" s="222">
        <f t="shared" si="12"/>
        <v>0</v>
      </c>
      <c r="AV258" s="222">
        <f t="shared" si="12"/>
        <v>0</v>
      </c>
      <c r="AW258" s="222">
        <f t="shared" si="12"/>
        <v>27.238311369877298</v>
      </c>
      <c r="AX258" s="217"/>
    </row>
    <row r="259" spans="24:50" hidden="1">
      <c r="X259" s="122"/>
      <c r="Y259" s="109"/>
      <c r="Z259" s="188" t="s">
        <v>46</v>
      </c>
      <c r="AA259" s="188">
        <v>2004</v>
      </c>
      <c r="AB259" s="188" t="s">
        <v>459</v>
      </c>
      <c r="AC259" s="188">
        <v>0</v>
      </c>
      <c r="AD259" s="188">
        <v>27788</v>
      </c>
      <c r="AE259" s="188">
        <v>4176</v>
      </c>
      <c r="AF259" s="188">
        <v>18951</v>
      </c>
      <c r="AG259" s="188">
        <v>1023</v>
      </c>
      <c r="AH259" s="188">
        <v>58</v>
      </c>
      <c r="AI259" s="188">
        <v>1300</v>
      </c>
      <c r="AJ259" s="188">
        <v>53297</v>
      </c>
      <c r="AK259" s="217"/>
      <c r="AL259" s="223">
        <v>0.75378638244667995</v>
      </c>
      <c r="AM259" s="188" t="s">
        <v>46</v>
      </c>
      <c r="AN259" s="188">
        <v>2004</v>
      </c>
      <c r="AO259" s="188" t="s">
        <v>459</v>
      </c>
      <c r="AP259" s="222">
        <f t="shared" si="13"/>
        <v>0</v>
      </c>
      <c r="AQ259" s="222">
        <f t="shared" si="13"/>
        <v>36.864555591737052</v>
      </c>
      <c r="AR259" s="222">
        <f t="shared" si="13"/>
        <v>5.5400310979953193</v>
      </c>
      <c r="AS259" s="222">
        <f t="shared" si="13"/>
        <v>25.141075033072148</v>
      </c>
      <c r="AT259" s="222">
        <f t="shared" si="13"/>
        <v>1.3571484227129338</v>
      </c>
      <c r="AU259" s="222">
        <f t="shared" si="12"/>
        <v>7.6944876361046105E-2</v>
      </c>
      <c r="AV259" s="222">
        <f t="shared" si="12"/>
        <v>1.7246265391268953</v>
      </c>
      <c r="AW259" s="222">
        <f t="shared" si="12"/>
        <v>70.705708196804721</v>
      </c>
      <c r="AX259" s="217"/>
    </row>
    <row r="260" spans="24:50" hidden="1">
      <c r="X260" s="122"/>
      <c r="Y260" s="109"/>
      <c r="Z260" s="188" t="s">
        <v>46</v>
      </c>
      <c r="AA260" s="188">
        <v>2004</v>
      </c>
      <c r="AB260" s="188" t="s">
        <v>464</v>
      </c>
      <c r="AC260" s="188"/>
      <c r="AD260" s="188">
        <v>11998</v>
      </c>
      <c r="AE260" s="188">
        <v>519</v>
      </c>
      <c r="AF260" s="188">
        <v>261</v>
      </c>
      <c r="AG260" s="188"/>
      <c r="AH260" s="188"/>
      <c r="AI260" s="188">
        <v>2078</v>
      </c>
      <c r="AJ260" s="188">
        <v>14855</v>
      </c>
      <c r="AK260" s="217"/>
      <c r="AL260" s="223">
        <v>0.75378638244667995</v>
      </c>
      <c r="AM260" s="188" t="s">
        <v>46</v>
      </c>
      <c r="AN260" s="188">
        <v>2004</v>
      </c>
      <c r="AO260" s="188" t="s">
        <v>464</v>
      </c>
      <c r="AP260" s="222">
        <f t="shared" si="13"/>
        <v>0</v>
      </c>
      <c r="AQ260" s="222">
        <f t="shared" si="13"/>
        <v>15.916976320341915</v>
      </c>
      <c r="AR260" s="222">
        <f t="shared" si="13"/>
        <v>0.68852397985142977</v>
      </c>
      <c r="AS260" s="222">
        <f t="shared" si="13"/>
        <v>0.34625194362470746</v>
      </c>
      <c r="AT260" s="222">
        <f t="shared" si="13"/>
        <v>0</v>
      </c>
      <c r="AU260" s="222">
        <f t="shared" si="12"/>
        <v>0</v>
      </c>
      <c r="AV260" s="222">
        <f t="shared" si="12"/>
        <v>2.756749191004376</v>
      </c>
      <c r="AW260" s="222">
        <f t="shared" si="12"/>
        <v>19.7071747990231</v>
      </c>
      <c r="AX260" s="217"/>
    </row>
    <row r="261" spans="24:50" s="127" customFormat="1" hidden="1">
      <c r="X261" s="122"/>
      <c r="Y261" s="109"/>
      <c r="Z261" s="188" t="s">
        <v>46</v>
      </c>
      <c r="AA261" s="188">
        <v>2004</v>
      </c>
      <c r="AB261" s="188" t="s">
        <v>465</v>
      </c>
      <c r="AC261" s="188"/>
      <c r="AD261" s="188"/>
      <c r="AE261" s="188"/>
      <c r="AF261" s="188"/>
      <c r="AG261" s="188"/>
      <c r="AH261" s="188"/>
      <c r="AI261" s="188"/>
      <c r="AJ261" s="188">
        <v>0</v>
      </c>
      <c r="AK261" s="217"/>
      <c r="AL261" s="221">
        <v>0.75378638244667995</v>
      </c>
      <c r="AM261" s="188" t="s">
        <v>46</v>
      </c>
      <c r="AN261" s="188">
        <v>2004</v>
      </c>
      <c r="AO261" s="188" t="s">
        <v>465</v>
      </c>
      <c r="AP261" s="222">
        <f t="shared" si="13"/>
        <v>0</v>
      </c>
      <c r="AQ261" s="222">
        <f t="shared" si="13"/>
        <v>0</v>
      </c>
      <c r="AR261" s="222">
        <f t="shared" si="13"/>
        <v>0</v>
      </c>
      <c r="AS261" s="222">
        <f t="shared" si="13"/>
        <v>0</v>
      </c>
      <c r="AT261" s="222">
        <f t="shared" si="13"/>
        <v>0</v>
      </c>
      <c r="AU261" s="222">
        <f t="shared" si="12"/>
        <v>0</v>
      </c>
      <c r="AV261" s="222">
        <f t="shared" si="12"/>
        <v>0</v>
      </c>
      <c r="AW261" s="222">
        <f t="shared" si="12"/>
        <v>0</v>
      </c>
      <c r="AX261" s="217"/>
    </row>
    <row r="262" spans="24:50" hidden="1">
      <c r="X262" s="122"/>
      <c r="Y262" s="109"/>
      <c r="Z262" s="188" t="s">
        <v>46</v>
      </c>
      <c r="AA262" s="188">
        <v>2005</v>
      </c>
      <c r="AB262" s="188" t="s">
        <v>459</v>
      </c>
      <c r="AC262" s="188">
        <v>0</v>
      </c>
      <c r="AD262" s="188">
        <v>34830</v>
      </c>
      <c r="AE262" s="188">
        <v>3076</v>
      </c>
      <c r="AF262" s="188">
        <v>20658</v>
      </c>
      <c r="AG262" s="188">
        <v>838</v>
      </c>
      <c r="AH262" s="188">
        <v>175</v>
      </c>
      <c r="AI262" s="188">
        <v>762</v>
      </c>
      <c r="AJ262" s="188">
        <v>60340</v>
      </c>
      <c r="AK262" s="217"/>
      <c r="AL262" s="223">
        <v>0.77750760344715164</v>
      </c>
      <c r="AM262" s="188" t="s">
        <v>46</v>
      </c>
      <c r="AN262" s="188">
        <v>2005</v>
      </c>
      <c r="AO262" s="188" t="s">
        <v>459</v>
      </c>
      <c r="AP262" s="222">
        <f t="shared" si="13"/>
        <v>0</v>
      </c>
      <c r="AQ262" s="222">
        <f t="shared" si="13"/>
        <v>44.796989567147619</v>
      </c>
      <c r="AR262" s="222">
        <f t="shared" si="13"/>
        <v>3.9562314070785551</v>
      </c>
      <c r="AS262" s="222">
        <f t="shared" si="13"/>
        <v>26.569515086940438</v>
      </c>
      <c r="AT262" s="222">
        <f t="shared" si="13"/>
        <v>1.0778029646072267</v>
      </c>
      <c r="AU262" s="222">
        <f t="shared" si="12"/>
        <v>0.22507818473301272</v>
      </c>
      <c r="AV262" s="222">
        <f t="shared" si="12"/>
        <v>0.98005472438031827</v>
      </c>
      <c r="AW262" s="222">
        <f t="shared" si="12"/>
        <v>77.606958095942787</v>
      </c>
      <c r="AX262" s="217"/>
    </row>
    <row r="263" spans="24:50" hidden="1">
      <c r="X263" s="122"/>
      <c r="Y263" s="109"/>
      <c r="Z263" s="188" t="s">
        <v>46</v>
      </c>
      <c r="AA263" s="188">
        <v>2005</v>
      </c>
      <c r="AB263" s="188" t="s">
        <v>466</v>
      </c>
      <c r="AC263" s="188"/>
      <c r="AD263" s="188">
        <v>3449</v>
      </c>
      <c r="AE263" s="188">
        <v>646</v>
      </c>
      <c r="AF263" s="188">
        <v>254</v>
      </c>
      <c r="AG263" s="188"/>
      <c r="AH263" s="188"/>
      <c r="AI263" s="188">
        <v>1511</v>
      </c>
      <c r="AJ263" s="188">
        <v>5859</v>
      </c>
      <c r="AK263" s="217"/>
      <c r="AL263" s="221">
        <v>0.77750760344715164</v>
      </c>
      <c r="AM263" s="188" t="s">
        <v>46</v>
      </c>
      <c r="AN263" s="188">
        <v>2005</v>
      </c>
      <c r="AO263" s="188" t="s">
        <v>466</v>
      </c>
      <c r="AP263" s="222">
        <f t="shared" si="13"/>
        <v>0</v>
      </c>
      <c r="AQ263" s="222">
        <f t="shared" si="13"/>
        <v>4.4359694808237764</v>
      </c>
      <c r="AR263" s="222">
        <f t="shared" si="13"/>
        <v>0.8308600419287212</v>
      </c>
      <c r="AS263" s="222">
        <f t="shared" si="13"/>
        <v>0.32668490812677276</v>
      </c>
      <c r="AT263" s="222">
        <f t="shared" si="13"/>
        <v>0</v>
      </c>
      <c r="AU263" s="222">
        <f t="shared" si="12"/>
        <v>0</v>
      </c>
      <c r="AV263" s="222">
        <f t="shared" si="12"/>
        <v>1.9433893550376129</v>
      </c>
      <c r="AW263" s="222">
        <f t="shared" si="12"/>
        <v>7.5356176248612661</v>
      </c>
      <c r="AX263" s="217"/>
    </row>
    <row r="264" spans="24:50" hidden="1">
      <c r="X264" s="122"/>
      <c r="Y264" s="109"/>
      <c r="Z264" s="188" t="s">
        <v>46</v>
      </c>
      <c r="AA264" s="188">
        <v>2005</v>
      </c>
      <c r="AB264" s="188" t="s">
        <v>467</v>
      </c>
      <c r="AC264" s="188"/>
      <c r="AD264" s="188">
        <v>2077</v>
      </c>
      <c r="AE264" s="188">
        <v>140</v>
      </c>
      <c r="AF264" s="188">
        <v>6</v>
      </c>
      <c r="AG264" s="188"/>
      <c r="AH264" s="188"/>
      <c r="AI264" s="188">
        <v>4</v>
      </c>
      <c r="AJ264" s="188">
        <v>2227</v>
      </c>
      <c r="AK264" s="217"/>
      <c r="AL264" s="223">
        <v>0.77750760344715164</v>
      </c>
      <c r="AM264" s="188" t="s">
        <v>46</v>
      </c>
      <c r="AN264" s="188">
        <v>2005</v>
      </c>
      <c r="AO264" s="188" t="s">
        <v>467</v>
      </c>
      <c r="AP264" s="222">
        <f t="shared" si="13"/>
        <v>0</v>
      </c>
      <c r="AQ264" s="222">
        <f t="shared" si="13"/>
        <v>2.6713565125169567</v>
      </c>
      <c r="AR264" s="222">
        <f t="shared" si="13"/>
        <v>0.1800625477864102</v>
      </c>
      <c r="AS264" s="222">
        <f t="shared" si="13"/>
        <v>7.7169663337032937E-3</v>
      </c>
      <c r="AT264" s="222">
        <f t="shared" si="13"/>
        <v>0</v>
      </c>
      <c r="AU264" s="222">
        <f t="shared" si="12"/>
        <v>0</v>
      </c>
      <c r="AV264" s="222">
        <f t="shared" si="12"/>
        <v>5.1446442224688622E-3</v>
      </c>
      <c r="AW264" s="222">
        <f t="shared" si="12"/>
        <v>2.864280670859539</v>
      </c>
      <c r="AX264" s="217"/>
    </row>
    <row r="265" spans="24:50" s="127" customFormat="1" hidden="1">
      <c r="X265" s="122"/>
      <c r="Y265" s="109"/>
      <c r="Z265" s="188" t="s">
        <v>46</v>
      </c>
      <c r="AA265" s="188">
        <v>2006</v>
      </c>
      <c r="AB265" s="188" t="s">
        <v>459</v>
      </c>
      <c r="AC265" s="188">
        <v>0</v>
      </c>
      <c r="AD265" s="188">
        <v>33444</v>
      </c>
      <c r="AE265" s="188">
        <v>2868</v>
      </c>
      <c r="AF265" s="188">
        <v>19765</v>
      </c>
      <c r="AG265" s="188">
        <v>1298</v>
      </c>
      <c r="AH265" s="188">
        <v>276</v>
      </c>
      <c r="AI265" s="188">
        <v>-1281</v>
      </c>
      <c r="AJ265" s="188">
        <v>56371</v>
      </c>
      <c r="AK265" s="217"/>
      <c r="AL265" s="221">
        <v>0.80275228380407149</v>
      </c>
      <c r="AM265" s="188" t="s">
        <v>46</v>
      </c>
      <c r="AN265" s="188">
        <v>2006</v>
      </c>
      <c r="AO265" s="188" t="s">
        <v>459</v>
      </c>
      <c r="AP265" s="222">
        <f t="shared" si="13"/>
        <v>0</v>
      </c>
      <c r="AQ265" s="222">
        <f t="shared" si="13"/>
        <v>41.661669078680205</v>
      </c>
      <c r="AR265" s="222">
        <f t="shared" si="13"/>
        <v>3.5727086149280836</v>
      </c>
      <c r="AS265" s="222">
        <f t="shared" si="13"/>
        <v>24.621543156922446</v>
      </c>
      <c r="AT265" s="222">
        <f t="shared" si="13"/>
        <v>1.6169371625441604</v>
      </c>
      <c r="AU265" s="222">
        <f t="shared" si="12"/>
        <v>0.34381714704328836</v>
      </c>
      <c r="AV265" s="222">
        <f t="shared" si="12"/>
        <v>-1.5957600194291754</v>
      </c>
      <c r="AW265" s="222">
        <f t="shared" si="12"/>
        <v>70.22216085498988</v>
      </c>
      <c r="AX265" s="217"/>
    </row>
    <row r="266" spans="24:50" hidden="1">
      <c r="X266" s="122"/>
      <c r="Y266" s="109"/>
      <c r="Z266" s="188" t="s">
        <v>46</v>
      </c>
      <c r="AA266" s="188">
        <v>2006</v>
      </c>
      <c r="AB266" s="188" t="s">
        <v>468</v>
      </c>
      <c r="AC266" s="188"/>
      <c r="AD266" s="188">
        <v>11634</v>
      </c>
      <c r="AE266" s="188">
        <v>1513</v>
      </c>
      <c r="AF266" s="188">
        <v>174</v>
      </c>
      <c r="AG266" s="188">
        <v>21</v>
      </c>
      <c r="AH266" s="188"/>
      <c r="AI266" s="188">
        <v>3033</v>
      </c>
      <c r="AJ266" s="188">
        <v>16374</v>
      </c>
      <c r="AK266" s="217"/>
      <c r="AL266" s="223">
        <v>0.80275228380407149</v>
      </c>
      <c r="AM266" s="188" t="s">
        <v>46</v>
      </c>
      <c r="AN266" s="188">
        <v>2006</v>
      </c>
      <c r="AO266" s="188" t="s">
        <v>468</v>
      </c>
      <c r="AP266" s="222">
        <f t="shared" si="13"/>
        <v>0</v>
      </c>
      <c r="AQ266" s="222">
        <f t="shared" si="13"/>
        <v>14.492640176455133</v>
      </c>
      <c r="AR266" s="222">
        <f t="shared" si="13"/>
        <v>1.8847657372336788</v>
      </c>
      <c r="AS266" s="222">
        <f t="shared" si="13"/>
        <v>0.21675428835337746</v>
      </c>
      <c r="AT266" s="222">
        <f t="shared" si="13"/>
        <v>2.6160000318511071E-2</v>
      </c>
      <c r="AU266" s="222">
        <f t="shared" si="12"/>
        <v>0</v>
      </c>
      <c r="AV266" s="222">
        <f t="shared" si="12"/>
        <v>3.7782514745735276</v>
      </c>
      <c r="AW266" s="222">
        <f t="shared" si="12"/>
        <v>20.397325962633346</v>
      </c>
      <c r="AX266" s="217"/>
    </row>
    <row r="267" spans="24:50" hidden="1">
      <c r="X267" s="122"/>
      <c r="Y267" s="109"/>
      <c r="Z267" s="188" t="s">
        <v>46</v>
      </c>
      <c r="AA267" s="188">
        <v>2006</v>
      </c>
      <c r="AB267" s="188" t="s">
        <v>469</v>
      </c>
      <c r="AC267" s="188"/>
      <c r="AD267" s="188">
        <v>974</v>
      </c>
      <c r="AE267" s="188">
        <v>29</v>
      </c>
      <c r="AF267" s="188">
        <v>29</v>
      </c>
      <c r="AG267" s="188">
        <v>45</v>
      </c>
      <c r="AH267" s="188"/>
      <c r="AI267" s="188">
        <v>56</v>
      </c>
      <c r="AJ267" s="188">
        <v>1133</v>
      </c>
      <c r="AK267" s="217"/>
      <c r="AL267" s="223">
        <v>0.80275228380407149</v>
      </c>
      <c r="AM267" s="188" t="s">
        <v>46</v>
      </c>
      <c r="AN267" s="188">
        <v>2006</v>
      </c>
      <c r="AO267" s="188" t="s">
        <v>469</v>
      </c>
      <c r="AP267" s="222">
        <f t="shared" si="13"/>
        <v>0</v>
      </c>
      <c r="AQ267" s="222">
        <f t="shared" si="13"/>
        <v>1.2133257290585611</v>
      </c>
      <c r="AR267" s="222">
        <f t="shared" si="13"/>
        <v>3.6125714725562905E-2</v>
      </c>
      <c r="AS267" s="222">
        <f t="shared" si="13"/>
        <v>3.6125714725562905E-2</v>
      </c>
      <c r="AT267" s="222">
        <f t="shared" si="13"/>
        <v>5.6057143539666586E-2</v>
      </c>
      <c r="AU267" s="222">
        <f t="shared" si="12"/>
        <v>0</v>
      </c>
      <c r="AV267" s="222">
        <f t="shared" si="12"/>
        <v>6.976000084936286E-2</v>
      </c>
      <c r="AW267" s="222">
        <f t="shared" si="12"/>
        <v>1.4113943028987164</v>
      </c>
      <c r="AX267" s="217"/>
    </row>
    <row r="268" spans="24:50" s="127" customFormat="1" hidden="1">
      <c r="X268" s="122"/>
      <c r="Y268" s="109"/>
      <c r="Z268" s="188" t="s">
        <v>46</v>
      </c>
      <c r="AA268" s="188">
        <v>2006</v>
      </c>
      <c r="AB268" s="188" t="s">
        <v>470</v>
      </c>
      <c r="AC268" s="188"/>
      <c r="AD268" s="188">
        <v>130</v>
      </c>
      <c r="AE268" s="188"/>
      <c r="AF268" s="188"/>
      <c r="AG268" s="188"/>
      <c r="AH268" s="188"/>
      <c r="AI268" s="188"/>
      <c r="AJ268" s="188">
        <v>130</v>
      </c>
      <c r="AK268" s="217"/>
      <c r="AL268" s="221">
        <v>0.80275228380407149</v>
      </c>
      <c r="AM268" s="188" t="s">
        <v>46</v>
      </c>
      <c r="AN268" s="188">
        <v>2006</v>
      </c>
      <c r="AO268" s="188" t="s">
        <v>470</v>
      </c>
      <c r="AP268" s="222">
        <f t="shared" si="13"/>
        <v>0</v>
      </c>
      <c r="AQ268" s="222">
        <f t="shared" si="13"/>
        <v>0.16194285911459236</v>
      </c>
      <c r="AR268" s="222">
        <f t="shared" si="13"/>
        <v>0</v>
      </c>
      <c r="AS268" s="222">
        <f t="shared" si="13"/>
        <v>0</v>
      </c>
      <c r="AT268" s="222">
        <f t="shared" si="13"/>
        <v>0</v>
      </c>
      <c r="AU268" s="222">
        <f t="shared" si="12"/>
        <v>0</v>
      </c>
      <c r="AV268" s="222">
        <f t="shared" si="12"/>
        <v>0</v>
      </c>
      <c r="AW268" s="222">
        <f t="shared" si="12"/>
        <v>0.16194285911459236</v>
      </c>
      <c r="AX268" s="217"/>
    </row>
    <row r="269" spans="24:50" hidden="1">
      <c r="X269" s="122"/>
      <c r="Y269" s="109"/>
      <c r="Z269" s="188" t="s">
        <v>46</v>
      </c>
      <c r="AA269" s="188">
        <v>2007</v>
      </c>
      <c r="AB269" s="188" t="s">
        <v>459</v>
      </c>
      <c r="AC269" s="188">
        <v>0</v>
      </c>
      <c r="AD269" s="188">
        <v>41710</v>
      </c>
      <c r="AE269" s="188">
        <v>2771</v>
      </c>
      <c r="AF269" s="188">
        <v>21314</v>
      </c>
      <c r="AG269" s="188">
        <v>-1490</v>
      </c>
      <c r="AH269" s="188">
        <v>235</v>
      </c>
      <c r="AI269" s="188">
        <v>456</v>
      </c>
      <c r="AJ269" s="188">
        <v>64997</v>
      </c>
      <c r="AK269" s="217"/>
      <c r="AL269" s="223">
        <v>0.82459421647952613</v>
      </c>
      <c r="AM269" s="188" t="s">
        <v>46</v>
      </c>
      <c r="AN269" s="188">
        <v>2007</v>
      </c>
      <c r="AO269" s="188" t="s">
        <v>459</v>
      </c>
      <c r="AP269" s="222">
        <f t="shared" si="13"/>
        <v>0</v>
      </c>
      <c r="AQ269" s="222">
        <f t="shared" si="13"/>
        <v>50.582455183925752</v>
      </c>
      <c r="AR269" s="222">
        <f t="shared" si="13"/>
        <v>3.3604407411809696</v>
      </c>
      <c r="AS269" s="222">
        <f t="shared" si="13"/>
        <v>25.847865015348681</v>
      </c>
      <c r="AT269" s="222">
        <f t="shared" si="13"/>
        <v>-1.8069493700323511</v>
      </c>
      <c r="AU269" s="222">
        <f t="shared" si="12"/>
        <v>0.28498865903194803</v>
      </c>
      <c r="AV269" s="222">
        <f t="shared" si="12"/>
        <v>0.55299927029177998</v>
      </c>
      <c r="AW269" s="222">
        <f t="shared" si="12"/>
        <v>78.823012217444784</v>
      </c>
      <c r="AX269" s="217"/>
    </row>
    <row r="270" spans="24:50" s="127" customFormat="1" hidden="1">
      <c r="X270" s="122"/>
      <c r="Y270" s="109"/>
      <c r="Z270" s="188" t="s">
        <v>46</v>
      </c>
      <c r="AA270" s="188">
        <v>2007</v>
      </c>
      <c r="AB270" s="188" t="s">
        <v>471</v>
      </c>
      <c r="AC270" s="188"/>
      <c r="AD270" s="188">
        <v>9252</v>
      </c>
      <c r="AE270" s="188">
        <v>2741</v>
      </c>
      <c r="AF270" s="188">
        <v>652</v>
      </c>
      <c r="AG270" s="188"/>
      <c r="AH270" s="188"/>
      <c r="AI270" s="188">
        <v>1116</v>
      </c>
      <c r="AJ270" s="188">
        <v>13760</v>
      </c>
      <c r="AK270" s="217"/>
      <c r="AL270" s="223">
        <v>0.82459421647952613</v>
      </c>
      <c r="AM270" s="188" t="s">
        <v>46</v>
      </c>
      <c r="AN270" s="188">
        <v>2007</v>
      </c>
      <c r="AO270" s="188" t="s">
        <v>471</v>
      </c>
      <c r="AP270" s="222">
        <f t="shared" si="13"/>
        <v>0</v>
      </c>
      <c r="AQ270" s="222">
        <f t="shared" si="13"/>
        <v>11.220064141972694</v>
      </c>
      <c r="AR270" s="222">
        <f t="shared" si="13"/>
        <v>3.3240592102407214</v>
      </c>
      <c r="AS270" s="222">
        <f t="shared" si="13"/>
        <v>0.79069193910140467</v>
      </c>
      <c r="AT270" s="222">
        <f t="shared" si="13"/>
        <v>0</v>
      </c>
      <c r="AU270" s="222">
        <f t="shared" si="12"/>
        <v>0</v>
      </c>
      <c r="AV270" s="222">
        <f t="shared" si="12"/>
        <v>1.3533929509772511</v>
      </c>
      <c r="AW270" s="222">
        <f t="shared" si="12"/>
        <v>16.68699552459406</v>
      </c>
      <c r="AX270" s="217"/>
    </row>
    <row r="271" spans="24:50" hidden="1">
      <c r="X271" s="122"/>
      <c r="Y271" s="109"/>
      <c r="Z271" s="188" t="s">
        <v>46</v>
      </c>
      <c r="AA271" s="188">
        <v>2007</v>
      </c>
      <c r="AB271" s="188" t="s">
        <v>472</v>
      </c>
      <c r="AC271" s="188"/>
      <c r="AD271" s="188"/>
      <c r="AE271" s="188"/>
      <c r="AF271" s="188"/>
      <c r="AG271" s="188">
        <v>3137</v>
      </c>
      <c r="AH271" s="188"/>
      <c r="AI271" s="188"/>
      <c r="AJ271" s="188">
        <v>3137</v>
      </c>
      <c r="AK271" s="217"/>
      <c r="AL271" s="221">
        <v>0.82459421647952613</v>
      </c>
      <c r="AM271" s="188" t="s">
        <v>46</v>
      </c>
      <c r="AN271" s="188">
        <v>2007</v>
      </c>
      <c r="AO271" s="188" t="s">
        <v>472</v>
      </c>
      <c r="AP271" s="222">
        <f t="shared" si="13"/>
        <v>0</v>
      </c>
      <c r="AQ271" s="222">
        <f t="shared" si="13"/>
        <v>0</v>
      </c>
      <c r="AR271" s="222">
        <f t="shared" si="13"/>
        <v>0</v>
      </c>
      <c r="AS271" s="222">
        <f t="shared" si="13"/>
        <v>0</v>
      </c>
      <c r="AT271" s="222">
        <f t="shared" si="13"/>
        <v>3.8042954186520039</v>
      </c>
      <c r="AU271" s="222">
        <f t="shared" si="12"/>
        <v>0</v>
      </c>
      <c r="AV271" s="222">
        <f t="shared" si="12"/>
        <v>0</v>
      </c>
      <c r="AW271" s="222">
        <f t="shared" si="12"/>
        <v>3.8042954186520039</v>
      </c>
      <c r="AX271" s="217"/>
    </row>
    <row r="272" spans="24:50" hidden="1">
      <c r="X272" s="122"/>
      <c r="Y272" s="109"/>
      <c r="Z272" s="188" t="s">
        <v>46</v>
      </c>
      <c r="AA272" s="188">
        <v>2008</v>
      </c>
      <c r="AB272" s="188" t="s">
        <v>459</v>
      </c>
      <c r="AC272" s="188"/>
      <c r="AD272" s="188">
        <v>43886</v>
      </c>
      <c r="AE272" s="188">
        <v>-11616</v>
      </c>
      <c r="AF272" s="188">
        <v>21300</v>
      </c>
      <c r="AG272" s="188">
        <v>4081</v>
      </c>
      <c r="AH272" s="188">
        <v>108</v>
      </c>
      <c r="AI272" s="188">
        <v>951</v>
      </c>
      <c r="AJ272" s="188">
        <v>58709</v>
      </c>
      <c r="AK272" s="217"/>
      <c r="AL272" s="223">
        <v>0.84165483055935886</v>
      </c>
      <c r="AM272" s="188" t="s">
        <v>46</v>
      </c>
      <c r="AN272" s="188">
        <v>2008</v>
      </c>
      <c r="AO272" s="188" t="s">
        <v>459</v>
      </c>
      <c r="AP272" s="222">
        <f t="shared" si="13"/>
        <v>0</v>
      </c>
      <c r="AQ272" s="222">
        <f t="shared" si="13"/>
        <v>52.142515442861082</v>
      </c>
      <c r="AR272" s="222">
        <f t="shared" si="13"/>
        <v>-13.801382203533572</v>
      </c>
      <c r="AS272" s="222">
        <f t="shared" si="13"/>
        <v>25.307286581892658</v>
      </c>
      <c r="AT272" s="222">
        <f t="shared" si="13"/>
        <v>4.8487810582490107</v>
      </c>
      <c r="AU272" s="222">
        <f t="shared" si="12"/>
        <v>0.12831863618987824</v>
      </c>
      <c r="AV272" s="222">
        <f t="shared" si="12"/>
        <v>1.1299168797830945</v>
      </c>
      <c r="AW272" s="222">
        <f t="shared" si="12"/>
        <v>69.75424825992188</v>
      </c>
      <c r="AX272" s="217"/>
    </row>
    <row r="273" spans="24:50" hidden="1">
      <c r="X273" s="122"/>
      <c r="Y273" s="109"/>
      <c r="Z273" s="188" t="s">
        <v>46</v>
      </c>
      <c r="AA273" s="188">
        <v>2008</v>
      </c>
      <c r="AB273" s="188" t="s">
        <v>473</v>
      </c>
      <c r="AC273" s="188"/>
      <c r="AD273" s="188">
        <v>11888</v>
      </c>
      <c r="AE273" s="188">
        <v>18241</v>
      </c>
      <c r="AF273" s="188">
        <v>753</v>
      </c>
      <c r="AG273" s="188">
        <v>1307</v>
      </c>
      <c r="AH273" s="188"/>
      <c r="AI273" s="188">
        <v>575</v>
      </c>
      <c r="AJ273" s="188">
        <v>32763</v>
      </c>
      <c r="AK273" s="217"/>
      <c r="AL273" s="223">
        <v>0.84165483055935886</v>
      </c>
      <c r="AM273" s="188" t="s">
        <v>46</v>
      </c>
      <c r="AN273" s="188">
        <v>2008</v>
      </c>
      <c r="AO273" s="188" t="s">
        <v>473</v>
      </c>
      <c r="AP273" s="222">
        <f t="shared" si="13"/>
        <v>0</v>
      </c>
      <c r="AQ273" s="222">
        <f t="shared" si="13"/>
        <v>14.124555065048822</v>
      </c>
      <c r="AR273" s="222">
        <f t="shared" si="13"/>
        <v>21.672780025366386</v>
      </c>
      <c r="AS273" s="222">
        <f t="shared" si="13"/>
        <v>0.89466604676831785</v>
      </c>
      <c r="AT273" s="222">
        <f t="shared" si="13"/>
        <v>1.5528931250015823</v>
      </c>
      <c r="AU273" s="222">
        <f t="shared" si="12"/>
        <v>0</v>
      </c>
      <c r="AV273" s="222">
        <f t="shared" si="12"/>
        <v>0.68317792415907408</v>
      </c>
      <c r="AW273" s="222">
        <f t="shared" si="12"/>
        <v>38.926884050823901</v>
      </c>
      <c r="AX273" s="217"/>
    </row>
    <row r="274" spans="24:50" s="127" customFormat="1" hidden="1">
      <c r="X274" s="122"/>
      <c r="Y274" s="109"/>
      <c r="Z274" s="188" t="s">
        <v>46</v>
      </c>
      <c r="AA274" s="188">
        <v>2009</v>
      </c>
      <c r="AB274" s="188" t="s">
        <v>459</v>
      </c>
      <c r="AC274" s="188">
        <v>0</v>
      </c>
      <c r="AD274" s="188">
        <v>52126</v>
      </c>
      <c r="AE274" s="188">
        <v>-1155</v>
      </c>
      <c r="AF274" s="188">
        <v>21218</v>
      </c>
      <c r="AG274" s="188">
        <v>4534</v>
      </c>
      <c r="AH274" s="188">
        <v>115</v>
      </c>
      <c r="AI274" s="188">
        <v>1324</v>
      </c>
      <c r="AJ274" s="188">
        <v>78163</v>
      </c>
      <c r="AK274" s="217"/>
      <c r="AL274" s="221">
        <v>0.85147741466177274</v>
      </c>
      <c r="AM274" s="188" t="s">
        <v>46</v>
      </c>
      <c r="AN274" s="188">
        <v>2009</v>
      </c>
      <c r="AO274" s="188" t="s">
        <v>459</v>
      </c>
      <c r="AP274" s="222">
        <f t="shared" si="13"/>
        <v>0</v>
      </c>
      <c r="AQ274" s="222">
        <f t="shared" si="13"/>
        <v>61.218300218457003</v>
      </c>
      <c r="AR274" s="222">
        <f t="shared" si="13"/>
        <v>-1.3564658088538892</v>
      </c>
      <c r="AS274" s="222">
        <f t="shared" si="13"/>
        <v>24.919040287672576</v>
      </c>
      <c r="AT274" s="222">
        <f t="shared" si="13"/>
        <v>5.3248623180463488</v>
      </c>
      <c r="AU274" s="222">
        <f t="shared" si="12"/>
        <v>0.13505936624952145</v>
      </c>
      <c r="AV274" s="222">
        <f t="shared" si="12"/>
        <v>1.554944355777099</v>
      </c>
      <c r="AW274" s="222">
        <f t="shared" si="12"/>
        <v>91.79691516662038</v>
      </c>
      <c r="AX274" s="217"/>
    </row>
    <row r="275" spans="24:50" hidden="1">
      <c r="X275" s="122"/>
      <c r="Y275" s="109"/>
      <c r="Z275" s="188" t="s">
        <v>46</v>
      </c>
      <c r="AA275" s="188">
        <v>2009</v>
      </c>
      <c r="AB275" s="188" t="s">
        <v>474</v>
      </c>
      <c r="AC275" s="188">
        <v>0</v>
      </c>
      <c r="AD275" s="188">
        <v>415</v>
      </c>
      <c r="AE275" s="188">
        <v>0</v>
      </c>
      <c r="AF275" s="188">
        <v>75</v>
      </c>
      <c r="AG275" s="188">
        <v>1450</v>
      </c>
      <c r="AH275" s="188">
        <v>555</v>
      </c>
      <c r="AI275" s="188">
        <v>0</v>
      </c>
      <c r="AJ275" s="188">
        <v>2495</v>
      </c>
      <c r="AK275" s="217"/>
      <c r="AL275" s="223">
        <v>0.85147741466177274</v>
      </c>
      <c r="AM275" s="188" t="s">
        <v>46</v>
      </c>
      <c r="AN275" s="188">
        <v>2009</v>
      </c>
      <c r="AO275" s="188" t="s">
        <v>474</v>
      </c>
      <c r="AP275" s="222">
        <f t="shared" si="13"/>
        <v>0</v>
      </c>
      <c r="AQ275" s="222">
        <f t="shared" si="13"/>
        <v>0.48738814777001216</v>
      </c>
      <c r="AR275" s="222">
        <f t="shared" si="13"/>
        <v>0</v>
      </c>
      <c r="AS275" s="222">
        <f t="shared" si="13"/>
        <v>8.8082195380122685E-2</v>
      </c>
      <c r="AT275" s="222">
        <f t="shared" si="13"/>
        <v>1.7029224440157051</v>
      </c>
      <c r="AU275" s="222">
        <f t="shared" si="12"/>
        <v>0.65180824581290775</v>
      </c>
      <c r="AV275" s="222">
        <f t="shared" si="12"/>
        <v>0</v>
      </c>
      <c r="AW275" s="222">
        <f t="shared" si="12"/>
        <v>2.9302010329787476</v>
      </c>
      <c r="AX275" s="217"/>
    </row>
    <row r="276" spans="24:50" hidden="1">
      <c r="X276" s="122"/>
      <c r="Y276" s="109"/>
      <c r="Z276" s="188" t="s">
        <v>46</v>
      </c>
      <c r="AA276" s="188">
        <v>2009</v>
      </c>
      <c r="AB276" s="188" t="s">
        <v>475</v>
      </c>
      <c r="AC276" s="188">
        <v>0</v>
      </c>
      <c r="AD276" s="188">
        <v>3937</v>
      </c>
      <c r="AE276" s="188">
        <v>1877</v>
      </c>
      <c r="AF276" s="188">
        <v>33</v>
      </c>
      <c r="AG276" s="188">
        <v>0</v>
      </c>
      <c r="AH276" s="188">
        <v>0</v>
      </c>
      <c r="AI276" s="188">
        <v>0</v>
      </c>
      <c r="AJ276" s="188">
        <v>5847</v>
      </c>
      <c r="AK276" s="217"/>
      <c r="AL276" s="221">
        <v>0.85147741466177274</v>
      </c>
      <c r="AM276" s="188" t="s">
        <v>46</v>
      </c>
      <c r="AN276" s="188">
        <v>2009</v>
      </c>
      <c r="AO276" s="188" t="s">
        <v>475</v>
      </c>
      <c r="AP276" s="222">
        <f t="shared" si="13"/>
        <v>0</v>
      </c>
      <c r="AQ276" s="222">
        <f t="shared" si="13"/>
        <v>4.6237280428205727</v>
      </c>
      <c r="AR276" s="222">
        <f t="shared" si="13"/>
        <v>2.2044037430465369</v>
      </c>
      <c r="AS276" s="222">
        <f t="shared" si="13"/>
        <v>3.875616596725398E-2</v>
      </c>
      <c r="AT276" s="222">
        <f t="shared" si="13"/>
        <v>0</v>
      </c>
      <c r="AU276" s="222">
        <f t="shared" si="12"/>
        <v>0</v>
      </c>
      <c r="AV276" s="222">
        <f t="shared" si="12"/>
        <v>0</v>
      </c>
      <c r="AW276" s="222">
        <f t="shared" si="12"/>
        <v>6.8668879518343635</v>
      </c>
      <c r="AX276" s="217"/>
    </row>
    <row r="277" spans="24:50" s="127" customFormat="1" hidden="1">
      <c r="X277" s="122"/>
      <c r="Y277" s="109"/>
      <c r="Z277" s="188" t="s">
        <v>46</v>
      </c>
      <c r="AA277" s="188">
        <v>2009</v>
      </c>
      <c r="AB277" s="188" t="s">
        <v>476</v>
      </c>
      <c r="AC277" s="188">
        <v>0</v>
      </c>
      <c r="AD277" s="188">
        <v>6554</v>
      </c>
      <c r="AE277" s="188">
        <v>5274</v>
      </c>
      <c r="AF277" s="188">
        <v>483</v>
      </c>
      <c r="AG277" s="188">
        <v>1025</v>
      </c>
      <c r="AH277" s="188">
        <v>0</v>
      </c>
      <c r="AI277" s="188">
        <v>404</v>
      </c>
      <c r="AJ277" s="188">
        <v>13740</v>
      </c>
      <c r="AK277" s="217"/>
      <c r="AL277" s="223">
        <v>0.85147741466177274</v>
      </c>
      <c r="AM277" s="188" t="s">
        <v>46</v>
      </c>
      <c r="AN277" s="188">
        <v>2009</v>
      </c>
      <c r="AO277" s="188" t="s">
        <v>476</v>
      </c>
      <c r="AP277" s="222">
        <f t="shared" si="13"/>
        <v>0</v>
      </c>
      <c r="AQ277" s="222">
        <f t="shared" si="13"/>
        <v>7.6972094469509873</v>
      </c>
      <c r="AR277" s="222">
        <f t="shared" si="13"/>
        <v>6.193939979130227</v>
      </c>
      <c r="AS277" s="222">
        <f t="shared" si="13"/>
        <v>0.56724933824799006</v>
      </c>
      <c r="AT277" s="222">
        <f t="shared" si="13"/>
        <v>1.2037900035283433</v>
      </c>
      <c r="AU277" s="222">
        <f t="shared" si="12"/>
        <v>0</v>
      </c>
      <c r="AV277" s="222">
        <f t="shared" si="12"/>
        <v>0.47446942578092749</v>
      </c>
      <c r="AW277" s="222">
        <f t="shared" si="12"/>
        <v>16.136658193638475</v>
      </c>
      <c r="AX277" s="217"/>
    </row>
    <row r="278" spans="24:50" hidden="1">
      <c r="X278" s="122"/>
      <c r="Y278" s="109"/>
      <c r="Z278" s="188" t="s">
        <v>46</v>
      </c>
      <c r="AA278" s="188">
        <v>2010</v>
      </c>
      <c r="AB278" s="188" t="s">
        <v>459</v>
      </c>
      <c r="AC278" s="188">
        <v>0</v>
      </c>
      <c r="AD278" s="188">
        <v>59352</v>
      </c>
      <c r="AE278" s="188">
        <v>4338</v>
      </c>
      <c r="AF278" s="188">
        <v>20395</v>
      </c>
      <c r="AG278" s="188">
        <v>5528</v>
      </c>
      <c r="AH278" s="188">
        <v>491</v>
      </c>
      <c r="AI278" s="188">
        <v>1348</v>
      </c>
      <c r="AJ278" s="188">
        <v>91452</v>
      </c>
      <c r="AK278" s="217"/>
      <c r="AL278" s="223">
        <v>0.85894343086456204</v>
      </c>
      <c r="AM278" s="188" t="s">
        <v>46</v>
      </c>
      <c r="AN278" s="188">
        <v>2010</v>
      </c>
      <c r="AO278" s="188" t="s">
        <v>459</v>
      </c>
      <c r="AP278" s="222">
        <f t="shared" si="13"/>
        <v>0</v>
      </c>
      <c r="AQ278" s="222">
        <f t="shared" si="13"/>
        <v>69.098846172279082</v>
      </c>
      <c r="AR278" s="222">
        <f t="shared" si="13"/>
        <v>5.050390798883722</v>
      </c>
      <c r="AS278" s="222">
        <f t="shared" si="13"/>
        <v>23.744287769302328</v>
      </c>
      <c r="AT278" s="222">
        <f t="shared" si="13"/>
        <v>6.4358138165581407</v>
      </c>
      <c r="AU278" s="222">
        <f t="shared" si="12"/>
        <v>0.57163252241860474</v>
      </c>
      <c r="AV278" s="222">
        <f t="shared" si="12"/>
        <v>1.5693699393488374</v>
      </c>
      <c r="AW278" s="222">
        <f t="shared" si="12"/>
        <v>106.47034101879072</v>
      </c>
      <c r="AX278" s="217"/>
    </row>
    <row r="279" spans="24:50" s="127" customFormat="1" hidden="1">
      <c r="X279" s="122"/>
      <c r="Y279" s="109"/>
      <c r="Z279" s="188" t="s">
        <v>46</v>
      </c>
      <c r="AA279" s="188">
        <v>2010</v>
      </c>
      <c r="AB279" s="188" t="s">
        <v>477</v>
      </c>
      <c r="AC279" s="188">
        <v>0</v>
      </c>
      <c r="AD279" s="188">
        <v>10692</v>
      </c>
      <c r="AE279" s="188">
        <v>3098</v>
      </c>
      <c r="AF279" s="188">
        <v>391</v>
      </c>
      <c r="AG279" s="188">
        <v>0</v>
      </c>
      <c r="AH279" s="188">
        <v>0</v>
      </c>
      <c r="AI279" s="188">
        <v>469</v>
      </c>
      <c r="AJ279" s="188">
        <v>14650</v>
      </c>
      <c r="AK279" s="217"/>
      <c r="AL279" s="223">
        <v>0.85894343086456204</v>
      </c>
      <c r="AM279" s="188" t="s">
        <v>46</v>
      </c>
      <c r="AN279" s="188">
        <v>2010</v>
      </c>
      <c r="AO279" s="188" t="s">
        <v>477</v>
      </c>
      <c r="AP279" s="222">
        <f t="shared" si="13"/>
        <v>0</v>
      </c>
      <c r="AQ279" s="222">
        <f t="shared" si="13"/>
        <v>12.447851180651163</v>
      </c>
      <c r="AR279" s="222">
        <f t="shared" si="13"/>
        <v>3.606756730046512</v>
      </c>
      <c r="AS279" s="222">
        <f t="shared" si="13"/>
        <v>0.45521042009302326</v>
      </c>
      <c r="AT279" s="222">
        <f t="shared" si="13"/>
        <v>0</v>
      </c>
      <c r="AU279" s="222">
        <f t="shared" si="12"/>
        <v>0</v>
      </c>
      <c r="AV279" s="222">
        <f t="shared" si="12"/>
        <v>0.54601965990697676</v>
      </c>
      <c r="AW279" s="222">
        <f t="shared" si="12"/>
        <v>17.055837990697675</v>
      </c>
      <c r="AX279" s="217"/>
    </row>
    <row r="280" spans="24:50" hidden="1">
      <c r="X280" s="122"/>
      <c r="Y280" s="109"/>
      <c r="Z280" s="188" t="s">
        <v>46</v>
      </c>
      <c r="AA280" s="188">
        <v>2010</v>
      </c>
      <c r="AB280" s="188" t="s">
        <v>478</v>
      </c>
      <c r="AC280" s="188">
        <v>0</v>
      </c>
      <c r="AD280" s="188">
        <v>0</v>
      </c>
      <c r="AE280" s="188">
        <v>0</v>
      </c>
      <c r="AF280" s="188">
        <v>0</v>
      </c>
      <c r="AG280" s="188">
        <v>0</v>
      </c>
      <c r="AH280" s="188">
        <v>0</v>
      </c>
      <c r="AI280" s="188">
        <v>0</v>
      </c>
      <c r="AJ280" s="188">
        <v>0</v>
      </c>
      <c r="AK280" s="217"/>
      <c r="AL280" s="223">
        <v>0.85894343086456204</v>
      </c>
      <c r="AM280" s="188" t="s">
        <v>46</v>
      </c>
      <c r="AN280" s="188">
        <v>2010</v>
      </c>
      <c r="AO280" s="188" t="s">
        <v>478</v>
      </c>
      <c r="AP280" s="222">
        <f t="shared" ref="AP280:AW302" si="14">AC280/$AL280/1000</f>
        <v>0</v>
      </c>
      <c r="AQ280" s="222">
        <f t="shared" si="14"/>
        <v>0</v>
      </c>
      <c r="AR280" s="222">
        <f t="shared" si="14"/>
        <v>0</v>
      </c>
      <c r="AS280" s="222">
        <f t="shared" si="14"/>
        <v>0</v>
      </c>
      <c r="AT280" s="222">
        <f t="shared" si="14"/>
        <v>0</v>
      </c>
      <c r="AU280" s="222">
        <f t="shared" si="12"/>
        <v>0</v>
      </c>
      <c r="AV280" s="222">
        <f t="shared" si="12"/>
        <v>0</v>
      </c>
      <c r="AW280" s="222">
        <f t="shared" si="12"/>
        <v>0</v>
      </c>
      <c r="AX280" s="217"/>
    </row>
    <row r="281" spans="24:50" s="127" customFormat="1" hidden="1">
      <c r="X281" s="122"/>
      <c r="Y281" s="109"/>
      <c r="Z281" s="188" t="s">
        <v>46</v>
      </c>
      <c r="AA281" s="188">
        <v>2011</v>
      </c>
      <c r="AB281" s="188" t="s">
        <v>459</v>
      </c>
      <c r="AC281" s="188"/>
      <c r="AD281" s="188">
        <v>61029</v>
      </c>
      <c r="AE281" s="188">
        <v>4003</v>
      </c>
      <c r="AF281" s="188">
        <v>21014</v>
      </c>
      <c r="AG281" s="188">
        <v>3823</v>
      </c>
      <c r="AH281" s="188">
        <v>68</v>
      </c>
      <c r="AI281" s="188">
        <v>807</v>
      </c>
      <c r="AJ281" s="188">
        <v>90744</v>
      </c>
      <c r="AK281" s="217"/>
      <c r="AL281" s="223">
        <v>0.87638757317399019</v>
      </c>
      <c r="AM281" s="188" t="s">
        <v>46</v>
      </c>
      <c r="AN281" s="188">
        <v>2011</v>
      </c>
      <c r="AO281" s="188" t="s">
        <v>459</v>
      </c>
      <c r="AP281" s="222">
        <f t="shared" si="14"/>
        <v>0</v>
      </c>
      <c r="AQ281" s="222">
        <f t="shared" si="14"/>
        <v>69.636998364745011</v>
      </c>
      <c r="AR281" s="222">
        <f t="shared" si="14"/>
        <v>4.5676138303769402</v>
      </c>
      <c r="AS281" s="222">
        <f t="shared" si="14"/>
        <v>23.977975776053214</v>
      </c>
      <c r="AT281" s="222">
        <f t="shared" si="14"/>
        <v>4.3622252494456761</v>
      </c>
      <c r="AU281" s="222">
        <f t="shared" si="12"/>
        <v>7.7591241685144127E-2</v>
      </c>
      <c r="AV281" s="222">
        <f t="shared" si="12"/>
        <v>0.92082547117516633</v>
      </c>
      <c r="AW281" s="222">
        <f t="shared" si="12"/>
        <v>103.54322993348116</v>
      </c>
      <c r="AX281" s="217"/>
    </row>
    <row r="282" spans="24:50" hidden="1">
      <c r="X282" s="122"/>
      <c r="Y282" s="109"/>
      <c r="Z282" s="188" t="s">
        <v>46</v>
      </c>
      <c r="AA282" s="188">
        <v>2011</v>
      </c>
      <c r="AB282" s="188" t="s">
        <v>479</v>
      </c>
      <c r="AC282" s="188"/>
      <c r="AD282" s="188">
        <v>11219</v>
      </c>
      <c r="AE282" s="188">
        <v>2922</v>
      </c>
      <c r="AF282" s="188">
        <v>308</v>
      </c>
      <c r="AG282" s="188">
        <v>47</v>
      </c>
      <c r="AH282" s="188">
        <v>0</v>
      </c>
      <c r="AI282" s="188">
        <v>468</v>
      </c>
      <c r="AJ282" s="188">
        <v>14965</v>
      </c>
      <c r="AK282" s="217"/>
      <c r="AL282" s="223">
        <v>0.87638757317399019</v>
      </c>
      <c r="AM282" s="188" t="s">
        <v>46</v>
      </c>
      <c r="AN282" s="188">
        <v>2011</v>
      </c>
      <c r="AO282" s="188" t="s">
        <v>479</v>
      </c>
      <c r="AP282" s="222">
        <f t="shared" si="14"/>
        <v>0</v>
      </c>
      <c r="AQ282" s="222">
        <f t="shared" si="14"/>
        <v>12.801413830376939</v>
      </c>
      <c r="AR282" s="222">
        <f t="shared" si="14"/>
        <v>3.3341412971175162</v>
      </c>
      <c r="AS282" s="222">
        <f t="shared" si="14"/>
        <v>0.35144268292682929</v>
      </c>
      <c r="AT282" s="222">
        <f t="shared" si="14"/>
        <v>5.3629240576496671E-2</v>
      </c>
      <c r="AU282" s="222">
        <f t="shared" si="12"/>
        <v>0</v>
      </c>
      <c r="AV282" s="222">
        <f t="shared" si="12"/>
        <v>0.53401031042128599</v>
      </c>
      <c r="AW282" s="222">
        <f t="shared" si="12"/>
        <v>17.075778409090908</v>
      </c>
      <c r="AX282" s="217"/>
    </row>
    <row r="283" spans="24:50" hidden="1">
      <c r="X283" s="122"/>
      <c r="Y283" s="109"/>
      <c r="Z283" s="188" t="s">
        <v>46</v>
      </c>
      <c r="AA283" s="188">
        <v>2012</v>
      </c>
      <c r="AB283" s="188" t="s">
        <v>459</v>
      </c>
      <c r="AC283" s="188"/>
      <c r="AD283" s="188">
        <v>62971</v>
      </c>
      <c r="AE283" s="188">
        <v>2906</v>
      </c>
      <c r="AF283" s="188">
        <v>19462</v>
      </c>
      <c r="AG283" s="188">
        <v>3548</v>
      </c>
      <c r="AH283" s="188">
        <v>54</v>
      </c>
      <c r="AI283" s="188">
        <v>1459</v>
      </c>
      <c r="AJ283" s="188">
        <v>90400</v>
      </c>
      <c r="AK283" s="217"/>
      <c r="AL283" s="223">
        <v>0.89246166741880806</v>
      </c>
      <c r="AM283" s="188" t="s">
        <v>46</v>
      </c>
      <c r="AN283" s="188">
        <v>2012</v>
      </c>
      <c r="AO283" s="188" t="s">
        <v>459</v>
      </c>
      <c r="AP283" s="222">
        <f t="shared" si="14"/>
        <v>0</v>
      </c>
      <c r="AQ283" s="222">
        <f t="shared" si="14"/>
        <v>70.558772772981655</v>
      </c>
      <c r="AR283" s="222">
        <f t="shared" si="14"/>
        <v>3.2561622600607372</v>
      </c>
      <c r="AS283" s="222">
        <f t="shared" si="14"/>
        <v>21.807099072712344</v>
      </c>
      <c r="AT283" s="222">
        <f t="shared" si="14"/>
        <v>3.9755208873694063</v>
      </c>
      <c r="AU283" s="222">
        <f t="shared" si="12"/>
        <v>6.0506800427832005E-2</v>
      </c>
      <c r="AV283" s="222">
        <f t="shared" si="12"/>
        <v>1.6348041078556832</v>
      </c>
      <c r="AW283" s="222">
        <f t="shared" si="12"/>
        <v>101.29286590140765</v>
      </c>
      <c r="AX283" s="217"/>
    </row>
    <row r="284" spans="24:50" s="127" customFormat="1" hidden="1">
      <c r="X284" s="122"/>
      <c r="Y284" s="109"/>
      <c r="Z284" s="188" t="s">
        <v>46</v>
      </c>
      <c r="AA284" s="188">
        <v>2012</v>
      </c>
      <c r="AB284" s="188" t="s">
        <v>480</v>
      </c>
      <c r="AC284" s="188"/>
      <c r="AD284" s="188">
        <v>10578</v>
      </c>
      <c r="AE284" s="188">
        <v>4006</v>
      </c>
      <c r="AF284" s="188">
        <v>194</v>
      </c>
      <c r="AG284" s="188">
        <v>0</v>
      </c>
      <c r="AH284" s="188">
        <v>0</v>
      </c>
      <c r="AI284" s="188">
        <v>369</v>
      </c>
      <c r="AJ284" s="188">
        <v>15147</v>
      </c>
      <c r="AK284" s="217"/>
      <c r="AL284" s="223">
        <v>0.89246166741880806</v>
      </c>
      <c r="AM284" s="188" t="s">
        <v>46</v>
      </c>
      <c r="AN284" s="188">
        <v>2012</v>
      </c>
      <c r="AO284" s="188" t="s">
        <v>480</v>
      </c>
      <c r="AP284" s="222">
        <f t="shared" si="14"/>
        <v>0</v>
      </c>
      <c r="AQ284" s="222">
        <f t="shared" si="14"/>
        <v>11.852609906029759</v>
      </c>
      <c r="AR284" s="222">
        <f t="shared" si="14"/>
        <v>4.4887081947017595</v>
      </c>
      <c r="AS284" s="222">
        <f t="shared" si="14"/>
        <v>0.21737628301850756</v>
      </c>
      <c r="AT284" s="222">
        <f t="shared" si="14"/>
        <v>0</v>
      </c>
      <c r="AU284" s="222">
        <f t="shared" si="12"/>
        <v>0</v>
      </c>
      <c r="AV284" s="222">
        <f t="shared" si="12"/>
        <v>0.41346313625685199</v>
      </c>
      <c r="AW284" s="222">
        <f t="shared" si="12"/>
        <v>16.972157520006878</v>
      </c>
      <c r="AX284" s="217"/>
    </row>
    <row r="285" spans="24:50" hidden="1">
      <c r="X285" s="122"/>
      <c r="Y285" s="109"/>
      <c r="Z285" s="188" t="s">
        <v>46</v>
      </c>
      <c r="AA285" s="188">
        <v>2013</v>
      </c>
      <c r="AB285" s="188" t="s">
        <v>459</v>
      </c>
      <c r="AC285" s="188"/>
      <c r="AD285" s="188">
        <v>59689</v>
      </c>
      <c r="AE285" s="188">
        <v>4558</v>
      </c>
      <c r="AF285" s="188">
        <v>17382</v>
      </c>
      <c r="AG285" s="188">
        <v>3242</v>
      </c>
      <c r="AH285" s="188">
        <v>41</v>
      </c>
      <c r="AI285" s="188">
        <v>1600</v>
      </c>
      <c r="AJ285" s="188">
        <v>86512</v>
      </c>
      <c r="AK285" s="217"/>
      <c r="AL285" s="223">
        <v>0.9075385882666781</v>
      </c>
      <c r="AM285" s="188" t="s">
        <v>46</v>
      </c>
      <c r="AN285" s="188">
        <v>2013</v>
      </c>
      <c r="AO285" s="188" t="s">
        <v>459</v>
      </c>
      <c r="AP285" s="222">
        <f t="shared" si="14"/>
        <v>0</v>
      </c>
      <c r="AQ285" s="222">
        <f t="shared" si="14"/>
        <v>65.770206106608569</v>
      </c>
      <c r="AR285" s="222">
        <f t="shared" si="14"/>
        <v>5.0223759726904769</v>
      </c>
      <c r="AS285" s="222">
        <f t="shared" si="14"/>
        <v>19.15290459791704</v>
      </c>
      <c r="AT285" s="222">
        <f t="shared" si="14"/>
        <v>3.572299891062424</v>
      </c>
      <c r="AU285" s="222">
        <f t="shared" si="12"/>
        <v>4.5177142360752424E-2</v>
      </c>
      <c r="AV285" s="222">
        <f t="shared" si="12"/>
        <v>1.7630104335903387</v>
      </c>
      <c r="AW285" s="222">
        <f t="shared" si="12"/>
        <v>95.325974144229605</v>
      </c>
      <c r="AX285" s="217"/>
    </row>
    <row r="286" spans="24:50" hidden="1">
      <c r="X286" s="122"/>
      <c r="Y286" s="109"/>
      <c r="Z286" s="188" t="s">
        <v>46</v>
      </c>
      <c r="AA286" s="188">
        <v>2013</v>
      </c>
      <c r="AB286" s="188" t="s">
        <v>481</v>
      </c>
      <c r="AC286" s="188"/>
      <c r="AD286" s="188">
        <v>9078</v>
      </c>
      <c r="AE286" s="188">
        <v>1273</v>
      </c>
      <c r="AF286" s="188">
        <v>112</v>
      </c>
      <c r="AG286" s="188">
        <v>0</v>
      </c>
      <c r="AH286" s="188">
        <v>0</v>
      </c>
      <c r="AI286" s="188"/>
      <c r="AJ286" s="188">
        <v>10463</v>
      </c>
      <c r="AK286" s="217"/>
      <c r="AL286" s="223">
        <v>0.9075385882666781</v>
      </c>
      <c r="AM286" s="188" t="s">
        <v>46</v>
      </c>
      <c r="AN286" s="188">
        <v>2013</v>
      </c>
      <c r="AO286" s="188" t="s">
        <v>481</v>
      </c>
      <c r="AP286" s="222">
        <f t="shared" si="14"/>
        <v>0</v>
      </c>
      <c r="AQ286" s="222">
        <f t="shared" si="14"/>
        <v>10.002880447583184</v>
      </c>
      <c r="AR286" s="222">
        <f t="shared" si="14"/>
        <v>1.4026951762253133</v>
      </c>
      <c r="AS286" s="222">
        <f t="shared" si="14"/>
        <v>0.1234107303513237</v>
      </c>
      <c r="AT286" s="222">
        <f t="shared" si="14"/>
        <v>0</v>
      </c>
      <c r="AU286" s="222">
        <f t="shared" si="12"/>
        <v>0</v>
      </c>
      <c r="AV286" s="222">
        <f t="shared" si="12"/>
        <v>0</v>
      </c>
      <c r="AW286" s="222">
        <f t="shared" si="12"/>
        <v>11.528986354159821</v>
      </c>
      <c r="AX286" s="217"/>
    </row>
    <row r="287" spans="24:50" s="127" customFormat="1" hidden="1">
      <c r="X287" s="122"/>
      <c r="Y287" s="109"/>
      <c r="Z287" s="188" t="s">
        <v>46</v>
      </c>
      <c r="AA287" s="188">
        <v>2013</v>
      </c>
      <c r="AB287" s="188" t="s">
        <v>482</v>
      </c>
      <c r="AC287" s="188"/>
      <c r="AD287" s="188">
        <v>0</v>
      </c>
      <c r="AE287" s="188">
        <v>0</v>
      </c>
      <c r="AF287" s="188">
        <v>0</v>
      </c>
      <c r="AG287" s="188">
        <v>0</v>
      </c>
      <c r="AH287" s="188">
        <v>0</v>
      </c>
      <c r="AI287" s="188">
        <v>0</v>
      </c>
      <c r="AJ287" s="188">
        <v>0</v>
      </c>
      <c r="AK287" s="217"/>
      <c r="AL287" s="223">
        <v>0.9075385882666781</v>
      </c>
      <c r="AM287" s="188" t="s">
        <v>46</v>
      </c>
      <c r="AN287" s="188">
        <v>2013</v>
      </c>
      <c r="AO287" s="188" t="s">
        <v>482</v>
      </c>
      <c r="AP287" s="222">
        <f t="shared" si="14"/>
        <v>0</v>
      </c>
      <c r="AQ287" s="222">
        <f t="shared" si="14"/>
        <v>0</v>
      </c>
      <c r="AR287" s="222">
        <f t="shared" si="14"/>
        <v>0</v>
      </c>
      <c r="AS287" s="222">
        <f t="shared" si="14"/>
        <v>0</v>
      </c>
      <c r="AT287" s="222">
        <f t="shared" si="14"/>
        <v>0</v>
      </c>
      <c r="AU287" s="222">
        <f t="shared" si="12"/>
        <v>0</v>
      </c>
      <c r="AV287" s="222">
        <f t="shared" si="12"/>
        <v>0</v>
      </c>
      <c r="AW287" s="222">
        <f t="shared" si="12"/>
        <v>0</v>
      </c>
      <c r="AX287" s="217"/>
    </row>
    <row r="288" spans="24:50" hidden="1">
      <c r="X288" s="122"/>
      <c r="Y288" s="109"/>
      <c r="Z288" s="188" t="s">
        <v>46</v>
      </c>
      <c r="AA288" s="188">
        <v>2014</v>
      </c>
      <c r="AB288" s="188" t="s">
        <v>459</v>
      </c>
      <c r="AC288" s="188"/>
      <c r="AD288" s="188">
        <v>64794</v>
      </c>
      <c r="AE288" s="188">
        <v>4279</v>
      </c>
      <c r="AF288" s="188">
        <v>17471</v>
      </c>
      <c r="AG288" s="188">
        <v>3631</v>
      </c>
      <c r="AH288" s="188">
        <v>-42</v>
      </c>
      <c r="AI288" s="188">
        <v>1544</v>
      </c>
      <c r="AJ288" s="188">
        <v>91676</v>
      </c>
      <c r="AK288" s="217"/>
      <c r="AL288" s="223">
        <v>0.9240281714268912</v>
      </c>
      <c r="AM288" s="188" t="s">
        <v>46</v>
      </c>
      <c r="AN288" s="188">
        <v>2014</v>
      </c>
      <c r="AO288" s="188" t="s">
        <v>459</v>
      </c>
      <c r="AP288" s="222">
        <f t="shared" si="14"/>
        <v>0</v>
      </c>
      <c r="AQ288" s="222">
        <f t="shared" si="14"/>
        <v>70.121238727975808</v>
      </c>
      <c r="AR288" s="222">
        <f t="shared" si="14"/>
        <v>4.6308111942002119</v>
      </c>
      <c r="AS288" s="222">
        <f t="shared" si="14"/>
        <v>18.90743219767981</v>
      </c>
      <c r="AT288" s="222">
        <f t="shared" si="14"/>
        <v>3.9295338738352346</v>
      </c>
      <c r="AU288" s="222">
        <f t="shared" si="14"/>
        <v>-4.5453159653285551E-2</v>
      </c>
      <c r="AV288" s="222">
        <f t="shared" si="14"/>
        <v>1.6709447263017356</v>
      </c>
      <c r="AW288" s="222">
        <f t="shared" si="14"/>
        <v>99.213425342252535</v>
      </c>
      <c r="AX288" s="217"/>
    </row>
    <row r="289" spans="24:50" hidden="1">
      <c r="X289" s="122"/>
      <c r="Y289" s="109"/>
      <c r="Z289" s="188" t="s">
        <v>46</v>
      </c>
      <c r="AA289" s="188">
        <v>2014</v>
      </c>
      <c r="AB289" s="188" t="s">
        <v>483</v>
      </c>
      <c r="AC289" s="188"/>
      <c r="AD289" s="188">
        <v>7839</v>
      </c>
      <c r="AE289" s="188">
        <v>1129</v>
      </c>
      <c r="AF289" s="188">
        <v>78</v>
      </c>
      <c r="AG289" s="188"/>
      <c r="AH289" s="188"/>
      <c r="AI289" s="188"/>
      <c r="AJ289" s="188">
        <v>9046</v>
      </c>
      <c r="AK289" s="217"/>
      <c r="AL289" s="223">
        <v>0.9240281714268912</v>
      </c>
      <c r="AM289" s="188" t="s">
        <v>46</v>
      </c>
      <c r="AN289" s="188">
        <v>2014</v>
      </c>
      <c r="AO289" s="188" t="s">
        <v>483</v>
      </c>
      <c r="AP289" s="222">
        <f t="shared" si="14"/>
        <v>0</v>
      </c>
      <c r="AQ289" s="222">
        <f t="shared" si="14"/>
        <v>8.4835075838596552</v>
      </c>
      <c r="AR289" s="222">
        <f t="shared" si="14"/>
        <v>1.221824220203795</v>
      </c>
      <c r="AS289" s="222">
        <f t="shared" si="14"/>
        <v>8.441301078467317E-2</v>
      </c>
      <c r="AT289" s="222">
        <f t="shared" si="14"/>
        <v>0</v>
      </c>
      <c r="AU289" s="222">
        <f t="shared" si="14"/>
        <v>0</v>
      </c>
      <c r="AV289" s="222">
        <f t="shared" si="14"/>
        <v>0</v>
      </c>
      <c r="AW289" s="222">
        <f t="shared" si="14"/>
        <v>9.7897448148481221</v>
      </c>
      <c r="AX289" s="217"/>
    </row>
    <row r="290" spans="24:50" s="127" customFormat="1" hidden="1">
      <c r="X290" s="122"/>
      <c r="Y290" s="109"/>
      <c r="Z290" s="188" t="s">
        <v>46</v>
      </c>
      <c r="AA290" s="188">
        <v>2014</v>
      </c>
      <c r="AB290" s="188" t="s">
        <v>484</v>
      </c>
      <c r="AC290" s="188"/>
      <c r="AD290" s="188"/>
      <c r="AE290" s="188">
        <v>225</v>
      </c>
      <c r="AF290" s="188"/>
      <c r="AG290" s="188"/>
      <c r="AH290" s="188"/>
      <c r="AI290" s="188"/>
      <c r="AJ290" s="188">
        <v>225</v>
      </c>
      <c r="AK290" s="217"/>
      <c r="AL290" s="221">
        <f>VLOOKUP(AA290,pgdp!$A$13:$C$90,3,FALSE)</f>
        <v>0.9240281714268912</v>
      </c>
      <c r="AM290" s="188" t="s">
        <v>46</v>
      </c>
      <c r="AN290" s="188">
        <v>2014</v>
      </c>
      <c r="AO290" s="188" t="s">
        <v>484</v>
      </c>
      <c r="AP290" s="222">
        <f t="shared" si="14"/>
        <v>0</v>
      </c>
      <c r="AQ290" s="222">
        <f t="shared" si="14"/>
        <v>0</v>
      </c>
      <c r="AR290" s="222">
        <f t="shared" si="14"/>
        <v>0.24349906957117262</v>
      </c>
      <c r="AS290" s="222">
        <f t="shared" si="14"/>
        <v>0</v>
      </c>
      <c r="AT290" s="222">
        <f t="shared" si="14"/>
        <v>0</v>
      </c>
      <c r="AU290" s="222">
        <f t="shared" si="14"/>
        <v>0</v>
      </c>
      <c r="AV290" s="222">
        <f t="shared" si="14"/>
        <v>0</v>
      </c>
      <c r="AW290" s="222">
        <f t="shared" si="14"/>
        <v>0.24349906957117262</v>
      </c>
      <c r="AX290" s="217"/>
    </row>
    <row r="291" spans="24:50" hidden="1">
      <c r="X291" s="122"/>
      <c r="Y291" s="109"/>
      <c r="Z291" s="188" t="s">
        <v>46</v>
      </c>
      <c r="AA291" s="188">
        <v>2015</v>
      </c>
      <c r="AB291" s="188" t="s">
        <v>459</v>
      </c>
      <c r="AC291" s="188"/>
      <c r="AD291" s="188">
        <v>65292</v>
      </c>
      <c r="AE291" s="188">
        <v>4478</v>
      </c>
      <c r="AF291" s="188">
        <v>17363</v>
      </c>
      <c r="AG291" s="188">
        <v>2166</v>
      </c>
      <c r="AH291" s="188">
        <v>-1</v>
      </c>
      <c r="AI291" s="188">
        <v>1435</v>
      </c>
      <c r="AJ291" s="188">
        <v>90734</v>
      </c>
      <c r="AK291" s="217"/>
      <c r="AL291" s="221">
        <f>VLOOKUP(AA291,pgdp!$A$13:$C$90,3,FALSE)</f>
        <v>0.9351696664966358</v>
      </c>
      <c r="AM291" s="188" t="s">
        <v>46</v>
      </c>
      <c r="AN291" s="188">
        <v>2015</v>
      </c>
      <c r="AO291" s="188" t="s">
        <v>459</v>
      </c>
      <c r="AP291" s="222">
        <f t="shared" si="14"/>
        <v>0</v>
      </c>
      <c r="AQ291" s="222">
        <f t="shared" si="14"/>
        <v>69.818346701298708</v>
      </c>
      <c r="AR291" s="222">
        <f t="shared" si="14"/>
        <v>4.7884358961038958</v>
      </c>
      <c r="AS291" s="222">
        <f t="shared" si="14"/>
        <v>18.566684337662338</v>
      </c>
      <c r="AT291" s="222">
        <f t="shared" si="14"/>
        <v>2.3161572467532467</v>
      </c>
      <c r="AU291" s="222">
        <f t="shared" si="14"/>
        <v>-1.0693246753246755E-3</v>
      </c>
      <c r="AV291" s="222">
        <f t="shared" si="14"/>
        <v>1.5344809090909091</v>
      </c>
      <c r="AW291" s="222">
        <f t="shared" si="14"/>
        <v>97.024105090909103</v>
      </c>
      <c r="AX291" s="217"/>
    </row>
    <row r="292" spans="24:50" s="127" customFormat="1" hidden="1">
      <c r="X292" s="122"/>
      <c r="Y292" s="109"/>
      <c r="Z292" s="188" t="s">
        <v>46</v>
      </c>
      <c r="AA292" s="188">
        <v>2015</v>
      </c>
      <c r="AB292" s="188" t="s">
        <v>485</v>
      </c>
      <c r="AC292" s="188"/>
      <c r="AD292" s="188">
        <v>6634</v>
      </c>
      <c r="AE292" s="188">
        <v>1500</v>
      </c>
      <c r="AF292" s="188">
        <v>199</v>
      </c>
      <c r="AG292" s="188">
        <v>51</v>
      </c>
      <c r="AH292" s="188">
        <v>0</v>
      </c>
      <c r="AI292" s="188">
        <v>0</v>
      </c>
      <c r="AJ292" s="188">
        <v>8384</v>
      </c>
      <c r="AK292" s="217"/>
      <c r="AL292" s="223">
        <v>0.9351696664966358</v>
      </c>
      <c r="AM292" s="188" t="s">
        <v>46</v>
      </c>
      <c r="AN292" s="188">
        <v>2015</v>
      </c>
      <c r="AO292" s="188" t="s">
        <v>485</v>
      </c>
      <c r="AP292" s="222">
        <f t="shared" si="14"/>
        <v>0</v>
      </c>
      <c r="AQ292" s="222">
        <f t="shared" si="14"/>
        <v>7.0938998961038964</v>
      </c>
      <c r="AR292" s="222">
        <f t="shared" si="14"/>
        <v>1.6039870129870131</v>
      </c>
      <c r="AS292" s="222">
        <f t="shared" si="14"/>
        <v>0.2127956103896104</v>
      </c>
      <c r="AT292" s="222">
        <f t="shared" si="14"/>
        <v>5.453555844155844E-2</v>
      </c>
      <c r="AU292" s="222">
        <f t="shared" si="14"/>
        <v>0</v>
      </c>
      <c r="AV292" s="222">
        <f t="shared" si="14"/>
        <v>0</v>
      </c>
      <c r="AW292" s="222">
        <f t="shared" si="14"/>
        <v>8.9652180779220778</v>
      </c>
      <c r="AX292" s="217"/>
    </row>
    <row r="293" spans="24:50" hidden="1">
      <c r="X293" s="122"/>
      <c r="Y293" s="109"/>
      <c r="Z293" s="188" t="s">
        <v>46</v>
      </c>
      <c r="AA293" s="188">
        <v>2015</v>
      </c>
      <c r="AB293" s="188" t="s">
        <v>486</v>
      </c>
      <c r="AC293" s="188"/>
      <c r="AD293" s="188">
        <v>0</v>
      </c>
      <c r="AE293" s="188">
        <v>17</v>
      </c>
      <c r="AF293" s="188">
        <v>95</v>
      </c>
      <c r="AG293" s="188">
        <v>0</v>
      </c>
      <c r="AH293" s="188">
        <v>0</v>
      </c>
      <c r="AI293" s="188">
        <v>0</v>
      </c>
      <c r="AJ293" s="188">
        <v>112</v>
      </c>
      <c r="AK293" s="217"/>
      <c r="AL293" s="223">
        <v>0.9351696664966358</v>
      </c>
      <c r="AM293" s="188" t="s">
        <v>46</v>
      </c>
      <c r="AN293" s="188">
        <v>2015</v>
      </c>
      <c r="AO293" s="188" t="s">
        <v>486</v>
      </c>
      <c r="AP293" s="222">
        <f t="shared" si="14"/>
        <v>0</v>
      </c>
      <c r="AQ293" s="222">
        <f t="shared" si="14"/>
        <v>0</v>
      </c>
      <c r="AR293" s="222">
        <f t="shared" si="14"/>
        <v>1.8178519480519479E-2</v>
      </c>
      <c r="AS293" s="222">
        <f t="shared" si="14"/>
        <v>0.10158584415584415</v>
      </c>
      <c r="AT293" s="222">
        <f t="shared" si="14"/>
        <v>0</v>
      </c>
      <c r="AU293" s="222">
        <f t="shared" si="14"/>
        <v>0</v>
      </c>
      <c r="AV293" s="222">
        <f t="shared" si="14"/>
        <v>0</v>
      </c>
      <c r="AW293" s="222">
        <f t="shared" si="14"/>
        <v>0.11976436363636364</v>
      </c>
      <c r="AX293" s="217"/>
    </row>
    <row r="294" spans="24:50" s="127" customFormat="1" hidden="1">
      <c r="X294" s="122"/>
      <c r="Y294" s="109"/>
      <c r="Z294" s="188" t="s">
        <v>46</v>
      </c>
      <c r="AA294" s="188">
        <v>2016</v>
      </c>
      <c r="AB294" s="188" t="s">
        <v>459</v>
      </c>
      <c r="AC294" s="188"/>
      <c r="AD294" s="188">
        <v>64607</v>
      </c>
      <c r="AE294" s="188">
        <v>5347</v>
      </c>
      <c r="AF294" s="188">
        <v>18897</v>
      </c>
      <c r="AG294" s="188">
        <v>2244</v>
      </c>
      <c r="AH294" s="188">
        <v>-46</v>
      </c>
      <c r="AI294" s="188">
        <v>530</v>
      </c>
      <c r="AJ294" s="188">
        <v>91578</v>
      </c>
      <c r="AK294" s="217"/>
      <c r="AL294" s="223">
        <v>0.94602138468179731</v>
      </c>
      <c r="AM294" s="188" t="s">
        <v>46</v>
      </c>
      <c r="AN294" s="188">
        <v>2016</v>
      </c>
      <c r="AO294" s="188" t="s">
        <v>459</v>
      </c>
      <c r="AP294" s="222">
        <f t="shared" si="14"/>
        <v>0</v>
      </c>
      <c r="AQ294" s="222">
        <f t="shared" si="14"/>
        <v>68.293382206926694</v>
      </c>
      <c r="AR294" s="222">
        <f t="shared" si="14"/>
        <v>5.6520921055061679</v>
      </c>
      <c r="AS294" s="222">
        <f t="shared" si="14"/>
        <v>19.975235555965973</v>
      </c>
      <c r="AT294" s="222">
        <f t="shared" si="14"/>
        <v>2.3720394024230114</v>
      </c>
      <c r="AU294" s="222">
        <f t="shared" si="14"/>
        <v>-4.8624693632557267E-2</v>
      </c>
      <c r="AV294" s="222">
        <f t="shared" si="14"/>
        <v>0.56024103533163805</v>
      </c>
      <c r="AW294" s="222">
        <f t="shared" si="14"/>
        <v>96.803308553963674</v>
      </c>
      <c r="AX294" s="217"/>
    </row>
    <row r="295" spans="24:50" hidden="1">
      <c r="X295" s="122"/>
      <c r="Y295" s="109"/>
      <c r="Z295" s="188" t="s">
        <v>46</v>
      </c>
      <c r="AA295" s="188">
        <v>2016</v>
      </c>
      <c r="AB295" s="188" t="s">
        <v>487</v>
      </c>
      <c r="AC295" s="188"/>
      <c r="AD295" s="188">
        <v>7726</v>
      </c>
      <c r="AE295" s="188">
        <v>1191</v>
      </c>
      <c r="AF295" s="188">
        <v>188</v>
      </c>
      <c r="AG295" s="188">
        <v>0</v>
      </c>
      <c r="AH295" s="188">
        <v>0</v>
      </c>
      <c r="AI295" s="188">
        <v>0</v>
      </c>
      <c r="AJ295" s="188">
        <v>9105</v>
      </c>
      <c r="AK295" s="217"/>
      <c r="AL295" s="223">
        <v>0.94602138468179731</v>
      </c>
      <c r="AM295" s="188" t="s">
        <v>46</v>
      </c>
      <c r="AN295" s="188">
        <v>2016</v>
      </c>
      <c r="AO295" s="188" t="s">
        <v>487</v>
      </c>
      <c r="AP295" s="222">
        <f t="shared" si="14"/>
        <v>0</v>
      </c>
      <c r="AQ295" s="222">
        <f t="shared" si="14"/>
        <v>8.1668344131551613</v>
      </c>
      <c r="AR295" s="222">
        <f t="shared" si="14"/>
        <v>1.2589567416603415</v>
      </c>
      <c r="AS295" s="222">
        <f t="shared" si="14"/>
        <v>0.19872700875914712</v>
      </c>
      <c r="AT295" s="222">
        <f t="shared" si="14"/>
        <v>0</v>
      </c>
      <c r="AU295" s="222">
        <f t="shared" si="14"/>
        <v>0</v>
      </c>
      <c r="AV295" s="222">
        <f t="shared" si="14"/>
        <v>0</v>
      </c>
      <c r="AW295" s="222">
        <f t="shared" si="14"/>
        <v>9.6245181635746508</v>
      </c>
      <c r="AX295" s="217"/>
    </row>
    <row r="296" spans="24:50" hidden="1">
      <c r="X296" s="122"/>
      <c r="Y296" s="109"/>
      <c r="Z296" s="188" t="s">
        <v>46</v>
      </c>
      <c r="AA296" s="188">
        <v>2017</v>
      </c>
      <c r="AB296" s="188" t="s">
        <v>459</v>
      </c>
      <c r="AC296" s="188">
        <v>0</v>
      </c>
      <c r="AD296" s="188">
        <v>66333</v>
      </c>
      <c r="AE296" s="188">
        <v>5145</v>
      </c>
      <c r="AF296" s="188">
        <v>19193</v>
      </c>
      <c r="AG296" s="188">
        <v>2002</v>
      </c>
      <c r="AH296" s="188">
        <v>37</v>
      </c>
      <c r="AI296" s="188">
        <v>1251</v>
      </c>
      <c r="AJ296" s="188">
        <v>93961</v>
      </c>
      <c r="AK296" s="217"/>
      <c r="AL296" s="223">
        <v>0.96224036736890672</v>
      </c>
      <c r="AM296" s="188" t="s">
        <v>46</v>
      </c>
      <c r="AN296" s="188">
        <v>2017</v>
      </c>
      <c r="AO296" s="188" t="s">
        <v>459</v>
      </c>
      <c r="AP296" s="222">
        <f t="shared" si="14"/>
        <v>0</v>
      </c>
      <c r="AQ296" s="222">
        <f t="shared" si="14"/>
        <v>68.935997957949994</v>
      </c>
      <c r="AR296" s="222">
        <f t="shared" si="14"/>
        <v>5.3468968611950709</v>
      </c>
      <c r="AS296" s="222">
        <f t="shared" si="14"/>
        <v>19.946159661208359</v>
      </c>
      <c r="AT296" s="222">
        <f t="shared" si="14"/>
        <v>2.0805612276214838</v>
      </c>
      <c r="AU296" s="222">
        <f t="shared" si="14"/>
        <v>3.8451930780217233E-2</v>
      </c>
      <c r="AV296" s="222">
        <f t="shared" si="14"/>
        <v>1.3000909569203176</v>
      </c>
      <c r="AW296" s="222">
        <f t="shared" si="14"/>
        <v>97.64815859567544</v>
      </c>
      <c r="AX296" s="217"/>
    </row>
    <row r="297" spans="24:50" s="127" customFormat="1" hidden="1">
      <c r="X297" s="122"/>
      <c r="Y297" s="109"/>
      <c r="Z297" s="188" t="s">
        <v>46</v>
      </c>
      <c r="AA297" s="188">
        <v>2017</v>
      </c>
      <c r="AB297" s="188" t="s">
        <v>488</v>
      </c>
      <c r="AC297" s="188">
        <v>0</v>
      </c>
      <c r="AD297" s="188">
        <v>9238</v>
      </c>
      <c r="AE297" s="188">
        <v>1786</v>
      </c>
      <c r="AF297" s="188">
        <v>463</v>
      </c>
      <c r="AG297" s="188">
        <v>5</v>
      </c>
      <c r="AH297" s="188">
        <v>0</v>
      </c>
      <c r="AI297" s="188">
        <v>378</v>
      </c>
      <c r="AJ297" s="188">
        <v>11869</v>
      </c>
      <c r="AK297" s="217"/>
      <c r="AL297" s="223">
        <v>0.96224036736890672</v>
      </c>
      <c r="AM297" s="188" t="s">
        <v>46</v>
      </c>
      <c r="AN297" s="188">
        <v>2017</v>
      </c>
      <c r="AO297" s="188" t="s">
        <v>488</v>
      </c>
      <c r="AP297" s="222">
        <f t="shared" si="14"/>
        <v>0</v>
      </c>
      <c r="AQ297" s="222">
        <f t="shared" si="14"/>
        <v>9.6005117985850479</v>
      </c>
      <c r="AR297" s="222">
        <f t="shared" si="14"/>
        <v>1.8560850911748101</v>
      </c>
      <c r="AS297" s="222">
        <f t="shared" si="14"/>
        <v>0.4811687554389345</v>
      </c>
      <c r="AT297" s="222">
        <f t="shared" si="14"/>
        <v>5.1962068621915171E-3</v>
      </c>
      <c r="AU297" s="222">
        <f t="shared" si="14"/>
        <v>0</v>
      </c>
      <c r="AV297" s="222">
        <f t="shared" si="14"/>
        <v>0.39283323878167875</v>
      </c>
      <c r="AW297" s="222">
        <f t="shared" si="14"/>
        <v>12.334755849470225</v>
      </c>
      <c r="AX297" s="217"/>
    </row>
    <row r="298" spans="24:50" hidden="1">
      <c r="X298" s="122"/>
      <c r="Y298" s="109"/>
      <c r="Z298" s="188" t="s">
        <v>46</v>
      </c>
      <c r="AA298" s="188">
        <v>2018</v>
      </c>
      <c r="AB298" s="188" t="s">
        <v>459</v>
      </c>
      <c r="AC298" s="188">
        <v>0</v>
      </c>
      <c r="AD298" s="188">
        <v>67617</v>
      </c>
      <c r="AE298" s="188">
        <v>4909</v>
      </c>
      <c r="AF298" s="188">
        <v>18824</v>
      </c>
      <c r="AG298" s="188">
        <v>2005</v>
      </c>
      <c r="AH298" s="188">
        <v>37</v>
      </c>
      <c r="AI298" s="188">
        <v>1243</v>
      </c>
      <c r="AJ298" s="188">
        <v>94635</v>
      </c>
      <c r="AK298" s="217"/>
      <c r="AL298" s="223">
        <v>0.9807153483309915</v>
      </c>
      <c r="AM298" s="188" t="s">
        <v>46</v>
      </c>
      <c r="AN298" s="188">
        <v>2018</v>
      </c>
      <c r="AO298" s="188" t="s">
        <v>459</v>
      </c>
      <c r="AP298" s="222">
        <f t="shared" si="14"/>
        <v>0</v>
      </c>
      <c r="AQ298" s="222">
        <f t="shared" si="14"/>
        <v>68.946611384304802</v>
      </c>
      <c r="AR298" s="222">
        <f t="shared" si="14"/>
        <v>5.0055299005509317</v>
      </c>
      <c r="AS298" s="222">
        <f t="shared" si="14"/>
        <v>19.194152545930077</v>
      </c>
      <c r="AT298" s="222">
        <f t="shared" si="14"/>
        <v>2.0444260441239797</v>
      </c>
      <c r="AU298" s="222">
        <f t="shared" si="14"/>
        <v>3.7727562909021073E-2</v>
      </c>
      <c r="AV298" s="222">
        <f t="shared" si="14"/>
        <v>1.2674421809706271</v>
      </c>
      <c r="AW298" s="222">
        <f t="shared" si="14"/>
        <v>96.495889618789448</v>
      </c>
      <c r="AX298" s="217"/>
    </row>
    <row r="299" spans="24:50" s="127" customFormat="1" hidden="1">
      <c r="X299" s="122"/>
      <c r="Y299" s="109"/>
      <c r="Z299" s="188" t="s">
        <v>46</v>
      </c>
      <c r="AA299" s="188">
        <v>2018</v>
      </c>
      <c r="AB299" s="188" t="s">
        <v>489</v>
      </c>
      <c r="AC299" s="188">
        <v>0</v>
      </c>
      <c r="AD299" s="188">
        <v>10392</v>
      </c>
      <c r="AE299" s="188">
        <v>1932</v>
      </c>
      <c r="AF299" s="188">
        <v>445</v>
      </c>
      <c r="AG299" s="188">
        <v>5</v>
      </c>
      <c r="AH299" s="188">
        <v>0</v>
      </c>
      <c r="AI299" s="188">
        <v>378</v>
      </c>
      <c r="AJ299" s="188">
        <v>13151</v>
      </c>
      <c r="AK299" s="217"/>
      <c r="AL299" s="223">
        <v>0.9807153483309915</v>
      </c>
      <c r="AM299" s="188" t="s">
        <v>46</v>
      </c>
      <c r="AN299" s="188">
        <v>2018</v>
      </c>
      <c r="AO299" s="188" t="s">
        <v>489</v>
      </c>
      <c r="AP299" s="222">
        <f t="shared" si="14"/>
        <v>0</v>
      </c>
      <c r="AQ299" s="222">
        <f t="shared" si="14"/>
        <v>10.596346858122894</v>
      </c>
      <c r="AR299" s="222">
        <f t="shared" si="14"/>
        <v>1.9699905821683437</v>
      </c>
      <c r="AS299" s="222">
        <f t="shared" si="14"/>
        <v>0.45375041877065886</v>
      </c>
      <c r="AT299" s="222">
        <f t="shared" si="14"/>
        <v>5.0983193120298746E-3</v>
      </c>
      <c r="AU299" s="222">
        <f t="shared" si="14"/>
        <v>0</v>
      </c>
      <c r="AV299" s="222">
        <f t="shared" si="14"/>
        <v>0.3854329399894586</v>
      </c>
      <c r="AW299" s="222">
        <f t="shared" si="14"/>
        <v>13.409599454500977</v>
      </c>
      <c r="AX299" s="217"/>
    </row>
    <row r="300" spans="24:50" hidden="1">
      <c r="X300" s="122"/>
      <c r="Y300" s="109"/>
      <c r="Z300" s="188" t="s">
        <v>46</v>
      </c>
      <c r="AA300" s="188">
        <v>2018</v>
      </c>
      <c r="AB300" s="188" t="s">
        <v>490</v>
      </c>
      <c r="AC300" s="188">
        <v>0</v>
      </c>
      <c r="AD300" s="188">
        <v>24</v>
      </c>
      <c r="AE300" s="188">
        <v>1239</v>
      </c>
      <c r="AF300" s="188">
        <v>1010</v>
      </c>
      <c r="AG300" s="188">
        <v>200</v>
      </c>
      <c r="AH300" s="188">
        <v>0</v>
      </c>
      <c r="AI300" s="188">
        <v>0</v>
      </c>
      <c r="AJ300" s="188">
        <v>2473</v>
      </c>
      <c r="AK300" s="217"/>
      <c r="AL300" s="223">
        <v>0.9807153483309915</v>
      </c>
      <c r="AM300" s="188" t="s">
        <v>46</v>
      </c>
      <c r="AN300" s="188">
        <v>2018</v>
      </c>
      <c r="AO300" s="188" t="s">
        <v>490</v>
      </c>
      <c r="AP300" s="222">
        <f t="shared" si="14"/>
        <v>0</v>
      </c>
      <c r="AQ300" s="222">
        <f t="shared" si="14"/>
        <v>2.4471932697743403E-2</v>
      </c>
      <c r="AR300" s="222">
        <f t="shared" si="14"/>
        <v>1.2633635255210032</v>
      </c>
      <c r="AS300" s="222">
        <f t="shared" si="14"/>
        <v>1.0298605010300348</v>
      </c>
      <c r="AT300" s="222">
        <f t="shared" si="14"/>
        <v>0.20393277248119501</v>
      </c>
      <c r="AU300" s="222">
        <f t="shared" si="14"/>
        <v>0</v>
      </c>
      <c r="AV300" s="222">
        <f t="shared" si="14"/>
        <v>0</v>
      </c>
      <c r="AW300" s="222">
        <f t="shared" si="14"/>
        <v>2.5216287317299764</v>
      </c>
      <c r="AX300" s="217"/>
    </row>
    <row r="301" spans="24:50" s="127" customFormat="1" hidden="1">
      <c r="X301" s="122"/>
      <c r="Y301" s="109"/>
      <c r="Z301" s="188" t="s">
        <v>46</v>
      </c>
      <c r="AA301" s="188">
        <v>2019</v>
      </c>
      <c r="AB301" s="188" t="s">
        <v>459</v>
      </c>
      <c r="AC301" s="188">
        <v>0</v>
      </c>
      <c r="AD301" s="188">
        <v>72193</v>
      </c>
      <c r="AE301" s="188">
        <v>6925</v>
      </c>
      <c r="AF301" s="188">
        <v>22238</v>
      </c>
      <c r="AG301" s="188">
        <v>2864</v>
      </c>
      <c r="AH301" s="188">
        <v>61</v>
      </c>
      <c r="AI301" s="188">
        <v>1314</v>
      </c>
      <c r="AJ301" s="188">
        <v>105595</v>
      </c>
      <c r="AK301" s="217"/>
      <c r="AL301" s="223">
        <v>1</v>
      </c>
      <c r="AM301" s="188" t="s">
        <v>46</v>
      </c>
      <c r="AN301" s="188">
        <v>2019</v>
      </c>
      <c r="AO301" s="188" t="s">
        <v>459</v>
      </c>
      <c r="AP301" s="222">
        <f t="shared" si="14"/>
        <v>0</v>
      </c>
      <c r="AQ301" s="222">
        <f t="shared" si="14"/>
        <v>72.192999999999998</v>
      </c>
      <c r="AR301" s="222">
        <f t="shared" si="14"/>
        <v>6.9249999999999998</v>
      </c>
      <c r="AS301" s="222">
        <f t="shared" si="14"/>
        <v>22.238</v>
      </c>
      <c r="AT301" s="222">
        <f t="shared" si="14"/>
        <v>2.8639999999999999</v>
      </c>
      <c r="AU301" s="222">
        <f t="shared" si="14"/>
        <v>6.0999999999999999E-2</v>
      </c>
      <c r="AV301" s="222">
        <f t="shared" si="14"/>
        <v>1.3140000000000001</v>
      </c>
      <c r="AW301" s="222">
        <f t="shared" si="14"/>
        <v>105.595</v>
      </c>
      <c r="AX301" s="217"/>
    </row>
    <row r="302" spans="24:50" hidden="1">
      <c r="X302" s="122"/>
      <c r="Y302" s="109"/>
      <c r="Z302" s="188" t="s">
        <v>46</v>
      </c>
      <c r="AA302" s="188">
        <v>2019</v>
      </c>
      <c r="AB302" s="188" t="s">
        <v>491</v>
      </c>
      <c r="AC302" s="188">
        <v>0</v>
      </c>
      <c r="AD302" s="188">
        <v>9080</v>
      </c>
      <c r="AE302" s="188">
        <v>572</v>
      </c>
      <c r="AF302" s="188">
        <v>501</v>
      </c>
      <c r="AG302" s="188">
        <v>87</v>
      </c>
      <c r="AH302" s="188">
        <v>0</v>
      </c>
      <c r="AI302" s="188">
        <v>0</v>
      </c>
      <c r="AJ302" s="188">
        <v>10239</v>
      </c>
      <c r="AK302" s="217"/>
      <c r="AL302" s="223">
        <v>1</v>
      </c>
      <c r="AM302" s="188" t="s">
        <v>46</v>
      </c>
      <c r="AN302" s="188">
        <v>2019</v>
      </c>
      <c r="AO302" s="188" t="s">
        <v>491</v>
      </c>
      <c r="AP302" s="222">
        <f t="shared" si="14"/>
        <v>0</v>
      </c>
      <c r="AQ302" s="222">
        <f t="shared" si="14"/>
        <v>9.08</v>
      </c>
      <c r="AR302" s="222">
        <f t="shared" si="14"/>
        <v>0.57199999999999995</v>
      </c>
      <c r="AS302" s="222">
        <f t="shared" si="14"/>
        <v>0.501</v>
      </c>
      <c r="AT302" s="222">
        <f t="shared" si="14"/>
        <v>8.6999999999999994E-2</v>
      </c>
      <c r="AU302" s="222">
        <f t="shared" si="14"/>
        <v>0</v>
      </c>
      <c r="AV302" s="222">
        <f t="shared" si="14"/>
        <v>0</v>
      </c>
      <c r="AW302" s="222">
        <f t="shared" si="14"/>
        <v>10.239000000000001</v>
      </c>
      <c r="AX302" s="217"/>
    </row>
    <row r="303" spans="24:50">
      <c r="X303" s="122"/>
      <c r="Y303" s="109"/>
      <c r="Z303" s="217"/>
      <c r="AA303" s="217"/>
      <c r="AB303" s="217"/>
      <c r="AC303" s="217"/>
      <c r="AD303" s="217"/>
      <c r="AE303" s="217"/>
      <c r="AF303" s="217"/>
      <c r="AG303" s="217"/>
      <c r="AH303" s="217"/>
      <c r="AI303" s="217"/>
      <c r="AJ303" s="217"/>
      <c r="AK303" s="217"/>
      <c r="AL303" s="217"/>
      <c r="AM303" s="217"/>
      <c r="AN303" s="217"/>
      <c r="AO303" s="217"/>
      <c r="AP303" s="217"/>
      <c r="AQ303" s="217"/>
      <c r="AR303" s="217"/>
      <c r="AS303" s="217"/>
      <c r="AT303" s="217"/>
      <c r="AU303" s="217"/>
      <c r="AV303" s="217"/>
      <c r="AW303" s="217"/>
      <c r="AX303" s="217"/>
    </row>
    <row r="304" spans="24:50" s="127" customFormat="1">
      <c r="X304" s="122"/>
      <c r="Y304" s="109"/>
      <c r="Z304" s="217"/>
      <c r="AA304" s="217"/>
      <c r="AB304" s="217"/>
      <c r="AC304" s="217"/>
      <c r="AD304" s="217"/>
      <c r="AE304" s="217"/>
      <c r="AF304" s="217"/>
      <c r="AG304" s="217"/>
      <c r="AH304" s="217"/>
      <c r="AI304" s="217"/>
      <c r="AJ304" s="217"/>
      <c r="AK304" s="217"/>
      <c r="AL304" s="217"/>
      <c r="AM304" s="217"/>
      <c r="AN304" s="217"/>
      <c r="AO304" s="217"/>
      <c r="AP304" s="217"/>
      <c r="AQ304" s="217"/>
      <c r="AR304" s="217"/>
      <c r="AS304" s="217"/>
      <c r="AT304" s="217"/>
      <c r="AU304" s="217"/>
      <c r="AV304" s="217"/>
      <c r="AW304" s="217"/>
      <c r="AX304" s="224" t="s">
        <v>492</v>
      </c>
    </row>
    <row r="305" spans="24:50">
      <c r="X305" s="122"/>
      <c r="Y305" s="109"/>
      <c r="Z305" s="217"/>
      <c r="AA305" s="217"/>
      <c r="AB305" s="217"/>
      <c r="AC305" s="217"/>
      <c r="AD305" s="217"/>
      <c r="AE305" s="217"/>
      <c r="AF305" s="217"/>
      <c r="AG305" s="217"/>
      <c r="AH305" s="217"/>
      <c r="AI305" s="217"/>
      <c r="AJ305" s="217"/>
      <c r="AK305" s="217"/>
      <c r="AL305" s="217"/>
      <c r="AM305" s="217"/>
      <c r="AN305" s="217"/>
      <c r="AO305" s="217"/>
      <c r="AP305" s="217"/>
      <c r="AQ305" s="217"/>
      <c r="AR305" s="217"/>
      <c r="AS305" s="217"/>
      <c r="AT305" s="217"/>
      <c r="AU305" s="217"/>
      <c r="AV305" s="217"/>
      <c r="AW305" s="217"/>
      <c r="AX305" s="224" t="s">
        <v>493</v>
      </c>
    </row>
    <row r="306" spans="24:50" ht="24">
      <c r="X306" s="122"/>
      <c r="Y306" s="109"/>
      <c r="Z306" s="217"/>
      <c r="AA306" s="217"/>
      <c r="AB306" s="217"/>
      <c r="AC306" s="217"/>
      <c r="AD306" s="217"/>
      <c r="AE306" s="217"/>
      <c r="AF306" s="217"/>
      <c r="AG306" s="217"/>
      <c r="AH306" s="217"/>
      <c r="AI306" s="217"/>
      <c r="AJ306" s="217"/>
      <c r="AK306" s="217"/>
      <c r="AL306" s="217"/>
      <c r="AM306" s="217"/>
      <c r="AN306" s="217"/>
      <c r="AO306" s="217"/>
      <c r="AP306" s="217"/>
      <c r="AQ306" s="217"/>
      <c r="AR306" s="217"/>
      <c r="AS306" s="217"/>
      <c r="AT306" s="217"/>
      <c r="AU306" s="217"/>
      <c r="AV306" s="217"/>
      <c r="AW306" s="217"/>
      <c r="AX306" s="225" t="s">
        <v>494</v>
      </c>
    </row>
    <row r="307" spans="24:50" s="127" customFormat="1">
      <c r="X307" s="122"/>
      <c r="Y307" s="109"/>
      <c r="Z307" s="217"/>
      <c r="AA307" s="217"/>
      <c r="AB307" s="217"/>
      <c r="AC307" s="217"/>
      <c r="AD307" s="217"/>
      <c r="AE307" s="217"/>
      <c r="AF307" s="217"/>
      <c r="AG307" s="217"/>
      <c r="AH307" s="217"/>
      <c r="AI307" s="217"/>
      <c r="AJ307" s="217"/>
      <c r="AK307" s="217"/>
      <c r="AL307" s="217"/>
      <c r="AM307" s="217"/>
      <c r="AN307" s="217"/>
      <c r="AO307" s="217"/>
      <c r="AP307" s="217"/>
      <c r="AQ307" s="217"/>
      <c r="AR307" s="217"/>
      <c r="AS307" s="217"/>
      <c r="AT307" s="217"/>
      <c r="AU307" s="217"/>
      <c r="AV307" s="217"/>
      <c r="AW307" s="217"/>
      <c r="AX307" s="225"/>
    </row>
    <row r="308" spans="24:50">
      <c r="X308" s="122"/>
      <c r="Y308" s="109"/>
      <c r="Z308" s="217"/>
      <c r="AA308" s="217"/>
      <c r="AB308" s="217"/>
      <c r="AC308" s="217"/>
      <c r="AD308" s="217"/>
      <c r="AE308" s="217"/>
      <c r="AF308" s="217"/>
      <c r="AG308" s="217"/>
      <c r="AH308" s="217"/>
      <c r="AI308" s="217"/>
      <c r="AJ308" s="217"/>
      <c r="AK308" s="217"/>
      <c r="AL308" s="217"/>
      <c r="AM308" s="217"/>
      <c r="AN308" s="217"/>
      <c r="AO308" s="217"/>
      <c r="AP308" s="217"/>
      <c r="AQ308" s="217"/>
      <c r="AR308" s="217"/>
      <c r="AS308" s="217"/>
      <c r="AT308" s="217"/>
      <c r="AU308" s="217"/>
      <c r="AV308" s="217"/>
      <c r="AW308" s="217"/>
      <c r="AX308" s="226" t="s">
        <v>495</v>
      </c>
    </row>
    <row r="309" spans="24:50">
      <c r="X309" s="122"/>
      <c r="Y309" s="109"/>
      <c r="Z309" s="217"/>
      <c r="AA309" s="217"/>
      <c r="AB309" s="217"/>
      <c r="AC309" s="217"/>
      <c r="AD309" s="217"/>
      <c r="AE309" s="217"/>
      <c r="AF309" s="217"/>
      <c r="AG309" s="217"/>
      <c r="AH309" s="217"/>
      <c r="AI309" s="217"/>
      <c r="AJ309" s="217"/>
      <c r="AK309" s="217"/>
      <c r="AL309" s="217"/>
      <c r="AM309" s="217"/>
      <c r="AN309" s="217"/>
      <c r="AO309" s="217"/>
      <c r="AP309" s="217"/>
      <c r="AQ309" s="217"/>
      <c r="AR309" s="217"/>
      <c r="AS309" s="217"/>
      <c r="AT309" s="217"/>
      <c r="AU309" s="217"/>
      <c r="AV309" s="217"/>
      <c r="AW309" s="217"/>
      <c r="AX309" s="224" t="s">
        <v>496</v>
      </c>
    </row>
    <row r="310" spans="24:50">
      <c r="X310" s="122"/>
      <c r="Y310" s="109"/>
      <c r="Z310" s="217"/>
      <c r="AA310" s="217"/>
      <c r="AB310" s="217"/>
      <c r="AC310" s="217"/>
      <c r="AD310" s="217"/>
      <c r="AE310" s="217"/>
      <c r="AF310" s="217"/>
      <c r="AG310" s="217"/>
      <c r="AH310" s="217"/>
      <c r="AI310" s="217"/>
      <c r="AJ310" s="217"/>
      <c r="AK310" s="217"/>
      <c r="AL310" s="217"/>
      <c r="AM310" s="217"/>
      <c r="AN310" s="217"/>
      <c r="AO310" s="217"/>
      <c r="AP310" s="217"/>
      <c r="AQ310" s="217"/>
      <c r="AR310" s="217"/>
      <c r="AS310" s="217"/>
      <c r="AT310" s="217"/>
      <c r="AU310" s="217"/>
      <c r="AV310" s="217"/>
      <c r="AW310" s="217"/>
      <c r="AX310" s="224" t="s">
        <v>497</v>
      </c>
    </row>
    <row r="311" spans="24:50" s="127" customFormat="1">
      <c r="X311" s="122"/>
      <c r="Y311" s="109"/>
      <c r="Z311" s="217"/>
      <c r="AA311" s="217"/>
      <c r="AB311" s="217"/>
      <c r="AC311" s="217"/>
      <c r="AD311" s="217"/>
      <c r="AE311" s="217"/>
      <c r="AF311" s="217"/>
      <c r="AG311" s="217"/>
      <c r="AH311" s="217"/>
      <c r="AI311" s="217"/>
      <c r="AJ311" s="217"/>
      <c r="AK311" s="217"/>
      <c r="AL311" s="217"/>
      <c r="AM311" s="217"/>
      <c r="AN311" s="217"/>
      <c r="AO311" s="217"/>
      <c r="AP311" s="217"/>
      <c r="AQ311" s="217"/>
      <c r="AR311" s="217"/>
      <c r="AS311" s="217"/>
      <c r="AT311" s="217"/>
      <c r="AU311" s="217"/>
      <c r="AV311" s="217"/>
      <c r="AW311" s="217"/>
      <c r="AX311" s="224" t="s">
        <v>498</v>
      </c>
    </row>
    <row r="312" spans="24:50" ht="36">
      <c r="X312" s="122"/>
      <c r="Y312" s="109"/>
      <c r="Z312" s="217"/>
      <c r="AA312" s="217"/>
      <c r="AB312" s="217"/>
      <c r="AC312" s="217"/>
      <c r="AD312" s="217"/>
      <c r="AE312" s="217"/>
      <c r="AF312" s="217"/>
      <c r="AG312" s="217"/>
      <c r="AH312" s="217"/>
      <c r="AI312" s="217"/>
      <c r="AJ312" s="217"/>
      <c r="AK312" s="217"/>
      <c r="AL312" s="217"/>
      <c r="AM312" s="217"/>
      <c r="AN312" s="217"/>
      <c r="AO312" s="217"/>
      <c r="AP312" s="217"/>
      <c r="AQ312" s="217"/>
      <c r="AR312" s="217"/>
      <c r="AS312" s="217"/>
      <c r="AT312" s="217"/>
      <c r="AU312" s="217"/>
      <c r="AV312" s="217"/>
      <c r="AW312" s="217"/>
      <c r="AX312" s="225" t="s">
        <v>499</v>
      </c>
    </row>
    <row r="313" spans="24:50">
      <c r="X313" s="122"/>
      <c r="Y313" s="109"/>
      <c r="Z313" s="217"/>
      <c r="AA313" s="217"/>
      <c r="AB313" s="217"/>
      <c r="AC313" s="217"/>
      <c r="AD313" s="217"/>
      <c r="AE313" s="217"/>
      <c r="AF313" s="217"/>
      <c r="AG313" s="217"/>
      <c r="AH313" s="217"/>
      <c r="AI313" s="217"/>
      <c r="AJ313" s="217"/>
      <c r="AK313" s="217"/>
      <c r="AL313" s="217"/>
      <c r="AM313" s="217"/>
      <c r="AN313" s="217"/>
      <c r="AO313" s="217"/>
      <c r="AP313" s="217"/>
      <c r="AQ313" s="217"/>
      <c r="AR313" s="217"/>
      <c r="AS313" s="217"/>
      <c r="AT313" s="217"/>
      <c r="AU313" s="217"/>
      <c r="AV313" s="217"/>
      <c r="AW313" s="217"/>
      <c r="AX313" s="225"/>
    </row>
    <row r="314" spans="24:50" s="127" customFormat="1">
      <c r="X314" s="122"/>
      <c r="Y314" s="109"/>
      <c r="Z314" s="217"/>
      <c r="AA314" s="217"/>
      <c r="AB314" s="217"/>
      <c r="AC314" s="217"/>
      <c r="AD314" s="217"/>
      <c r="AE314" s="217"/>
      <c r="AF314" s="217"/>
      <c r="AG314" s="217"/>
      <c r="AH314" s="217"/>
      <c r="AI314" s="217"/>
      <c r="AJ314" s="217"/>
      <c r="AK314" s="217"/>
      <c r="AL314" s="217"/>
      <c r="AM314" s="217"/>
      <c r="AN314" s="217"/>
      <c r="AO314" s="217"/>
      <c r="AP314" s="217"/>
      <c r="AQ314" s="217"/>
      <c r="AR314" s="217"/>
      <c r="AS314" s="217"/>
      <c r="AT314" s="217"/>
      <c r="AU314" s="217"/>
      <c r="AV314" s="217"/>
      <c r="AW314" s="217"/>
      <c r="AX314" s="225"/>
    </row>
    <row r="315" spans="24:50" ht="24">
      <c r="X315" s="122"/>
      <c r="Y315" s="109"/>
      <c r="Z315" s="217"/>
      <c r="AA315" s="217"/>
      <c r="AB315" s="217"/>
      <c r="AC315" s="217"/>
      <c r="AD315" s="217"/>
      <c r="AE315" s="217"/>
      <c r="AF315" s="217"/>
      <c r="AG315" s="217"/>
      <c r="AH315" s="217"/>
      <c r="AI315" s="217"/>
      <c r="AJ315" s="217"/>
      <c r="AK315" s="217"/>
      <c r="AL315" s="217"/>
      <c r="AM315" s="217"/>
      <c r="AN315" s="217"/>
      <c r="AO315" s="217"/>
      <c r="AP315" s="217"/>
      <c r="AQ315" s="217"/>
      <c r="AR315" s="217"/>
      <c r="AS315" s="217"/>
      <c r="AT315" s="217"/>
      <c r="AU315" s="217"/>
      <c r="AV315" s="217"/>
      <c r="AW315" s="217"/>
      <c r="AX315" s="225" t="s">
        <v>500</v>
      </c>
    </row>
    <row r="316" spans="24:50" s="127" customFormat="1">
      <c r="X316" s="122"/>
      <c r="Y316" s="109"/>
      <c r="Z316" s="217"/>
      <c r="AA316" s="217"/>
      <c r="AB316" s="217"/>
      <c r="AC316" s="217"/>
      <c r="AD316" s="217"/>
      <c r="AE316" s="217"/>
      <c r="AF316" s="217"/>
      <c r="AG316" s="217"/>
      <c r="AH316" s="217"/>
      <c r="AI316" s="217"/>
      <c r="AJ316" s="217"/>
      <c r="AK316" s="217"/>
      <c r="AL316" s="217"/>
      <c r="AM316" s="217"/>
      <c r="AN316" s="217"/>
      <c r="AO316" s="217"/>
      <c r="AP316" s="217"/>
      <c r="AQ316" s="217"/>
      <c r="AR316" s="217"/>
      <c r="AS316" s="217"/>
      <c r="AT316" s="217"/>
      <c r="AU316" s="217"/>
      <c r="AV316" s="217"/>
      <c r="AW316" s="217"/>
      <c r="AX316" s="225"/>
    </row>
    <row r="317" spans="24:50">
      <c r="X317" s="122"/>
      <c r="Y317" s="109"/>
      <c r="Z317" s="217"/>
      <c r="AA317" s="217"/>
      <c r="AB317" s="217"/>
      <c r="AC317" s="217"/>
      <c r="AD317" s="217"/>
      <c r="AE317" s="217"/>
      <c r="AF317" s="217"/>
      <c r="AG317" s="217"/>
      <c r="AH317" s="217"/>
      <c r="AI317" s="217"/>
      <c r="AJ317" s="217"/>
      <c r="AK317" s="217"/>
      <c r="AL317" s="217"/>
      <c r="AM317" s="217"/>
      <c r="AN317" s="217"/>
      <c r="AO317" s="217"/>
      <c r="AP317" s="217"/>
      <c r="AQ317" s="217"/>
      <c r="AR317" s="217"/>
      <c r="AS317" s="217"/>
      <c r="AT317" s="217"/>
      <c r="AU317" s="217"/>
      <c r="AV317" s="217"/>
      <c r="AW317" s="217"/>
      <c r="AX317" s="224" t="s">
        <v>501</v>
      </c>
    </row>
    <row r="318" spans="24:50">
      <c r="X318" s="122"/>
      <c r="Y318" s="109"/>
      <c r="Z318" s="217"/>
      <c r="AA318" s="217"/>
      <c r="AB318" s="217"/>
      <c r="AC318" s="217"/>
      <c r="AD318" s="217"/>
      <c r="AE318" s="217"/>
      <c r="AF318" s="217"/>
      <c r="AG318" s="217"/>
      <c r="AH318" s="217"/>
      <c r="AI318" s="217"/>
      <c r="AJ318" s="217"/>
      <c r="AK318" s="217"/>
      <c r="AL318" s="217"/>
      <c r="AM318" s="217"/>
      <c r="AN318" s="217"/>
      <c r="AO318" s="217"/>
      <c r="AP318" s="217"/>
      <c r="AQ318" s="217"/>
      <c r="AR318" s="217"/>
      <c r="AS318" s="217"/>
      <c r="AT318" s="217"/>
      <c r="AU318" s="217"/>
      <c r="AV318" s="217"/>
      <c r="AW318" s="217"/>
      <c r="AX318" s="224" t="s">
        <v>502</v>
      </c>
    </row>
    <row r="319" spans="24:50">
      <c r="X319" s="122"/>
      <c r="Y319" s="109"/>
      <c r="Z319" s="217"/>
      <c r="AA319" s="217"/>
      <c r="AB319" s="217"/>
      <c r="AC319" s="217"/>
      <c r="AD319" s="217"/>
      <c r="AE319" s="217"/>
      <c r="AF319" s="217"/>
      <c r="AG319" s="217"/>
      <c r="AH319" s="217"/>
      <c r="AI319" s="217"/>
      <c r="AJ319" s="217"/>
      <c r="AK319" s="217"/>
      <c r="AL319" s="217"/>
      <c r="AM319" s="217"/>
      <c r="AN319" s="217"/>
      <c r="AO319" s="217"/>
      <c r="AP319" s="217"/>
      <c r="AQ319" s="217"/>
      <c r="AR319" s="217"/>
      <c r="AS319" s="217"/>
      <c r="AT319" s="217"/>
      <c r="AU319" s="217"/>
      <c r="AV319" s="217"/>
      <c r="AW319" s="217"/>
      <c r="AX319" s="227" t="s">
        <v>503</v>
      </c>
    </row>
    <row r="320" spans="24:50" s="127" customFormat="1">
      <c r="X320" s="122"/>
      <c r="Y320" s="109"/>
      <c r="Z320" s="217"/>
      <c r="AA320" s="217"/>
      <c r="AB320" s="217"/>
      <c r="AC320" s="217"/>
      <c r="AD320" s="217"/>
      <c r="AE320" s="217"/>
      <c r="AF320" s="217"/>
      <c r="AG320" s="217"/>
      <c r="AH320" s="217"/>
      <c r="AI320" s="217"/>
      <c r="AJ320" s="217"/>
      <c r="AK320" s="217"/>
      <c r="AL320" s="217"/>
      <c r="AM320" s="217"/>
      <c r="AN320" s="217"/>
      <c r="AO320" s="217"/>
      <c r="AP320" s="217"/>
      <c r="AQ320" s="217"/>
      <c r="AR320" s="217"/>
      <c r="AS320" s="217"/>
      <c r="AT320" s="217"/>
      <c r="AU320" s="217"/>
      <c r="AV320" s="217"/>
      <c r="AW320" s="217"/>
      <c r="AX320" s="227"/>
    </row>
    <row r="321" spans="24:50" ht="24">
      <c r="X321" s="122"/>
      <c r="Y321" s="109"/>
      <c r="Z321" s="217"/>
      <c r="AA321" s="217"/>
      <c r="AB321" s="217"/>
      <c r="AC321" s="217"/>
      <c r="AD321" s="217"/>
      <c r="AE321" s="217"/>
      <c r="AF321" s="217"/>
      <c r="AG321" s="217"/>
      <c r="AH321" s="217"/>
      <c r="AI321" s="217"/>
      <c r="AJ321" s="217"/>
      <c r="AK321" s="217"/>
      <c r="AL321" s="217"/>
      <c r="AM321" s="217"/>
      <c r="AN321" s="217"/>
      <c r="AO321" s="217"/>
      <c r="AP321" s="217"/>
      <c r="AQ321" s="217"/>
      <c r="AR321" s="217"/>
      <c r="AS321" s="217"/>
      <c r="AT321" s="217"/>
      <c r="AU321" s="217"/>
      <c r="AV321" s="217"/>
      <c r="AW321" s="217"/>
      <c r="AX321" s="225" t="s">
        <v>504</v>
      </c>
    </row>
    <row r="322" spans="24:50">
      <c r="X322" s="122"/>
      <c r="Y322" s="109"/>
      <c r="Z322" s="217"/>
      <c r="AA322" s="217"/>
      <c r="AB322" s="217"/>
      <c r="AC322" s="217"/>
      <c r="AD322" s="217"/>
      <c r="AE322" s="217"/>
      <c r="AF322" s="217"/>
      <c r="AG322" s="217"/>
      <c r="AH322" s="217"/>
      <c r="AI322" s="217"/>
      <c r="AJ322" s="217"/>
      <c r="AK322" s="217"/>
      <c r="AL322" s="217"/>
      <c r="AM322" s="217"/>
      <c r="AN322" s="217"/>
      <c r="AO322" s="217"/>
      <c r="AP322" s="217"/>
      <c r="AQ322" s="217"/>
      <c r="AR322" s="217"/>
      <c r="AS322" s="217"/>
      <c r="AT322" s="217"/>
      <c r="AU322" s="217"/>
      <c r="AV322" s="217"/>
      <c r="AW322" s="217"/>
      <c r="AX322" s="225"/>
    </row>
    <row r="323" spans="24:50" s="127" customFormat="1">
      <c r="X323" s="122"/>
      <c r="Y323" s="109"/>
      <c r="Z323" s="217"/>
      <c r="AA323" s="217"/>
      <c r="AB323" s="217"/>
      <c r="AC323" s="217"/>
      <c r="AD323" s="217"/>
      <c r="AE323" s="217"/>
      <c r="AF323" s="217"/>
      <c r="AG323" s="217"/>
      <c r="AH323" s="217"/>
      <c r="AI323" s="217"/>
      <c r="AJ323" s="217"/>
      <c r="AK323" s="217"/>
      <c r="AL323" s="217"/>
      <c r="AM323" s="217"/>
      <c r="AN323" s="217"/>
      <c r="AO323" s="217"/>
      <c r="AP323" s="217"/>
      <c r="AQ323" s="217"/>
      <c r="AR323" s="217"/>
      <c r="AS323" s="217"/>
      <c r="AT323" s="217"/>
      <c r="AU323" s="217"/>
      <c r="AV323" s="217"/>
      <c r="AW323" s="217"/>
      <c r="AX323" s="224" t="s">
        <v>505</v>
      </c>
    </row>
    <row r="324" spans="24:50">
      <c r="X324" s="122"/>
      <c r="Y324" s="109"/>
      <c r="Z324" s="217"/>
      <c r="AA324" s="217"/>
      <c r="AB324" s="217"/>
      <c r="AC324" s="217"/>
      <c r="AD324" s="217"/>
      <c r="AE324" s="217"/>
      <c r="AF324" s="217"/>
      <c r="AG324" s="217"/>
      <c r="AH324" s="217"/>
      <c r="AI324" s="217"/>
      <c r="AJ324" s="217"/>
      <c r="AK324" s="217"/>
      <c r="AL324" s="217"/>
      <c r="AM324" s="217"/>
      <c r="AN324" s="217"/>
      <c r="AO324" s="217"/>
      <c r="AP324" s="217"/>
      <c r="AQ324" s="217"/>
      <c r="AR324" s="217"/>
      <c r="AS324" s="217"/>
      <c r="AT324" s="217"/>
      <c r="AU324" s="217"/>
      <c r="AV324" s="217"/>
      <c r="AW324" s="217"/>
      <c r="AX324" s="224" t="s">
        <v>506</v>
      </c>
    </row>
    <row r="325" spans="24:50" s="127" customFormat="1">
      <c r="X325" s="122"/>
      <c r="Y325" s="109"/>
      <c r="Z325" s="217"/>
      <c r="AA325" s="217"/>
      <c r="AB325" s="217"/>
      <c r="AC325" s="217"/>
      <c r="AD325" s="217"/>
      <c r="AE325" s="217"/>
      <c r="AF325" s="217"/>
      <c r="AG325" s="217"/>
      <c r="AH325" s="217"/>
      <c r="AI325" s="217"/>
      <c r="AJ325" s="217"/>
      <c r="AK325" s="217"/>
      <c r="AL325" s="217"/>
      <c r="AM325" s="217"/>
      <c r="AN325" s="217"/>
      <c r="AO325" s="217"/>
      <c r="AP325" s="217"/>
      <c r="AQ325" s="217"/>
      <c r="AR325" s="217"/>
      <c r="AS325" s="217"/>
      <c r="AT325" s="217"/>
      <c r="AU325" s="217"/>
      <c r="AV325" s="217"/>
      <c r="AW325" s="217"/>
      <c r="AX325" s="224" t="s">
        <v>507</v>
      </c>
    </row>
    <row r="326" spans="24:50">
      <c r="X326" s="122"/>
      <c r="Y326" s="109"/>
      <c r="Z326" s="217"/>
      <c r="AA326" s="217"/>
      <c r="AB326" s="217"/>
      <c r="AC326" s="217"/>
      <c r="AD326" s="217"/>
      <c r="AE326" s="217"/>
      <c r="AF326" s="217"/>
      <c r="AG326" s="217"/>
      <c r="AH326" s="217"/>
      <c r="AI326" s="217"/>
      <c r="AJ326" s="217"/>
      <c r="AK326" s="217"/>
      <c r="AL326" s="217"/>
      <c r="AM326" s="217"/>
      <c r="AN326" s="217"/>
      <c r="AO326" s="217"/>
      <c r="AP326" s="217"/>
      <c r="AQ326" s="217"/>
      <c r="AR326" s="217"/>
      <c r="AS326" s="217"/>
      <c r="AT326" s="217"/>
      <c r="AU326" s="217"/>
      <c r="AV326" s="217"/>
      <c r="AW326" s="217"/>
      <c r="AX326" s="224" t="s">
        <v>508</v>
      </c>
    </row>
    <row r="327" spans="24:50" s="127" customFormat="1">
      <c r="X327" s="122"/>
      <c r="Y327" s="109"/>
      <c r="Z327" s="217"/>
      <c r="AA327" s="217"/>
      <c r="AB327" s="217"/>
      <c r="AC327" s="217"/>
      <c r="AD327" s="217"/>
      <c r="AE327" s="217"/>
      <c r="AF327" s="217"/>
      <c r="AG327" s="217"/>
      <c r="AH327" s="217"/>
      <c r="AI327" s="217"/>
      <c r="AJ327" s="217"/>
      <c r="AK327" s="217"/>
      <c r="AL327" s="217"/>
      <c r="AM327" s="217"/>
      <c r="AN327" s="217"/>
      <c r="AO327" s="217"/>
      <c r="AP327" s="217"/>
      <c r="AQ327" s="217"/>
      <c r="AR327" s="217"/>
      <c r="AS327" s="217"/>
      <c r="AT327" s="217"/>
      <c r="AU327" s="217"/>
      <c r="AV327" s="217"/>
      <c r="AW327" s="217"/>
      <c r="AX327" s="224" t="s">
        <v>509</v>
      </c>
    </row>
    <row r="328" spans="24:50">
      <c r="X328" s="122"/>
      <c r="Y328" s="109"/>
      <c r="Z328" s="217"/>
      <c r="AA328" s="217"/>
      <c r="AB328" s="217"/>
      <c r="AC328" s="217"/>
      <c r="AD328" s="217"/>
      <c r="AE328" s="217"/>
      <c r="AF328" s="217"/>
      <c r="AG328" s="217"/>
      <c r="AH328" s="217"/>
      <c r="AI328" s="217"/>
      <c r="AJ328" s="217"/>
      <c r="AK328" s="217"/>
      <c r="AL328" s="217"/>
      <c r="AM328" s="217"/>
      <c r="AN328" s="217"/>
      <c r="AO328" s="217"/>
      <c r="AP328" s="217"/>
      <c r="AQ328" s="217"/>
      <c r="AR328" s="217"/>
      <c r="AS328" s="217"/>
      <c r="AT328" s="217"/>
      <c r="AU328" s="217"/>
      <c r="AV328" s="217"/>
      <c r="AW328" s="217"/>
      <c r="AX328" s="224" t="s">
        <v>510</v>
      </c>
    </row>
    <row r="329" spans="24:50">
      <c r="X329" s="122"/>
      <c r="Y329" s="109"/>
      <c r="Z329" s="217"/>
      <c r="AA329" s="217"/>
      <c r="AB329" s="217"/>
      <c r="AC329" s="217"/>
      <c r="AD329" s="217"/>
      <c r="AE329" s="217"/>
      <c r="AF329" s="217"/>
      <c r="AG329" s="217"/>
      <c r="AH329" s="217"/>
      <c r="AI329" s="217"/>
      <c r="AJ329" s="217"/>
      <c r="AK329" s="217"/>
      <c r="AL329" s="217"/>
      <c r="AM329" s="217"/>
      <c r="AN329" s="217"/>
      <c r="AO329" s="217"/>
      <c r="AP329" s="217"/>
      <c r="AQ329" s="217"/>
      <c r="AR329" s="217"/>
      <c r="AS329" s="217"/>
      <c r="AT329" s="217"/>
      <c r="AU329" s="217"/>
      <c r="AV329" s="217"/>
      <c r="AW329" s="217"/>
      <c r="AX329" s="226" t="s">
        <v>511</v>
      </c>
    </row>
    <row r="330" spans="24:50" s="127" customFormat="1" ht="24">
      <c r="X330" s="122"/>
      <c r="Y330" s="109"/>
      <c r="Z330" s="217"/>
      <c r="AA330" s="217"/>
      <c r="AB330" s="217"/>
      <c r="AC330" s="217"/>
      <c r="AD330" s="217"/>
      <c r="AE330" s="217"/>
      <c r="AF330" s="217"/>
      <c r="AG330" s="217"/>
      <c r="AH330" s="217"/>
      <c r="AI330" s="217"/>
      <c r="AJ330" s="217"/>
      <c r="AK330" s="217"/>
      <c r="AL330" s="217"/>
      <c r="AM330" s="217"/>
      <c r="AN330" s="217"/>
      <c r="AO330" s="217"/>
      <c r="AP330" s="217"/>
      <c r="AQ330" s="217"/>
      <c r="AR330" s="217"/>
      <c r="AS330" s="217"/>
      <c r="AT330" s="217"/>
      <c r="AU330" s="217"/>
      <c r="AV330" s="217"/>
      <c r="AW330" s="217"/>
      <c r="AX330" s="225" t="s">
        <v>347</v>
      </c>
    </row>
    <row r="331" spans="24:50">
      <c r="X331" s="122"/>
      <c r="Y331" s="109"/>
      <c r="Z331" s="217"/>
      <c r="AA331" s="217"/>
      <c r="AB331" s="217"/>
      <c r="AC331" s="217"/>
      <c r="AD331" s="217"/>
      <c r="AE331" s="217"/>
      <c r="AF331" s="217"/>
      <c r="AG331" s="217"/>
      <c r="AH331" s="217"/>
      <c r="AI331" s="217"/>
      <c r="AJ331" s="217"/>
      <c r="AK331" s="217"/>
      <c r="AL331" s="217"/>
      <c r="AM331" s="217"/>
      <c r="AN331" s="217"/>
      <c r="AO331" s="217"/>
      <c r="AP331" s="217"/>
      <c r="AQ331" s="217"/>
      <c r="AR331" s="217"/>
      <c r="AS331" s="217"/>
      <c r="AT331" s="217"/>
      <c r="AU331" s="217"/>
      <c r="AV331" s="217"/>
      <c r="AW331" s="217"/>
      <c r="AX331" s="225"/>
    </row>
    <row r="332" spans="24:50">
      <c r="X332" s="122"/>
      <c r="Y332" s="109"/>
      <c r="Z332" s="217"/>
      <c r="AA332" s="217"/>
      <c r="AB332" s="217"/>
      <c r="AC332" s="217"/>
      <c r="AD332" s="217"/>
      <c r="AE332" s="217"/>
      <c r="AF332" s="217"/>
      <c r="AG332" s="217"/>
      <c r="AH332" s="217"/>
      <c r="AI332" s="217"/>
      <c r="AJ332" s="217"/>
      <c r="AK332" s="217"/>
      <c r="AL332" s="217"/>
      <c r="AM332" s="217"/>
      <c r="AN332" s="217"/>
      <c r="AO332" s="217"/>
      <c r="AP332" s="217"/>
      <c r="AQ332" s="217"/>
      <c r="AR332" s="217"/>
      <c r="AS332" s="217"/>
      <c r="AT332" s="217"/>
      <c r="AU332" s="217"/>
      <c r="AV332" s="217"/>
      <c r="AW332" s="217"/>
      <c r="AX332" s="224" t="s">
        <v>512</v>
      </c>
    </row>
    <row r="333" spans="24:50" s="127" customFormat="1">
      <c r="X333" s="122"/>
      <c r="Y333" s="109"/>
      <c r="Z333" s="217"/>
      <c r="AA333" s="217"/>
      <c r="AB333" s="217"/>
      <c r="AC333" s="217"/>
      <c r="AD333" s="217"/>
      <c r="AE333" s="217"/>
      <c r="AF333" s="217"/>
      <c r="AG333" s="217"/>
      <c r="AH333" s="217"/>
      <c r="AI333" s="217"/>
      <c r="AJ333" s="217"/>
      <c r="AK333" s="217"/>
      <c r="AL333" s="217"/>
      <c r="AM333" s="217"/>
      <c r="AN333" s="217"/>
      <c r="AO333" s="217"/>
      <c r="AP333" s="217"/>
      <c r="AQ333" s="217"/>
      <c r="AR333" s="217"/>
      <c r="AS333" s="217"/>
      <c r="AT333" s="217"/>
      <c r="AU333" s="217"/>
      <c r="AV333" s="217"/>
      <c r="AW333" s="217"/>
      <c r="AX333" s="228" t="s">
        <v>513</v>
      </c>
    </row>
    <row r="334" spans="24:50">
      <c r="X334" s="122"/>
      <c r="Y334" s="109"/>
      <c r="Z334" s="217"/>
      <c r="AA334" s="217"/>
      <c r="AB334" s="217"/>
      <c r="AC334" s="217"/>
      <c r="AD334" s="217"/>
      <c r="AE334" s="217"/>
      <c r="AF334" s="217"/>
      <c r="AG334" s="217"/>
      <c r="AH334" s="217"/>
      <c r="AI334" s="217"/>
      <c r="AJ334" s="217"/>
      <c r="AK334" s="217"/>
      <c r="AL334" s="217"/>
      <c r="AM334" s="217"/>
      <c r="AN334" s="217"/>
      <c r="AO334" s="217"/>
      <c r="AP334" s="217"/>
      <c r="AQ334" s="217"/>
      <c r="AR334" s="217"/>
      <c r="AS334" s="217"/>
      <c r="AT334" s="217"/>
      <c r="AU334" s="217"/>
      <c r="AV334" s="217"/>
      <c r="AW334" s="217"/>
      <c r="AX334" s="228" t="s">
        <v>514</v>
      </c>
    </row>
    <row r="335" spans="24:50">
      <c r="X335" s="122"/>
      <c r="Y335" s="109"/>
      <c r="Z335" s="217"/>
      <c r="AA335" s="217"/>
      <c r="AB335" s="217"/>
      <c r="AC335" s="217"/>
      <c r="AD335" s="217"/>
      <c r="AE335" s="217"/>
      <c r="AF335" s="217"/>
      <c r="AG335" s="217"/>
      <c r="AH335" s="217"/>
      <c r="AI335" s="217"/>
      <c r="AJ335" s="217"/>
      <c r="AK335" s="217"/>
      <c r="AL335" s="217"/>
      <c r="AM335" s="217"/>
      <c r="AN335" s="217"/>
      <c r="AO335" s="217"/>
      <c r="AP335" s="217"/>
      <c r="AQ335" s="217"/>
      <c r="AR335" s="217"/>
      <c r="AS335" s="217"/>
      <c r="AT335" s="217"/>
      <c r="AU335" s="217"/>
      <c r="AV335" s="217"/>
      <c r="AW335" s="217"/>
      <c r="AX335" s="228" t="s">
        <v>515</v>
      </c>
    </row>
    <row r="336" spans="24:50" s="127" customFormat="1">
      <c r="X336" s="122"/>
      <c r="Y336" s="109"/>
      <c r="Z336" s="217"/>
      <c r="AA336" s="217"/>
      <c r="AB336" s="217"/>
      <c r="AC336" s="217"/>
      <c r="AD336" s="217"/>
      <c r="AE336" s="217"/>
      <c r="AF336" s="217"/>
      <c r="AG336" s="217"/>
      <c r="AH336" s="217"/>
      <c r="AI336" s="217"/>
      <c r="AJ336" s="217"/>
      <c r="AK336" s="217"/>
      <c r="AL336" s="217"/>
      <c r="AM336" s="217"/>
      <c r="AN336" s="217"/>
      <c r="AO336" s="217"/>
      <c r="AP336" s="217"/>
      <c r="AQ336" s="217"/>
      <c r="AR336" s="217"/>
      <c r="AS336" s="217"/>
      <c r="AT336" s="217"/>
      <c r="AU336" s="217"/>
      <c r="AV336" s="217"/>
      <c r="AW336" s="217"/>
      <c r="AX336" s="228" t="s">
        <v>516</v>
      </c>
    </row>
    <row r="337" spans="24:50">
      <c r="X337" s="122"/>
      <c r="Y337" s="109"/>
      <c r="Z337" s="217"/>
      <c r="AA337" s="217"/>
      <c r="AB337" s="217"/>
      <c r="AC337" s="217"/>
      <c r="AD337" s="217"/>
      <c r="AE337" s="217"/>
      <c r="AF337" s="217"/>
      <c r="AG337" s="217"/>
      <c r="AH337" s="217"/>
      <c r="AI337" s="217"/>
      <c r="AJ337" s="217"/>
      <c r="AK337" s="217"/>
      <c r="AL337" s="217"/>
      <c r="AM337" s="217"/>
      <c r="AN337" s="217"/>
      <c r="AO337" s="217"/>
      <c r="AP337" s="217"/>
      <c r="AQ337" s="217"/>
      <c r="AR337" s="217"/>
      <c r="AS337" s="217"/>
      <c r="AT337" s="217"/>
      <c r="AU337" s="217"/>
      <c r="AV337" s="217"/>
      <c r="AW337" s="217"/>
      <c r="AX337" s="228" t="s">
        <v>517</v>
      </c>
    </row>
    <row r="338" spans="24:50" s="127" customFormat="1">
      <c r="X338" s="122"/>
      <c r="Y338" s="109"/>
      <c r="Z338" s="217"/>
      <c r="AA338" s="217"/>
      <c r="AB338" s="217"/>
      <c r="AC338" s="217"/>
      <c r="AD338" s="217"/>
      <c r="AE338" s="217"/>
      <c r="AF338" s="217"/>
      <c r="AG338" s="217"/>
      <c r="AH338" s="217"/>
      <c r="AI338" s="217"/>
      <c r="AJ338" s="217"/>
      <c r="AK338" s="217"/>
      <c r="AL338" s="217"/>
      <c r="AM338" s="217"/>
      <c r="AN338" s="217"/>
      <c r="AO338" s="217"/>
      <c r="AP338" s="217"/>
      <c r="AQ338" s="217"/>
      <c r="AR338" s="217"/>
      <c r="AS338" s="217"/>
      <c r="AT338" s="217"/>
      <c r="AU338" s="217"/>
      <c r="AV338" s="217"/>
      <c r="AW338" s="217"/>
      <c r="AX338" s="228" t="s">
        <v>518</v>
      </c>
    </row>
    <row r="339" spans="24:50">
      <c r="X339" s="122"/>
      <c r="Y339" s="109"/>
      <c r="Z339" s="217"/>
      <c r="AA339" s="217"/>
      <c r="AB339" s="217"/>
      <c r="AC339" s="217"/>
      <c r="AD339" s="217"/>
      <c r="AE339" s="217"/>
      <c r="AF339" s="217"/>
      <c r="AG339" s="217"/>
      <c r="AH339" s="217"/>
      <c r="AI339" s="217"/>
      <c r="AJ339" s="217"/>
      <c r="AK339" s="217"/>
      <c r="AL339" s="217"/>
      <c r="AM339" s="217"/>
      <c r="AN339" s="217"/>
      <c r="AO339" s="217"/>
      <c r="AP339" s="217"/>
      <c r="AQ339" s="217"/>
      <c r="AR339" s="217"/>
      <c r="AS339" s="217"/>
      <c r="AT339" s="217"/>
      <c r="AU339" s="217"/>
      <c r="AV339" s="217"/>
      <c r="AW339" s="217"/>
      <c r="AX339" s="228" t="s">
        <v>519</v>
      </c>
    </row>
    <row r="340" spans="24:50" s="127" customFormat="1" ht="24">
      <c r="X340" s="122"/>
      <c r="Y340" s="109"/>
      <c r="Z340" s="217"/>
      <c r="AA340" s="217"/>
      <c r="AB340" s="217"/>
      <c r="AC340" s="217"/>
      <c r="AD340" s="217"/>
      <c r="AE340" s="217"/>
      <c r="AF340" s="217"/>
      <c r="AG340" s="217"/>
      <c r="AH340" s="217"/>
      <c r="AI340" s="217"/>
      <c r="AJ340" s="217"/>
      <c r="AK340" s="217"/>
      <c r="AL340" s="217"/>
      <c r="AM340" s="217"/>
      <c r="AN340" s="217"/>
      <c r="AO340" s="217"/>
      <c r="AP340" s="217"/>
      <c r="AQ340" s="217"/>
      <c r="AR340" s="217"/>
      <c r="AS340" s="217"/>
      <c r="AT340" s="217"/>
      <c r="AU340" s="217"/>
      <c r="AV340" s="217"/>
      <c r="AW340" s="217"/>
      <c r="AX340" s="229" t="s">
        <v>520</v>
      </c>
    </row>
    <row r="341" spans="24:50">
      <c r="X341" s="122"/>
      <c r="Y341" s="109"/>
    </row>
    <row r="342" spans="24:50">
      <c r="X342" s="122"/>
      <c r="Y342" s="109"/>
    </row>
    <row r="343" spans="24:50" s="127" customFormat="1">
      <c r="X343" s="122"/>
      <c r="Y343" s="109"/>
    </row>
    <row r="344" spans="24:50">
      <c r="X344" s="122"/>
      <c r="Y344" s="109"/>
    </row>
    <row r="345" spans="24:50" s="127" customFormat="1">
      <c r="X345" s="122"/>
      <c r="Y345" s="109"/>
    </row>
    <row r="346" spans="24:50">
      <c r="X346" s="122"/>
      <c r="Y346" s="109"/>
    </row>
    <row r="347" spans="24:50" s="127" customFormat="1">
      <c r="X347" s="122"/>
      <c r="Y347" s="109"/>
    </row>
    <row r="348" spans="24:50">
      <c r="X348" s="122"/>
      <c r="Y348" s="109"/>
    </row>
    <row r="349" spans="24:50">
      <c r="X349" s="122"/>
      <c r="Y349" s="109"/>
    </row>
    <row r="350" spans="24:50" s="127" customFormat="1">
      <c r="X350" s="122"/>
      <c r="Y350" s="109"/>
    </row>
    <row r="351" spans="24:50">
      <c r="X351" s="122"/>
      <c r="Y351" s="109"/>
    </row>
    <row r="352" spans="24:50">
      <c r="X352" s="122"/>
      <c r="Y352" s="109"/>
    </row>
    <row r="353" spans="24:25" s="127" customFormat="1">
      <c r="X353" s="122"/>
      <c r="Y353" s="109"/>
    </row>
    <row r="354" spans="24:25">
      <c r="X354" s="122"/>
      <c r="Y354" s="109"/>
    </row>
    <row r="355" spans="24:25">
      <c r="X355" s="122"/>
      <c r="Y355" s="109"/>
    </row>
    <row r="356" spans="24:25">
      <c r="X356" s="122"/>
      <c r="Y356" s="109"/>
    </row>
    <row r="357" spans="24:25" s="127" customFormat="1">
      <c r="X357" s="122"/>
      <c r="Y357" s="109"/>
    </row>
    <row r="358" spans="24:25">
      <c r="X358" s="122"/>
      <c r="Y358" s="109"/>
    </row>
    <row r="359" spans="24:25">
      <c r="X359" s="122"/>
      <c r="Y359" s="109"/>
    </row>
    <row r="360" spans="24:25" s="127" customFormat="1">
      <c r="X360" s="122"/>
      <c r="Y360" s="109"/>
    </row>
    <row r="361" spans="24:25">
      <c r="X361" s="122"/>
      <c r="Y361" s="109"/>
    </row>
    <row r="362" spans="24:25" s="127" customFormat="1">
      <c r="X362" s="122"/>
      <c r="Y362" s="109"/>
    </row>
    <row r="363" spans="24:25">
      <c r="X363" s="122"/>
      <c r="Y363" s="109"/>
    </row>
    <row r="364" spans="24:25">
      <c r="X364" s="122"/>
      <c r="Y364" s="109"/>
    </row>
    <row r="365" spans="24:25">
      <c r="X365" s="122"/>
      <c r="Y365" s="109"/>
    </row>
    <row r="366" spans="24:25" s="127" customFormat="1">
      <c r="X366" s="122"/>
      <c r="Y366" s="109"/>
    </row>
    <row r="367" spans="24:25">
      <c r="X367" s="122"/>
      <c r="Y367" s="109"/>
    </row>
    <row r="368" spans="24:25">
      <c r="X368" s="122"/>
      <c r="Y368" s="109"/>
    </row>
    <row r="369" spans="24:25" s="127" customFormat="1">
      <c r="X369" s="122"/>
      <c r="Y369" s="109"/>
    </row>
    <row r="370" spans="24:25">
      <c r="X370" s="122"/>
      <c r="Y370" s="109"/>
    </row>
    <row r="371" spans="24:25" s="127" customFormat="1">
      <c r="X371" s="122"/>
      <c r="Y371" s="109"/>
    </row>
    <row r="372" spans="24:25">
      <c r="X372" s="122"/>
      <c r="Y372" s="109"/>
    </row>
    <row r="373" spans="24:25" s="127" customFormat="1">
      <c r="X373" s="122"/>
      <c r="Y373" s="109"/>
    </row>
    <row r="374" spans="24:25">
      <c r="X374" s="122"/>
      <c r="Y374" s="109"/>
    </row>
    <row r="375" spans="24:25">
      <c r="X375" s="122"/>
      <c r="Y375" s="109"/>
    </row>
    <row r="376" spans="24:25" s="127" customFormat="1">
      <c r="X376" s="122"/>
      <c r="Y376" s="109"/>
    </row>
    <row r="377" spans="24:25">
      <c r="X377" s="122"/>
      <c r="Y377" s="109"/>
    </row>
    <row r="378" spans="24:25">
      <c r="X378" s="122"/>
      <c r="Y378" s="109"/>
    </row>
    <row r="379" spans="24:25" s="127" customFormat="1">
      <c r="X379" s="122"/>
      <c r="Y379" s="109"/>
    </row>
    <row r="380" spans="24:25">
      <c r="X380" s="122"/>
      <c r="Y380" s="109"/>
    </row>
    <row r="381" spans="24:25">
      <c r="X381" s="122"/>
      <c r="Y381" s="109"/>
    </row>
    <row r="382" spans="24:25" s="127" customFormat="1">
      <c r="X382" s="122"/>
      <c r="Y382" s="109"/>
    </row>
    <row r="383" spans="24:25">
      <c r="X383" s="122"/>
      <c r="Y383" s="109"/>
    </row>
    <row r="384" spans="24:25" s="127" customFormat="1">
      <c r="X384" s="122"/>
      <c r="Y384" s="109"/>
    </row>
    <row r="385" spans="24:25">
      <c r="X385" s="122"/>
      <c r="Y385" s="109"/>
    </row>
    <row r="386" spans="24:25" s="127" customFormat="1">
      <c r="X386" s="122"/>
      <c r="Y386" s="109"/>
    </row>
    <row r="387" spans="24:25">
      <c r="X387" s="122"/>
      <c r="Y387" s="109"/>
    </row>
    <row r="388" spans="24:25">
      <c r="X388" s="122"/>
      <c r="Y388" s="109"/>
    </row>
    <row r="389" spans="24:25" s="127" customFormat="1">
      <c r="X389" s="122"/>
      <c r="Y389" s="109"/>
    </row>
    <row r="390" spans="24:25">
      <c r="X390" s="122"/>
      <c r="Y390" s="109"/>
    </row>
    <row r="391" spans="24:25" s="127" customFormat="1">
      <c r="X391" s="122"/>
      <c r="Y391" s="109"/>
    </row>
    <row r="392" spans="24:25">
      <c r="X392" s="122"/>
      <c r="Y392" s="109"/>
    </row>
    <row r="393" spans="24:25" s="127" customFormat="1">
      <c r="X393" s="122"/>
      <c r="Y393" s="109"/>
    </row>
    <row r="394" spans="24:25">
      <c r="X394" s="122"/>
      <c r="Y394" s="109"/>
    </row>
    <row r="395" spans="24:25">
      <c r="X395" s="122"/>
      <c r="Y395" s="109"/>
    </row>
    <row r="396" spans="24:25" s="127" customFormat="1">
      <c r="X396" s="122"/>
      <c r="Y396" s="109"/>
    </row>
    <row r="397" spans="24:25">
      <c r="X397" s="122"/>
      <c r="Y397" s="109"/>
    </row>
    <row r="398" spans="24:25">
      <c r="X398" s="122"/>
      <c r="Y398" s="109"/>
    </row>
    <row r="399" spans="24:25" s="127" customFormat="1">
      <c r="X399" s="122"/>
      <c r="Y399" s="109"/>
    </row>
    <row r="400" spans="24:25">
      <c r="X400" s="122"/>
      <c r="Y400" s="109"/>
    </row>
    <row r="401" spans="24:25">
      <c r="X401" s="122"/>
      <c r="Y401" s="109"/>
    </row>
    <row r="402" spans="24:25">
      <c r="X402" s="122"/>
      <c r="Y402" s="109"/>
    </row>
    <row r="403" spans="24:25" s="127" customFormat="1">
      <c r="X403" s="122"/>
      <c r="Y403" s="109"/>
    </row>
    <row r="404" spans="24:25">
      <c r="X404" s="122"/>
      <c r="Y404" s="109"/>
    </row>
    <row r="405" spans="24:25">
      <c r="X405" s="122"/>
      <c r="Y405" s="109"/>
    </row>
    <row r="406" spans="24:25" s="127" customFormat="1">
      <c r="X406" s="122"/>
      <c r="Y406" s="109"/>
    </row>
    <row r="407" spans="24:25">
      <c r="X407" s="122"/>
      <c r="Y407" s="109"/>
    </row>
    <row r="408" spans="24:25" s="127" customFormat="1">
      <c r="X408" s="122"/>
      <c r="Y408" s="109"/>
    </row>
    <row r="409" spans="24:25">
      <c r="X409" s="122"/>
      <c r="Y409" s="109"/>
    </row>
    <row r="410" spans="24:25">
      <c r="X410" s="122"/>
      <c r="Y410" s="109"/>
    </row>
    <row r="411" spans="24:25">
      <c r="X411" s="122"/>
      <c r="Y411" s="109"/>
    </row>
    <row r="412" spans="24:25" s="127" customFormat="1">
      <c r="X412" s="122"/>
      <c r="Y412" s="109"/>
    </row>
    <row r="413" spans="24:25">
      <c r="X413" s="122"/>
      <c r="Y413" s="109"/>
    </row>
    <row r="414" spans="24:25">
      <c r="X414" s="122"/>
      <c r="Y414" s="109"/>
    </row>
    <row r="415" spans="24:25" s="127" customFormat="1">
      <c r="X415" s="122"/>
      <c r="Y415" s="109"/>
    </row>
    <row r="416" spans="24:25">
      <c r="X416" s="122"/>
      <c r="Y416" s="109"/>
    </row>
    <row r="417" spans="24:25" s="127" customFormat="1">
      <c r="X417" s="122"/>
      <c r="Y417" s="109"/>
    </row>
    <row r="418" spans="24:25">
      <c r="X418" s="122"/>
      <c r="Y418" s="109"/>
    </row>
    <row r="419" spans="24:25" s="127" customFormat="1">
      <c r="X419" s="122"/>
      <c r="Y419" s="109"/>
    </row>
    <row r="420" spans="24:25">
      <c r="X420" s="122"/>
      <c r="Y420" s="109"/>
    </row>
    <row r="421" spans="24:25">
      <c r="X421" s="122"/>
      <c r="Y421" s="109"/>
    </row>
    <row r="422" spans="24:25" s="127" customFormat="1">
      <c r="X422" s="122"/>
      <c r="Y422" s="109"/>
    </row>
    <row r="423" spans="24:25">
      <c r="X423" s="122"/>
      <c r="Y423" s="109"/>
    </row>
    <row r="424" spans="24:25">
      <c r="X424" s="122"/>
      <c r="Y424" s="109"/>
    </row>
    <row r="425" spans="24:25" s="127" customFormat="1">
      <c r="X425" s="122"/>
      <c r="Y425" s="109"/>
    </row>
    <row r="426" spans="24:25">
      <c r="X426" s="122"/>
      <c r="Y426" s="109"/>
    </row>
    <row r="427" spans="24:25">
      <c r="X427" s="122"/>
      <c r="Y427" s="109"/>
    </row>
    <row r="428" spans="24:25" s="127" customFormat="1">
      <c r="X428" s="122"/>
      <c r="Y428" s="109"/>
    </row>
    <row r="429" spans="24:25">
      <c r="X429" s="122"/>
      <c r="Y429" s="109"/>
    </row>
    <row r="430" spans="24:25" s="127" customFormat="1">
      <c r="X430" s="122"/>
      <c r="Y430" s="109"/>
    </row>
    <row r="431" spans="24:25">
      <c r="X431" s="122"/>
      <c r="Y431" s="109"/>
    </row>
    <row r="432" spans="24:25">
      <c r="X432" s="123"/>
      <c r="Y432" s="124"/>
    </row>
    <row r="433" spans="24:25">
      <c r="X433" s="123"/>
      <c r="Y433" s="124"/>
    </row>
    <row r="434" spans="24:25">
      <c r="X434" s="123"/>
      <c r="Y434" s="124"/>
    </row>
    <row r="435" spans="24:25">
      <c r="X435" s="123"/>
      <c r="Y435" s="124"/>
    </row>
    <row r="436" spans="24:25">
      <c r="X436" s="123"/>
      <c r="Y436" s="124"/>
    </row>
    <row r="437" spans="24:25">
      <c r="X437" s="123"/>
      <c r="Y437" s="124"/>
    </row>
    <row r="438" spans="24:25">
      <c r="X438" s="123"/>
      <c r="Y438" s="124"/>
    </row>
    <row r="439" spans="24:25">
      <c r="X439" s="123"/>
      <c r="Y439" s="124"/>
    </row>
    <row r="440" spans="24:25">
      <c r="X440" s="123"/>
      <c r="Y440" s="124"/>
    </row>
    <row r="441" spans="24:25">
      <c r="X441" s="123"/>
      <c r="Y441" s="124"/>
    </row>
  </sheetData>
  <autoFilter ref="Z47:AB302" xr:uid="{D7F9E985-AE61-504A-9399-53806544EF6B}">
    <filterColumn colId="0">
      <filters>
        <filter val="Total Department of Defense"/>
      </filters>
    </filterColumn>
    <filterColumn colId="1">
      <filters>
        <filter val="2007"/>
      </filters>
    </filterColumn>
  </autoFilter>
  <mergeCells count="8">
    <mergeCell ref="A32:A36"/>
    <mergeCell ref="A37:A41"/>
    <mergeCell ref="A2:A6"/>
    <mergeCell ref="A7:A11"/>
    <mergeCell ref="A12:A16"/>
    <mergeCell ref="A17:A21"/>
    <mergeCell ref="A22:A26"/>
    <mergeCell ref="A27:A31"/>
  </mergeCells>
  <pageMargins left="0.7" right="0.7" top="0.75" bottom="0.75" header="0.3" footer="0.3"/>
  <pageSetup orientation="portrait" horizontalDpi="0" verticalDpi="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30"/>
  <sheetViews>
    <sheetView workbookViewId="0">
      <selection activeCell="B21" sqref="B21"/>
    </sheetView>
  </sheetViews>
  <sheetFormatPr baseColWidth="10" defaultRowHeight="16"/>
  <cols>
    <col min="1" max="1" width="33.1640625" bestFit="1" customWidth="1"/>
    <col min="2" max="8" width="15.1640625" customWidth="1"/>
  </cols>
  <sheetData>
    <row r="1" spans="1:8">
      <c r="A1" t="s">
        <v>97</v>
      </c>
      <c r="B1" t="s">
        <v>107</v>
      </c>
      <c r="E1" t="s">
        <v>104</v>
      </c>
      <c r="H1" t="s">
        <v>96</v>
      </c>
    </row>
    <row r="2" spans="1:8" ht="19">
      <c r="A2" s="42" t="s">
        <v>67</v>
      </c>
      <c r="B2" s="45" t="s">
        <v>105</v>
      </c>
      <c r="C2" s="45" t="s">
        <v>64</v>
      </c>
      <c r="D2" s="45" t="s">
        <v>7</v>
      </c>
      <c r="E2" s="45" t="s">
        <v>105</v>
      </c>
      <c r="F2" s="45" t="s">
        <v>64</v>
      </c>
      <c r="G2" s="45" t="s">
        <v>7</v>
      </c>
    </row>
    <row r="3" spans="1:8">
      <c r="A3" t="s">
        <v>0</v>
      </c>
      <c r="B3" s="32">
        <v>31.8306</v>
      </c>
      <c r="C3" s="32">
        <v>35.327399999999997</v>
      </c>
      <c r="D3" s="32">
        <f>SUM(B3:C3)</f>
        <v>67.158000000000001</v>
      </c>
      <c r="E3" s="32">
        <v>30.547999999999998</v>
      </c>
      <c r="F3" s="32">
        <v>39.2194</v>
      </c>
      <c r="G3" s="32">
        <f>SUM(E3:F3)</f>
        <v>69.767399999999995</v>
      </c>
      <c r="H3" s="32">
        <v>70.559399999999997</v>
      </c>
    </row>
    <row r="4" spans="1:8">
      <c r="A4" t="s">
        <v>60</v>
      </c>
      <c r="B4" s="32">
        <v>1.6269</v>
      </c>
      <c r="C4" s="32">
        <v>3.7315999999999998</v>
      </c>
      <c r="D4" s="32">
        <f t="shared" ref="D4:D19" si="0">SUM(B4:C4)</f>
        <v>5.3584999999999994</v>
      </c>
      <c r="E4" s="32">
        <v>3.3874</v>
      </c>
      <c r="F4" s="32">
        <v>7.9580000000000002</v>
      </c>
      <c r="G4" s="32">
        <f t="shared" ref="G4:G19" si="1">SUM(E4:F4)</f>
        <v>11.3454</v>
      </c>
      <c r="H4" s="32">
        <v>11.218999999999999</v>
      </c>
    </row>
    <row r="5" spans="1:8">
      <c r="A5" t="s">
        <v>68</v>
      </c>
      <c r="B5" s="32">
        <v>1.36</v>
      </c>
      <c r="C5" s="32">
        <v>1.958</v>
      </c>
      <c r="D5" s="32">
        <f t="shared" si="0"/>
        <v>3.3180000000000001</v>
      </c>
      <c r="E5" s="32">
        <v>1.9207000000000001</v>
      </c>
      <c r="F5" s="32">
        <v>2.4327999999999999</v>
      </c>
      <c r="G5" s="32">
        <f t="shared" si="1"/>
        <v>4.3535000000000004</v>
      </c>
      <c r="H5" s="32">
        <v>4</v>
      </c>
    </row>
    <row r="6" spans="1:8">
      <c r="A6" t="s">
        <v>69</v>
      </c>
      <c r="B6" s="32">
        <v>0.245</v>
      </c>
      <c r="C6" s="32">
        <v>1.2546999999999999</v>
      </c>
      <c r="D6" s="32">
        <f t="shared" si="0"/>
        <v>1.4996999999999998</v>
      </c>
      <c r="E6" s="32">
        <v>0.79530000000000001</v>
      </c>
      <c r="F6" s="32">
        <v>2.7227999999999999</v>
      </c>
      <c r="G6" s="32">
        <f t="shared" si="1"/>
        <v>3.5181</v>
      </c>
      <c r="H6" s="32">
        <v>2.7147000000000001</v>
      </c>
    </row>
    <row r="7" spans="1:8">
      <c r="A7" t="s">
        <v>98</v>
      </c>
      <c r="B7" s="32">
        <v>0</v>
      </c>
      <c r="C7" s="32">
        <v>4.9150999999999998</v>
      </c>
      <c r="D7" s="32">
        <f t="shared" si="0"/>
        <v>4.9150999999999998</v>
      </c>
      <c r="E7" s="32">
        <v>3.2</v>
      </c>
      <c r="F7" s="32">
        <v>9.7486999999999995</v>
      </c>
      <c r="G7" s="32">
        <f t="shared" si="1"/>
        <v>12.948699999999999</v>
      </c>
      <c r="H7" s="32">
        <v>4.7</v>
      </c>
    </row>
    <row r="8" spans="1:8">
      <c r="A8" t="s">
        <v>73</v>
      </c>
      <c r="B8" s="32">
        <v>0</v>
      </c>
      <c r="C8" s="32">
        <v>1.2</v>
      </c>
      <c r="D8" s="32">
        <f t="shared" si="0"/>
        <v>1.2</v>
      </c>
      <c r="E8" s="32">
        <v>0.9</v>
      </c>
      <c r="F8" s="32">
        <v>1</v>
      </c>
      <c r="G8" s="32">
        <f t="shared" si="1"/>
        <v>1.9</v>
      </c>
      <c r="H8" s="32">
        <v>1.7</v>
      </c>
    </row>
    <row r="9" spans="1:8">
      <c r="A9" t="s">
        <v>3</v>
      </c>
      <c r="B9" s="32">
        <v>0.5</v>
      </c>
      <c r="C9" s="32">
        <v>0.42299999999999999</v>
      </c>
      <c r="D9" s="32">
        <f t="shared" si="0"/>
        <v>0.92300000000000004</v>
      </c>
      <c r="E9" s="32">
        <v>0.5</v>
      </c>
      <c r="F9" s="32">
        <v>0.45639999999999997</v>
      </c>
      <c r="G9" s="32">
        <f t="shared" si="1"/>
        <v>0.95639999999999992</v>
      </c>
      <c r="H9" s="32">
        <v>0.97740000000000005</v>
      </c>
    </row>
    <row r="10" spans="1:8">
      <c r="A10" t="s">
        <v>45</v>
      </c>
      <c r="B10" s="32">
        <v>0</v>
      </c>
      <c r="C10" s="32">
        <v>0.21479999999999999</v>
      </c>
      <c r="D10" s="32">
        <f t="shared" si="0"/>
        <v>0.21479999999999999</v>
      </c>
      <c r="E10" s="32">
        <v>0</v>
      </c>
      <c r="F10" s="32">
        <v>1.1234</v>
      </c>
      <c r="G10" s="32">
        <f t="shared" si="1"/>
        <v>1.1234</v>
      </c>
      <c r="H10" s="32">
        <v>0.7389</v>
      </c>
    </row>
    <row r="11" spans="1:8">
      <c r="A11" t="s">
        <v>99</v>
      </c>
      <c r="B11" s="32">
        <v>0</v>
      </c>
      <c r="C11" s="32">
        <v>0</v>
      </c>
      <c r="D11" s="32">
        <f t="shared" si="0"/>
        <v>0</v>
      </c>
      <c r="E11" s="32">
        <v>0</v>
      </c>
      <c r="F11" s="32">
        <v>0.30630000000000002</v>
      </c>
      <c r="G11" s="32">
        <f t="shared" si="1"/>
        <v>0.30630000000000002</v>
      </c>
      <c r="H11" s="32">
        <v>0</v>
      </c>
    </row>
    <row r="12" spans="1:8">
      <c r="A12" t="s">
        <v>100</v>
      </c>
      <c r="B12" s="32">
        <v>1.181</v>
      </c>
      <c r="C12" s="32">
        <v>3.819</v>
      </c>
      <c r="D12" s="32">
        <f t="shared" si="0"/>
        <v>5</v>
      </c>
      <c r="E12" s="32">
        <v>0</v>
      </c>
      <c r="F12" s="32">
        <v>0</v>
      </c>
      <c r="G12" s="32">
        <f t="shared" si="1"/>
        <v>0</v>
      </c>
      <c r="H12" s="32">
        <v>0</v>
      </c>
    </row>
    <row r="13" spans="1:8">
      <c r="A13" s="11"/>
      <c r="B13" s="32"/>
      <c r="C13" s="32"/>
      <c r="D13" s="32">
        <f t="shared" si="0"/>
        <v>0</v>
      </c>
      <c r="E13" s="32"/>
      <c r="F13" s="32"/>
      <c r="G13" s="32">
        <f t="shared" si="1"/>
        <v>0</v>
      </c>
    </row>
    <row r="14" spans="1:8">
      <c r="A14" s="42" t="s">
        <v>5</v>
      </c>
      <c r="B14" s="32">
        <v>8.9911999999999992</v>
      </c>
      <c r="C14" s="32">
        <v>10.208600000000001</v>
      </c>
      <c r="D14" s="32">
        <f t="shared" si="0"/>
        <v>19.1998</v>
      </c>
      <c r="E14" s="32">
        <v>23.6158</v>
      </c>
      <c r="F14" s="32">
        <v>13.9435</v>
      </c>
      <c r="G14" s="32">
        <f t="shared" si="1"/>
        <v>37.5593</v>
      </c>
      <c r="H14" s="32">
        <v>37.577300000000001</v>
      </c>
    </row>
    <row r="15" spans="1:8" s="42" customFormat="1">
      <c r="A15" s="42" t="s">
        <v>101</v>
      </c>
      <c r="B15" s="43"/>
      <c r="C15" s="43"/>
      <c r="D15" s="32">
        <f t="shared" si="0"/>
        <v>0</v>
      </c>
      <c r="E15" s="43"/>
      <c r="F15" s="43"/>
      <c r="G15" s="32">
        <f t="shared" si="1"/>
        <v>0</v>
      </c>
    </row>
    <row r="16" spans="1:8">
      <c r="A16" t="s">
        <v>102</v>
      </c>
      <c r="B16" s="32">
        <v>0</v>
      </c>
      <c r="C16" s="32">
        <v>0</v>
      </c>
      <c r="D16" s="32">
        <f t="shared" si="0"/>
        <v>0</v>
      </c>
      <c r="E16" s="32">
        <v>0</v>
      </c>
      <c r="F16" s="32">
        <v>5.5515999999999996</v>
      </c>
      <c r="G16" s="32">
        <f t="shared" si="1"/>
        <v>5.5515999999999996</v>
      </c>
      <c r="H16" s="32">
        <v>0</v>
      </c>
    </row>
    <row r="17" spans="1:8">
      <c r="A17" t="s">
        <v>103</v>
      </c>
      <c r="B17" s="32">
        <v>0</v>
      </c>
      <c r="C17" s="32">
        <v>0</v>
      </c>
      <c r="D17" s="32">
        <f t="shared" si="0"/>
        <v>0</v>
      </c>
      <c r="E17" s="32">
        <v>0</v>
      </c>
      <c r="F17" s="32">
        <v>3.6120999999999999</v>
      </c>
      <c r="G17" s="32">
        <f t="shared" si="1"/>
        <v>3.6120999999999999</v>
      </c>
      <c r="H17" s="32">
        <v>1.5571999999999999</v>
      </c>
    </row>
    <row r="18" spans="1:8">
      <c r="A18" t="s">
        <v>106</v>
      </c>
      <c r="B18" s="32">
        <v>0</v>
      </c>
      <c r="C18" s="32">
        <v>0</v>
      </c>
      <c r="D18" s="32">
        <f t="shared" si="0"/>
        <v>0</v>
      </c>
      <c r="E18" s="32">
        <v>0</v>
      </c>
      <c r="F18" s="32">
        <v>1.68</v>
      </c>
      <c r="G18" s="32">
        <f t="shared" si="1"/>
        <v>1.68</v>
      </c>
      <c r="H18" s="32">
        <v>0</v>
      </c>
    </row>
    <row r="19" spans="1:8">
      <c r="A19" t="s">
        <v>76</v>
      </c>
      <c r="B19" s="32">
        <v>2.7652999999999999</v>
      </c>
      <c r="C19" s="32">
        <v>2.9750000000000001</v>
      </c>
      <c r="D19" s="32">
        <f t="shared" si="0"/>
        <v>5.7402999999999995</v>
      </c>
      <c r="E19" s="32">
        <v>5.1332000000000004</v>
      </c>
      <c r="F19" s="32">
        <v>3.6272000000000002</v>
      </c>
      <c r="G19" s="32">
        <f t="shared" si="1"/>
        <v>8.7604000000000006</v>
      </c>
      <c r="H19" s="32">
        <v>5.9206000000000003</v>
      </c>
    </row>
    <row r="20" spans="1:8">
      <c r="A20" s="42" t="s">
        <v>7</v>
      </c>
      <c r="B20" s="32">
        <f>SUM(B3:B19)</f>
        <v>48.5</v>
      </c>
      <c r="C20" s="32">
        <f t="shared" ref="C20:H20" si="2">SUM(C3:C19)</f>
        <v>66.027199999999993</v>
      </c>
      <c r="D20" s="32">
        <f t="shared" si="2"/>
        <v>114.52720000000001</v>
      </c>
      <c r="E20" s="32">
        <f t="shared" si="2"/>
        <v>70.000399999999999</v>
      </c>
      <c r="F20" s="32">
        <f t="shared" si="2"/>
        <v>93.382199999999997</v>
      </c>
      <c r="G20" s="32">
        <f t="shared" si="2"/>
        <v>163.38260000000002</v>
      </c>
      <c r="H20" s="32">
        <f t="shared" si="2"/>
        <v>141.6645</v>
      </c>
    </row>
    <row r="21" spans="1:8">
      <c r="A21" t="s">
        <v>109</v>
      </c>
      <c r="B21" s="32">
        <v>1.5</v>
      </c>
      <c r="D21" s="32"/>
      <c r="G21" s="32"/>
    </row>
    <row r="24" spans="1:8">
      <c r="A24" t="s">
        <v>108</v>
      </c>
    </row>
    <row r="25" spans="1:8">
      <c r="A25" s="28"/>
    </row>
    <row r="26" spans="1:8">
      <c r="A26" s="28"/>
    </row>
    <row r="27" spans="1:8">
      <c r="A27" s="28"/>
    </row>
    <row r="28" spans="1:8">
      <c r="A28" s="28"/>
    </row>
    <row r="29" spans="1:8">
      <c r="A29" s="28"/>
    </row>
    <row r="30" spans="1:8">
      <c r="A30" s="2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44"/>
  <sheetViews>
    <sheetView workbookViewId="0">
      <selection activeCell="B21" sqref="B21"/>
    </sheetView>
  </sheetViews>
  <sheetFormatPr baseColWidth="10" defaultRowHeight="16"/>
  <cols>
    <col min="1" max="1" width="39.83203125" customWidth="1"/>
    <col min="2" max="3" width="12.1640625" bestFit="1" customWidth="1"/>
    <col min="4" max="4" width="14.6640625" bestFit="1" customWidth="1"/>
    <col min="5" max="5" width="15" bestFit="1" customWidth="1"/>
    <col min="6" max="6" width="9.6640625" bestFit="1" customWidth="1"/>
  </cols>
  <sheetData>
    <row r="1" spans="1:6">
      <c r="A1" t="s">
        <v>95</v>
      </c>
      <c r="B1" t="s">
        <v>104</v>
      </c>
      <c r="C1" t="s">
        <v>96</v>
      </c>
      <c r="D1" t="s">
        <v>66</v>
      </c>
    </row>
    <row r="2" spans="1:6">
      <c r="A2" s="42" t="s">
        <v>67</v>
      </c>
      <c r="B2" t="s">
        <v>6</v>
      </c>
      <c r="C2" t="s">
        <v>6</v>
      </c>
      <c r="D2" t="s">
        <v>79</v>
      </c>
      <c r="E2" t="s">
        <v>80</v>
      </c>
      <c r="F2" t="s">
        <v>81</v>
      </c>
    </row>
    <row r="3" spans="1:6">
      <c r="A3" t="s">
        <v>0</v>
      </c>
      <c r="B3" s="32">
        <v>76.599999999999994</v>
      </c>
      <c r="C3" s="32">
        <v>77.5</v>
      </c>
      <c r="D3" s="32">
        <v>38.200000000000003</v>
      </c>
      <c r="E3" s="32">
        <v>38</v>
      </c>
      <c r="F3" s="32">
        <v>76.2</v>
      </c>
    </row>
    <row r="4" spans="1:6">
      <c r="A4" t="s">
        <v>60</v>
      </c>
      <c r="B4" s="32">
        <v>12.4</v>
      </c>
      <c r="C4" s="32">
        <v>23.9</v>
      </c>
      <c r="D4" s="32">
        <v>4.5</v>
      </c>
      <c r="E4" s="32">
        <v>9.8000000000000007</v>
      </c>
      <c r="F4" s="32">
        <v>14.3</v>
      </c>
    </row>
    <row r="5" spans="1:6">
      <c r="A5" t="s">
        <v>68</v>
      </c>
      <c r="B5" s="32">
        <v>4.4000000000000004</v>
      </c>
      <c r="C5" s="32">
        <v>4.2</v>
      </c>
      <c r="D5" s="32">
        <v>2</v>
      </c>
      <c r="E5" s="32">
        <v>1.5</v>
      </c>
      <c r="F5" s="32">
        <v>3.5</v>
      </c>
    </row>
    <row r="6" spans="1:6">
      <c r="A6" t="s">
        <v>69</v>
      </c>
      <c r="B6" s="32">
        <v>3.4</v>
      </c>
      <c r="C6" s="32">
        <v>4.9000000000000004</v>
      </c>
      <c r="D6" s="32">
        <v>1.4</v>
      </c>
      <c r="E6" s="32">
        <v>3.8</v>
      </c>
      <c r="F6" s="32">
        <v>5.0999999999999996</v>
      </c>
    </row>
    <row r="7" spans="1:6">
      <c r="A7" t="s">
        <v>70</v>
      </c>
      <c r="B7" s="32">
        <v>5.5</v>
      </c>
      <c r="C7" s="32">
        <v>3</v>
      </c>
      <c r="D7" s="32">
        <v>1</v>
      </c>
      <c r="E7" s="32">
        <v>0</v>
      </c>
      <c r="F7" s="32">
        <v>1</v>
      </c>
    </row>
    <row r="8" spans="1:6">
      <c r="A8" t="s">
        <v>71</v>
      </c>
      <c r="B8" s="32">
        <v>7.4</v>
      </c>
      <c r="C8" s="32">
        <v>2.7</v>
      </c>
      <c r="D8" s="32">
        <v>2</v>
      </c>
      <c r="E8" s="32">
        <v>3.6</v>
      </c>
      <c r="F8" s="32">
        <v>5.6</v>
      </c>
    </row>
    <row r="9" spans="1:6">
      <c r="A9" t="s">
        <v>72</v>
      </c>
      <c r="B9" s="32">
        <v>0</v>
      </c>
      <c r="C9" s="32">
        <v>0</v>
      </c>
      <c r="D9" s="32">
        <v>0</v>
      </c>
      <c r="E9" s="32">
        <v>0.4</v>
      </c>
      <c r="F9" s="32">
        <v>0.4</v>
      </c>
    </row>
    <row r="10" spans="1:6">
      <c r="A10" t="s">
        <v>73</v>
      </c>
      <c r="B10" s="32">
        <v>1.4</v>
      </c>
      <c r="C10" s="32">
        <v>1.4</v>
      </c>
      <c r="D10" s="32">
        <v>0.3</v>
      </c>
      <c r="E10" s="32">
        <v>1.4</v>
      </c>
      <c r="F10" s="32">
        <v>1.7</v>
      </c>
    </row>
    <row r="11" spans="1:6">
      <c r="A11" t="s">
        <v>3</v>
      </c>
      <c r="B11" s="32">
        <v>1</v>
      </c>
      <c r="C11" s="32">
        <v>1.7</v>
      </c>
      <c r="D11" s="32">
        <v>1</v>
      </c>
      <c r="E11" s="32">
        <v>0.5</v>
      </c>
      <c r="F11" s="32">
        <v>1.4</v>
      </c>
    </row>
    <row r="12" spans="1:6">
      <c r="A12" t="s">
        <v>45</v>
      </c>
      <c r="B12" s="32">
        <v>0.9</v>
      </c>
      <c r="C12" s="32">
        <v>1.3</v>
      </c>
      <c r="D12" s="32">
        <v>0</v>
      </c>
      <c r="E12" s="32">
        <v>0.9</v>
      </c>
      <c r="F12" s="32">
        <v>0.9</v>
      </c>
    </row>
    <row r="13" spans="1:6">
      <c r="A13" s="11" t="s">
        <v>78</v>
      </c>
      <c r="B13" s="32">
        <f>SUM(B3:B12)</f>
        <v>113.00000000000003</v>
      </c>
      <c r="C13" s="32">
        <f t="shared" ref="C13:F13" si="0">SUM(C3:C12)</f>
        <v>120.60000000000002</v>
      </c>
      <c r="D13" s="32">
        <f t="shared" si="0"/>
        <v>50.4</v>
      </c>
      <c r="E13" s="32">
        <f t="shared" si="0"/>
        <v>59.899999999999991</v>
      </c>
      <c r="F13" s="32">
        <f t="shared" si="0"/>
        <v>110.10000000000001</v>
      </c>
    </row>
    <row r="14" spans="1:6">
      <c r="A14" s="42" t="s">
        <v>5</v>
      </c>
      <c r="B14" s="32">
        <v>36.299999999999997</v>
      </c>
      <c r="C14" s="32">
        <v>50.5</v>
      </c>
      <c r="D14" s="32">
        <v>11.6</v>
      </c>
      <c r="E14" s="32">
        <v>11.6</v>
      </c>
      <c r="F14" s="32">
        <v>23.2</v>
      </c>
    </row>
    <row r="15" spans="1:6" s="42" customFormat="1">
      <c r="A15" s="42" t="s">
        <v>110</v>
      </c>
      <c r="B15" s="43"/>
      <c r="C15" s="43"/>
      <c r="D15" s="43"/>
      <c r="E15" s="43"/>
      <c r="F15" s="43"/>
    </row>
    <row r="16" spans="1:6">
      <c r="A16" t="s">
        <v>82</v>
      </c>
      <c r="B16" s="32">
        <v>3.6</v>
      </c>
      <c r="C16" s="32">
        <v>0</v>
      </c>
      <c r="D16" s="32">
        <v>0</v>
      </c>
      <c r="E16" s="32">
        <v>0</v>
      </c>
      <c r="F16" s="32">
        <v>0</v>
      </c>
    </row>
    <row r="17" spans="1:6">
      <c r="A17" t="s">
        <v>111</v>
      </c>
      <c r="B17" s="32">
        <v>1.5</v>
      </c>
      <c r="C17" s="32">
        <v>0.5</v>
      </c>
      <c r="D17" s="32">
        <v>0.1</v>
      </c>
      <c r="E17" s="32">
        <v>2.2000000000000002</v>
      </c>
      <c r="F17" s="32">
        <v>2.2999999999999998</v>
      </c>
    </row>
    <row r="18" spans="1:6">
      <c r="A18" t="s">
        <v>112</v>
      </c>
      <c r="B18" s="32">
        <v>0.9</v>
      </c>
      <c r="C18" s="32">
        <v>1.9</v>
      </c>
      <c r="D18" s="32">
        <v>0.8</v>
      </c>
      <c r="E18" s="32">
        <v>1.6</v>
      </c>
      <c r="F18" s="32">
        <v>2.5</v>
      </c>
    </row>
    <row r="19" spans="1:6">
      <c r="A19" t="s">
        <v>83</v>
      </c>
      <c r="B19" s="32">
        <v>0</v>
      </c>
      <c r="C19" s="32">
        <v>0</v>
      </c>
      <c r="D19" s="32">
        <v>0</v>
      </c>
      <c r="E19" s="32">
        <v>0.4</v>
      </c>
      <c r="F19" s="32">
        <v>0.4</v>
      </c>
    </row>
    <row r="20" spans="1:6">
      <c r="A20" t="s">
        <v>44</v>
      </c>
      <c r="B20" s="32">
        <v>0</v>
      </c>
      <c r="C20" s="32">
        <v>0</v>
      </c>
      <c r="D20" s="32">
        <v>0</v>
      </c>
      <c r="E20" s="32">
        <v>0.5</v>
      </c>
      <c r="F20" s="32">
        <v>0.5</v>
      </c>
    </row>
    <row r="21" spans="1:6">
      <c r="A21" t="s">
        <v>113</v>
      </c>
      <c r="B21" s="32">
        <v>14.2</v>
      </c>
      <c r="C21" s="32">
        <v>13.7</v>
      </c>
      <c r="D21" s="32">
        <v>2.9</v>
      </c>
      <c r="E21" s="32">
        <v>3.1</v>
      </c>
      <c r="F21" s="32">
        <v>6.1</v>
      </c>
    </row>
    <row r="22" spans="1:6">
      <c r="A22" s="11" t="s">
        <v>77</v>
      </c>
      <c r="B22" s="32">
        <f>SUM(B16:B21)</f>
        <v>20.2</v>
      </c>
      <c r="C22" s="32">
        <f>SUM(C16:C21)</f>
        <v>16.099999999999998</v>
      </c>
      <c r="D22" s="32">
        <f>SUM(D16:D21)</f>
        <v>3.8</v>
      </c>
      <c r="E22" s="32">
        <f t="shared" ref="E22:F22" si="1">SUM(E16:E21)</f>
        <v>7.8000000000000007</v>
      </c>
      <c r="F22" s="32">
        <f t="shared" si="1"/>
        <v>11.8</v>
      </c>
    </row>
    <row r="23" spans="1:6">
      <c r="A23" s="42" t="s">
        <v>7</v>
      </c>
      <c r="B23" s="32">
        <f>B22+B13+B14</f>
        <v>169.5</v>
      </c>
      <c r="C23" s="32">
        <f t="shared" ref="C23:E23" si="2">C22+C13+C14</f>
        <v>187.20000000000002</v>
      </c>
      <c r="D23" s="32">
        <f t="shared" si="2"/>
        <v>65.8</v>
      </c>
      <c r="E23" s="32">
        <f t="shared" si="2"/>
        <v>79.299999999999983</v>
      </c>
      <c r="F23" s="32">
        <f t="shared" ref="F23" si="3">F22+F13+F14</f>
        <v>145.1</v>
      </c>
    </row>
    <row r="25" spans="1:6">
      <c r="A25" s="46" t="s">
        <v>121</v>
      </c>
      <c r="E25">
        <v>-2.9</v>
      </c>
      <c r="F25">
        <v>-2.9</v>
      </c>
    </row>
    <row r="26" spans="1:6">
      <c r="A26" s="46" t="s">
        <v>120</v>
      </c>
      <c r="E26">
        <v>-0.5</v>
      </c>
      <c r="F26">
        <v>-0.5</v>
      </c>
    </row>
    <row r="27" spans="1:6">
      <c r="A27" s="46" t="s">
        <v>119</v>
      </c>
      <c r="E27">
        <v>-0.2</v>
      </c>
      <c r="F27">
        <v>-0.2</v>
      </c>
    </row>
    <row r="28" spans="1:6">
      <c r="A28" s="46" t="s">
        <v>118</v>
      </c>
      <c r="E28">
        <v>0.2</v>
      </c>
      <c r="F28">
        <v>0.2</v>
      </c>
    </row>
    <row r="29" spans="1:6">
      <c r="A29" s="46" t="s">
        <v>117</v>
      </c>
      <c r="E29">
        <v>-0.1</v>
      </c>
      <c r="F29">
        <v>-0.1</v>
      </c>
    </row>
    <row r="30" spans="1:6">
      <c r="A30" s="46" t="s">
        <v>116</v>
      </c>
      <c r="E30">
        <v>0.1</v>
      </c>
      <c r="F30">
        <v>0.1</v>
      </c>
    </row>
    <row r="31" spans="1:6">
      <c r="A31" s="46" t="s">
        <v>115</v>
      </c>
      <c r="E31">
        <v>-0.1</v>
      </c>
      <c r="F31">
        <v>-0.1</v>
      </c>
    </row>
    <row r="32" spans="1:6">
      <c r="A32" s="46" t="s">
        <v>114</v>
      </c>
      <c r="E32">
        <v>0.1</v>
      </c>
      <c r="F32">
        <v>0.1</v>
      </c>
    </row>
    <row r="33" spans="1:6">
      <c r="E33" s="32">
        <f>SUM(E25:E32)+E23</f>
        <v>75.899999999999977</v>
      </c>
      <c r="F33" s="32">
        <f>SUM(F25:F32)+F23</f>
        <v>141.69999999999999</v>
      </c>
    </row>
    <row r="38" spans="1:6">
      <c r="A38" s="28" t="s">
        <v>89</v>
      </c>
    </row>
    <row r="39" spans="1:6">
      <c r="A39" s="28" t="s">
        <v>90</v>
      </c>
    </row>
    <row r="40" spans="1:6">
      <c r="A40" s="28" t="s">
        <v>91</v>
      </c>
    </row>
    <row r="41" spans="1:6">
      <c r="A41" s="28" t="s">
        <v>92</v>
      </c>
    </row>
    <row r="42" spans="1:6">
      <c r="A42" s="28" t="s">
        <v>93</v>
      </c>
    </row>
    <row r="43" spans="1:6">
      <c r="A43" s="28" t="s">
        <v>94</v>
      </c>
    </row>
    <row r="44" spans="1:6">
      <c r="A44" s="28" t="s">
        <v>88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L36"/>
  <sheetViews>
    <sheetView zoomScale="112" zoomScaleNormal="112" zoomScalePageLayoutView="112" workbookViewId="0">
      <selection activeCell="D25" sqref="D25:D26"/>
    </sheetView>
  </sheetViews>
  <sheetFormatPr baseColWidth="10" defaultRowHeight="16"/>
  <cols>
    <col min="1" max="1" width="50.33203125" style="36" customWidth="1"/>
    <col min="2" max="4" width="17.6640625" style="36" customWidth="1"/>
    <col min="5" max="5" width="1.6640625" style="36" bestFit="1" customWidth="1"/>
    <col min="6" max="6" width="17.6640625" style="36" customWidth="1"/>
    <col min="7" max="7" width="5.6640625" style="36" bestFit="1" customWidth="1"/>
    <col min="8" max="8" width="9.33203125" style="36" bestFit="1" customWidth="1"/>
    <col min="9" max="9" width="5.6640625" style="36" bestFit="1" customWidth="1"/>
    <col min="10" max="10" width="8.83203125" style="36" bestFit="1" customWidth="1"/>
    <col min="11" max="11" width="5.6640625" style="36" bestFit="1" customWidth="1"/>
    <col min="12" max="12" width="9.83203125" style="36" bestFit="1" customWidth="1"/>
    <col min="13" max="16384" width="10.83203125" style="36"/>
  </cols>
  <sheetData>
    <row r="1" spans="1:12" ht="19">
      <c r="A1" s="40" t="s">
        <v>125</v>
      </c>
      <c r="B1" s="40" t="s">
        <v>66</v>
      </c>
      <c r="C1" s="40"/>
      <c r="D1" s="40"/>
      <c r="E1" s="40" t="s">
        <v>35</v>
      </c>
      <c r="F1" s="40" t="s">
        <v>65</v>
      </c>
      <c r="G1" s="35"/>
      <c r="H1" s="35"/>
      <c r="I1" s="35"/>
      <c r="J1" s="35"/>
      <c r="K1" s="35"/>
      <c r="L1" s="35"/>
    </row>
    <row r="2" spans="1:12" s="49" customFormat="1" ht="40">
      <c r="A2" s="50"/>
      <c r="B2" s="47" t="s">
        <v>6</v>
      </c>
      <c r="C2" s="47" t="s">
        <v>122</v>
      </c>
      <c r="D2" s="47" t="s">
        <v>7</v>
      </c>
      <c r="E2" s="47"/>
      <c r="F2" s="47" t="s">
        <v>8</v>
      </c>
      <c r="G2" s="48"/>
      <c r="H2" s="48"/>
      <c r="I2" s="48"/>
      <c r="J2" s="48"/>
      <c r="K2" s="48"/>
      <c r="L2" s="48"/>
    </row>
    <row r="3" spans="1:12" ht="17">
      <c r="A3" s="37" t="s">
        <v>0</v>
      </c>
      <c r="B3" s="51">
        <v>38.232099999999996</v>
      </c>
      <c r="C3" s="51">
        <v>38.001199999999997</v>
      </c>
      <c r="D3" s="51">
        <f>C3+B3</f>
        <v>76.233299999999986</v>
      </c>
      <c r="E3" s="51"/>
      <c r="F3" s="51">
        <v>74.063600000000008</v>
      </c>
      <c r="G3" s="41"/>
      <c r="H3" s="41"/>
      <c r="I3" s="41"/>
      <c r="J3" s="41"/>
    </row>
    <row r="4" spans="1:12" ht="17">
      <c r="A4" s="37" t="s">
        <v>60</v>
      </c>
      <c r="B4" s="51">
        <v>4.5285000000000002</v>
      </c>
      <c r="C4" s="51">
        <v>9.7639999999999993</v>
      </c>
      <c r="D4" s="51">
        <f t="shared" ref="D4:D26" si="0">C4+B4</f>
        <v>14.2925</v>
      </c>
      <c r="E4" s="51"/>
      <c r="F4" s="51">
        <v>15.2117</v>
      </c>
      <c r="G4" s="41"/>
      <c r="H4" s="41"/>
      <c r="I4" s="41"/>
      <c r="J4" s="41"/>
    </row>
    <row r="5" spans="1:12" ht="17">
      <c r="A5" s="37" t="s">
        <v>68</v>
      </c>
      <c r="B5" s="51">
        <v>2</v>
      </c>
      <c r="C5" s="51">
        <v>1.4667999999999999</v>
      </c>
      <c r="D5" s="51">
        <f t="shared" si="0"/>
        <v>3.4668000000000001</v>
      </c>
      <c r="E5" s="51"/>
      <c r="F5" s="51">
        <v>1.5349999999999999</v>
      </c>
      <c r="G5" s="41"/>
      <c r="H5" s="41"/>
      <c r="I5" s="41"/>
      <c r="J5" s="41"/>
    </row>
    <row r="6" spans="1:12" ht="17">
      <c r="A6" s="37" t="s">
        <v>69</v>
      </c>
      <c r="B6" s="51">
        <v>1.3645999999999998</v>
      </c>
      <c r="C6" s="51">
        <v>3.7694999999999999</v>
      </c>
      <c r="D6" s="51">
        <f t="shared" si="0"/>
        <v>5.1341000000000001</v>
      </c>
      <c r="E6" s="51"/>
      <c r="F6" s="51">
        <v>4.7326999999999995</v>
      </c>
      <c r="G6" s="41"/>
      <c r="H6" s="41"/>
      <c r="I6" s="41"/>
      <c r="J6" s="41"/>
    </row>
    <row r="7" spans="1:12" ht="17">
      <c r="A7" s="37" t="s">
        <v>70</v>
      </c>
      <c r="B7" s="51">
        <v>1</v>
      </c>
      <c r="C7" s="51">
        <v>0</v>
      </c>
      <c r="D7" s="51">
        <f t="shared" si="0"/>
        <v>1</v>
      </c>
      <c r="E7" s="51"/>
      <c r="F7" s="51">
        <v>0</v>
      </c>
      <c r="G7" s="41"/>
      <c r="H7" s="41"/>
      <c r="I7" s="41"/>
      <c r="J7" s="41"/>
    </row>
    <row r="8" spans="1:12" ht="17">
      <c r="A8" s="37" t="s">
        <v>71</v>
      </c>
      <c r="B8" s="51">
        <v>2</v>
      </c>
      <c r="C8" s="51">
        <v>3.6069</v>
      </c>
      <c r="D8" s="51">
        <f t="shared" si="0"/>
        <v>5.6068999999999996</v>
      </c>
      <c r="E8" s="51"/>
      <c r="F8" s="51">
        <v>7.4628000000000005</v>
      </c>
      <c r="G8" s="41"/>
      <c r="H8" s="41"/>
      <c r="I8" s="41"/>
      <c r="J8" s="41"/>
    </row>
    <row r="9" spans="1:12" ht="17">
      <c r="A9" s="37" t="s">
        <v>72</v>
      </c>
      <c r="B9" s="51">
        <v>0</v>
      </c>
      <c r="C9" s="51">
        <v>0.4</v>
      </c>
      <c r="D9" s="51">
        <f t="shared" si="0"/>
        <v>0.4</v>
      </c>
      <c r="E9" s="51"/>
      <c r="F9" s="51">
        <v>0.7</v>
      </c>
      <c r="G9" s="41"/>
      <c r="H9" s="41"/>
      <c r="I9" s="41"/>
      <c r="J9" s="41"/>
    </row>
    <row r="10" spans="1:12" ht="17">
      <c r="A10" s="37" t="s">
        <v>73</v>
      </c>
      <c r="B10" s="51">
        <v>0.3</v>
      </c>
      <c r="C10" s="51">
        <v>1.43</v>
      </c>
      <c r="D10" s="51">
        <f t="shared" si="0"/>
        <v>1.73</v>
      </c>
      <c r="E10" s="51"/>
      <c r="F10" s="51">
        <v>1.95</v>
      </c>
      <c r="G10" s="41"/>
      <c r="H10" s="41"/>
      <c r="I10" s="41"/>
      <c r="J10" s="41"/>
    </row>
    <row r="11" spans="1:12" ht="17">
      <c r="A11" s="37" t="s">
        <v>3</v>
      </c>
      <c r="B11" s="51">
        <v>0.97699999999999998</v>
      </c>
      <c r="C11" s="51">
        <v>0.45300000000000001</v>
      </c>
      <c r="D11" s="51">
        <f t="shared" si="0"/>
        <v>1.43</v>
      </c>
      <c r="E11" s="51"/>
      <c r="F11" s="51">
        <v>1.5</v>
      </c>
      <c r="G11" s="41"/>
      <c r="H11" s="41"/>
      <c r="I11" s="41"/>
      <c r="J11" s="41"/>
    </row>
    <row r="12" spans="1:12" ht="17">
      <c r="A12" s="37" t="s">
        <v>45</v>
      </c>
      <c r="B12" s="51">
        <v>0</v>
      </c>
      <c r="C12" s="51">
        <v>0.94679999999999997</v>
      </c>
      <c r="D12" s="51">
        <f t="shared" si="0"/>
        <v>0.94679999999999997</v>
      </c>
      <c r="E12" s="51"/>
      <c r="F12" s="51">
        <v>1.3984000000000001</v>
      </c>
      <c r="G12" s="41"/>
      <c r="H12" s="41"/>
      <c r="I12" s="41"/>
      <c r="J12" s="41"/>
    </row>
    <row r="13" spans="1:12" s="54" customFormat="1" ht="17">
      <c r="A13" s="38" t="s">
        <v>78</v>
      </c>
      <c r="B13" s="52">
        <f>SUM(B3:B12)</f>
        <v>50.402199999999993</v>
      </c>
      <c r="C13" s="52">
        <f t="shared" ref="C13:F13" si="1">SUM(C3:C12)</f>
        <v>59.838200000000001</v>
      </c>
      <c r="D13" s="52">
        <f t="shared" si="1"/>
        <v>110.24040000000001</v>
      </c>
      <c r="E13" s="52"/>
      <c r="F13" s="52">
        <f t="shared" si="1"/>
        <v>108.55420000000001</v>
      </c>
      <c r="G13" s="53"/>
      <c r="H13" s="53"/>
      <c r="I13" s="53"/>
      <c r="J13" s="53"/>
    </row>
    <row r="14" spans="1:12">
      <c r="A14" s="37"/>
      <c r="B14" s="51"/>
      <c r="C14" s="51"/>
      <c r="D14" s="51"/>
      <c r="E14" s="51"/>
      <c r="F14" s="51"/>
      <c r="G14" s="41"/>
      <c r="H14" s="41"/>
      <c r="I14" s="41"/>
      <c r="J14" s="41"/>
    </row>
    <row r="15" spans="1:12" ht="17">
      <c r="A15" s="38" t="s">
        <v>5</v>
      </c>
      <c r="B15" s="51">
        <v>11.6104</v>
      </c>
      <c r="C15" s="51">
        <v>11.565799999999999</v>
      </c>
      <c r="D15" s="51">
        <f t="shared" si="0"/>
        <v>23.176200000000001</v>
      </c>
      <c r="E15" s="51"/>
      <c r="F15" s="51">
        <v>17.567900000000002</v>
      </c>
      <c r="G15" s="41"/>
      <c r="H15" s="41"/>
      <c r="I15" s="41"/>
      <c r="J15" s="41"/>
    </row>
    <row r="16" spans="1:12" ht="17">
      <c r="A16" s="39" t="s">
        <v>126</v>
      </c>
      <c r="B16" s="51"/>
      <c r="C16" s="51"/>
      <c r="D16" s="51"/>
      <c r="E16" s="51"/>
      <c r="F16" s="51"/>
      <c r="G16" s="41"/>
      <c r="H16" s="41"/>
      <c r="I16" s="41"/>
      <c r="J16" s="41"/>
    </row>
    <row r="17" spans="1:12" ht="17">
      <c r="A17" s="37" t="s">
        <v>74</v>
      </c>
      <c r="B17" s="51">
        <v>0.13980000000000001</v>
      </c>
      <c r="C17" s="51">
        <v>2.1939000000000002</v>
      </c>
      <c r="D17" s="51">
        <f t="shared" si="0"/>
        <v>2.3337000000000003</v>
      </c>
      <c r="E17" s="51"/>
      <c r="F17" s="51">
        <v>0</v>
      </c>
      <c r="G17" s="41"/>
      <c r="H17" s="41"/>
      <c r="I17" s="41"/>
      <c r="J17" s="41"/>
    </row>
    <row r="18" spans="1:12" ht="17">
      <c r="A18" s="37" t="s">
        <v>127</v>
      </c>
      <c r="B18" s="51">
        <v>0.84639999999999993</v>
      </c>
      <c r="C18" s="51">
        <v>1.6457999999999999</v>
      </c>
      <c r="D18" s="51">
        <f t="shared" si="0"/>
        <v>2.4922</v>
      </c>
      <c r="E18" s="51"/>
      <c r="F18" s="51">
        <v>0</v>
      </c>
      <c r="G18" s="41"/>
      <c r="H18" s="41"/>
      <c r="I18" s="41"/>
      <c r="J18" s="41"/>
    </row>
    <row r="19" spans="1:12" ht="17">
      <c r="A19" s="37" t="s">
        <v>75</v>
      </c>
      <c r="B19" s="51">
        <v>0</v>
      </c>
      <c r="C19" s="51">
        <v>0.35</v>
      </c>
      <c r="D19" s="51">
        <f t="shared" si="0"/>
        <v>0.35</v>
      </c>
      <c r="E19" s="51"/>
      <c r="F19" s="51">
        <v>0</v>
      </c>
      <c r="G19" s="41"/>
      <c r="H19" s="41"/>
      <c r="I19" s="41"/>
      <c r="J19" s="41"/>
    </row>
    <row r="20" spans="1:12" ht="17">
      <c r="A20" s="37" t="s">
        <v>44</v>
      </c>
      <c r="B20" s="51">
        <v>0</v>
      </c>
      <c r="C20" s="51">
        <v>0.47089999999999999</v>
      </c>
      <c r="D20" s="51">
        <f t="shared" si="0"/>
        <v>0.47089999999999999</v>
      </c>
      <c r="E20" s="51"/>
      <c r="F20" s="51">
        <v>0</v>
      </c>
      <c r="G20" s="41"/>
      <c r="H20" s="41"/>
      <c r="I20" s="41"/>
      <c r="J20" s="41"/>
    </row>
    <row r="21" spans="1:12" ht="17">
      <c r="A21" s="37" t="s">
        <v>76</v>
      </c>
      <c r="B21" s="51">
        <v>2.9224000000000001</v>
      </c>
      <c r="C21" s="51">
        <v>3.1456</v>
      </c>
      <c r="D21" s="51">
        <f t="shared" si="0"/>
        <v>6.0679999999999996</v>
      </c>
      <c r="E21" s="51"/>
      <c r="F21" s="51">
        <v>3.8780000000000001</v>
      </c>
      <c r="G21" s="41"/>
      <c r="H21" s="41"/>
      <c r="I21" s="41"/>
      <c r="J21" s="41"/>
    </row>
    <row r="22" spans="1:12" s="54" customFormat="1" ht="17">
      <c r="A22" s="38" t="s">
        <v>77</v>
      </c>
      <c r="B22" s="52">
        <f>SUM(B17:B21)</f>
        <v>3.9085999999999999</v>
      </c>
      <c r="C22" s="52">
        <f t="shared" ref="C22:F22" si="2">SUM(C17:C21)</f>
        <v>7.8062000000000005</v>
      </c>
      <c r="D22" s="52">
        <f t="shared" si="2"/>
        <v>11.7148</v>
      </c>
      <c r="E22" s="52"/>
      <c r="F22" s="52">
        <f t="shared" si="2"/>
        <v>3.8780000000000001</v>
      </c>
      <c r="G22" s="53"/>
      <c r="H22" s="53"/>
      <c r="I22" s="53"/>
      <c r="J22" s="53"/>
    </row>
    <row r="23" spans="1:12">
      <c r="A23" s="37"/>
      <c r="B23" s="51"/>
      <c r="C23" s="51"/>
      <c r="D23" s="51"/>
      <c r="E23" s="51"/>
      <c r="F23" s="51"/>
      <c r="G23" s="41"/>
      <c r="H23" s="41"/>
      <c r="I23" s="41"/>
      <c r="J23" s="41"/>
    </row>
    <row r="24" spans="1:12" s="54" customFormat="1" ht="17">
      <c r="A24" s="38" t="s">
        <v>7</v>
      </c>
      <c r="B24" s="52">
        <f>B22+B15+B13</f>
        <v>65.921199999999999</v>
      </c>
      <c r="C24" s="52">
        <f t="shared" ref="C24:F24" si="3">C22+C15+C13</f>
        <v>79.2102</v>
      </c>
      <c r="D24" s="52">
        <f t="shared" si="3"/>
        <v>145.13140000000001</v>
      </c>
      <c r="E24" s="52"/>
      <c r="F24" s="52">
        <f t="shared" si="3"/>
        <v>130.0001</v>
      </c>
      <c r="G24" s="53"/>
      <c r="H24" s="53"/>
      <c r="I24" s="53"/>
      <c r="J24" s="53"/>
    </row>
    <row r="25" spans="1:12" ht="20">
      <c r="A25" s="37" t="s">
        <v>123</v>
      </c>
      <c r="B25" s="51">
        <v>0</v>
      </c>
      <c r="C25" s="51">
        <v>-2.91</v>
      </c>
      <c r="D25" s="51">
        <f t="shared" si="0"/>
        <v>-2.91</v>
      </c>
      <c r="E25" s="51"/>
      <c r="F25" s="51">
        <v>0</v>
      </c>
      <c r="G25" s="41"/>
      <c r="H25" s="41"/>
      <c r="I25" s="41"/>
      <c r="J25" s="41"/>
    </row>
    <row r="26" spans="1:12" ht="17">
      <c r="A26" s="37" t="s">
        <v>124</v>
      </c>
      <c r="B26" s="51">
        <v>0</v>
      </c>
      <c r="C26" s="51">
        <v>-0.47089999999999999</v>
      </c>
      <c r="D26" s="51">
        <f t="shared" si="0"/>
        <v>-0.47089999999999999</v>
      </c>
      <c r="E26" s="51"/>
      <c r="F26" s="51">
        <v>0</v>
      </c>
      <c r="G26" s="35"/>
      <c r="H26" s="35"/>
      <c r="I26" s="35"/>
      <c r="J26" s="35"/>
    </row>
    <row r="27" spans="1:12">
      <c r="A27" s="37"/>
      <c r="B27" s="51"/>
      <c r="C27" s="51"/>
      <c r="D27" s="51"/>
      <c r="E27" s="51"/>
      <c r="F27" s="51"/>
      <c r="G27" s="35"/>
      <c r="H27" s="35"/>
      <c r="I27" s="35"/>
      <c r="J27" s="35"/>
    </row>
    <row r="28" spans="1:12" s="54" customFormat="1" ht="17">
      <c r="A28" s="39" t="s">
        <v>7</v>
      </c>
      <c r="B28" s="52">
        <f>B24+B25+B26</f>
        <v>65.921199999999999</v>
      </c>
      <c r="C28" s="52">
        <f t="shared" ref="C28:F28" si="4">C24+C25+C26</f>
        <v>75.829300000000003</v>
      </c>
      <c r="D28" s="52">
        <f t="shared" si="4"/>
        <v>141.75050000000002</v>
      </c>
      <c r="E28" s="52"/>
      <c r="F28" s="52">
        <f t="shared" si="4"/>
        <v>130.0001</v>
      </c>
      <c r="G28" s="55"/>
      <c r="H28" s="55"/>
      <c r="I28" s="55"/>
      <c r="J28" s="55"/>
    </row>
    <row r="29" spans="1:12">
      <c r="A29" s="39"/>
      <c r="B29" s="35"/>
      <c r="C29" s="35"/>
      <c r="D29" s="35"/>
      <c r="E29" s="35"/>
      <c r="F29" s="35"/>
      <c r="G29" s="35"/>
      <c r="H29" s="35"/>
      <c r="I29" s="35"/>
      <c r="J29" s="35"/>
      <c r="K29" s="35"/>
      <c r="L29" s="35"/>
    </row>
    <row r="33" spans="1:1" s="44" customFormat="1" ht="14">
      <c r="A33" s="28" t="s">
        <v>84</v>
      </c>
    </row>
    <row r="34" spans="1:1" s="44" customFormat="1" ht="14">
      <c r="A34" s="28" t="s">
        <v>85</v>
      </c>
    </row>
    <row r="35" spans="1:1" s="44" customFormat="1" ht="14">
      <c r="A35" s="28" t="s">
        <v>86</v>
      </c>
    </row>
    <row r="36" spans="1:1" s="44" customFormat="1" ht="14">
      <c r="A36" s="28" t="s">
        <v>87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K50"/>
  <sheetViews>
    <sheetView workbookViewId="0">
      <selection activeCell="D4" sqref="D4"/>
    </sheetView>
  </sheetViews>
  <sheetFormatPr baseColWidth="10" defaultRowHeight="16"/>
  <cols>
    <col min="1" max="1" width="43.33203125" bestFit="1" customWidth="1"/>
    <col min="2" max="6" width="12" customWidth="1"/>
    <col min="7" max="7" width="5.1640625" bestFit="1" customWidth="1"/>
  </cols>
  <sheetData>
    <row r="1" spans="1:5">
      <c r="A1" t="s">
        <v>128</v>
      </c>
    </row>
    <row r="2" spans="1:5" ht="16" customHeight="1">
      <c r="A2" s="56"/>
      <c r="B2" t="s">
        <v>65</v>
      </c>
      <c r="E2" t="s">
        <v>147</v>
      </c>
    </row>
    <row r="3" spans="1:5">
      <c r="A3" s="56"/>
      <c r="B3" t="s">
        <v>6</v>
      </c>
      <c r="C3" t="s">
        <v>64</v>
      </c>
      <c r="D3" t="s">
        <v>7</v>
      </c>
      <c r="E3" t="s">
        <v>8</v>
      </c>
    </row>
    <row r="4" spans="1:5">
      <c r="A4" s="56" t="s">
        <v>0</v>
      </c>
      <c r="B4" s="59">
        <v>74.5</v>
      </c>
      <c r="C4" s="59">
        <v>19</v>
      </c>
      <c r="D4" s="59">
        <f>B4+C4</f>
        <v>93.5</v>
      </c>
      <c r="E4" s="59">
        <v>89.4</v>
      </c>
    </row>
    <row r="5" spans="1:5">
      <c r="A5" s="35" t="s">
        <v>60</v>
      </c>
      <c r="B5" s="59">
        <v>15.2</v>
      </c>
      <c r="C5" s="59">
        <v>3.3</v>
      </c>
      <c r="D5" s="59">
        <f t="shared" ref="D5:D17" si="0">B5+C5</f>
        <v>18.5</v>
      </c>
      <c r="E5" s="59">
        <v>12</v>
      </c>
    </row>
    <row r="6" spans="1:5">
      <c r="A6" s="56" t="s">
        <v>68</v>
      </c>
      <c r="B6" s="59">
        <v>1.8</v>
      </c>
      <c r="C6" s="59">
        <v>0.4</v>
      </c>
      <c r="D6" s="59">
        <f t="shared" si="0"/>
        <v>2.2000000000000002</v>
      </c>
      <c r="E6" s="59">
        <v>3.3</v>
      </c>
    </row>
    <row r="7" spans="1:5">
      <c r="A7" s="35" t="s">
        <v>132</v>
      </c>
      <c r="B7" s="59">
        <v>4.5999999999999996</v>
      </c>
      <c r="C7" s="59">
        <v>1.3</v>
      </c>
      <c r="D7" s="59">
        <f t="shared" si="0"/>
        <v>5.8999999999999995</v>
      </c>
      <c r="E7" s="59">
        <v>7</v>
      </c>
    </row>
    <row r="8" spans="1:5">
      <c r="A8" s="35" t="s">
        <v>70</v>
      </c>
      <c r="B8" s="59">
        <v>0</v>
      </c>
      <c r="C8" s="59">
        <v>1</v>
      </c>
      <c r="D8" s="59">
        <f t="shared" si="0"/>
        <v>1</v>
      </c>
      <c r="E8" s="59">
        <v>2</v>
      </c>
    </row>
    <row r="9" spans="1:5">
      <c r="A9" s="35" t="s">
        <v>133</v>
      </c>
      <c r="B9" s="59">
        <v>6.6</v>
      </c>
      <c r="C9" s="59">
        <v>2.6</v>
      </c>
      <c r="D9" s="59">
        <f t="shared" si="0"/>
        <v>9.1999999999999993</v>
      </c>
      <c r="E9" s="59">
        <v>11.6</v>
      </c>
    </row>
    <row r="10" spans="1:5">
      <c r="A10" s="35" t="s">
        <v>73</v>
      </c>
      <c r="B10" s="59">
        <v>1.9</v>
      </c>
      <c r="C10" s="59">
        <v>0</v>
      </c>
      <c r="D10" s="59">
        <f t="shared" si="0"/>
        <v>1.9</v>
      </c>
      <c r="E10" s="59">
        <v>2</v>
      </c>
    </row>
    <row r="11" spans="1:5">
      <c r="A11" s="35" t="s">
        <v>3</v>
      </c>
      <c r="B11" s="59">
        <v>1.2</v>
      </c>
      <c r="C11" s="59">
        <v>0</v>
      </c>
      <c r="D11" s="59">
        <f t="shared" si="0"/>
        <v>1.2</v>
      </c>
      <c r="E11" s="59">
        <v>1.3</v>
      </c>
    </row>
    <row r="12" spans="1:5">
      <c r="A12" s="35" t="s">
        <v>45</v>
      </c>
      <c r="B12" s="59">
        <v>1.4</v>
      </c>
      <c r="C12" s="59">
        <v>0.5</v>
      </c>
      <c r="D12" s="59">
        <f t="shared" si="0"/>
        <v>1.9</v>
      </c>
      <c r="E12" s="59">
        <v>1.2</v>
      </c>
    </row>
    <row r="13" spans="1:5">
      <c r="A13" s="35" t="s">
        <v>130</v>
      </c>
      <c r="B13" s="59">
        <v>17</v>
      </c>
      <c r="C13" s="59">
        <v>1.7</v>
      </c>
      <c r="D13" s="59">
        <f t="shared" si="0"/>
        <v>18.7</v>
      </c>
      <c r="E13" s="59">
        <v>21.3</v>
      </c>
    </row>
    <row r="14" spans="1:5">
      <c r="A14" s="35" t="s">
        <v>134</v>
      </c>
      <c r="B14" s="59">
        <v>1</v>
      </c>
      <c r="C14" s="59">
        <v>0</v>
      </c>
      <c r="D14" s="59">
        <f t="shared" si="0"/>
        <v>1</v>
      </c>
      <c r="E14" s="59">
        <v>2.1</v>
      </c>
    </row>
    <row r="15" spans="1:5">
      <c r="A15" s="35" t="s">
        <v>135</v>
      </c>
      <c r="B15" s="59">
        <v>0.4</v>
      </c>
      <c r="C15" s="59">
        <v>0</v>
      </c>
      <c r="D15" s="59">
        <f t="shared" si="0"/>
        <v>0.4</v>
      </c>
      <c r="E15" s="59">
        <v>0.5</v>
      </c>
    </row>
    <row r="16" spans="1:5">
      <c r="A16" s="35" t="s">
        <v>63</v>
      </c>
      <c r="B16" s="59">
        <v>0</v>
      </c>
      <c r="C16" s="59">
        <v>2</v>
      </c>
      <c r="D16" s="59">
        <f t="shared" si="0"/>
        <v>2</v>
      </c>
      <c r="E16" s="59">
        <v>0</v>
      </c>
    </row>
    <row r="17" spans="1:11">
      <c r="A17" s="56" t="s">
        <v>59</v>
      </c>
      <c r="B17" s="59">
        <v>4.0999999999999996</v>
      </c>
      <c r="C17" s="59">
        <v>1.2</v>
      </c>
      <c r="D17" s="59">
        <f t="shared" si="0"/>
        <v>5.3</v>
      </c>
      <c r="E17" s="59">
        <v>5.6</v>
      </c>
    </row>
    <row r="18" spans="1:11">
      <c r="A18" s="56" t="s">
        <v>136</v>
      </c>
      <c r="B18" s="59">
        <f>SUM(B4:B17)</f>
        <v>129.70000000000002</v>
      </c>
      <c r="C18" s="59">
        <f t="shared" ref="C18:E18" si="1">SUM(C4:C17)</f>
        <v>33</v>
      </c>
      <c r="D18" s="59">
        <f t="shared" si="1"/>
        <v>162.70000000000002</v>
      </c>
      <c r="E18" s="59">
        <f t="shared" si="1"/>
        <v>159.29999999999998</v>
      </c>
    </row>
    <row r="19" spans="1:11">
      <c r="A19" s="57"/>
    </row>
    <row r="20" spans="1:11">
      <c r="A20" s="56"/>
    </row>
    <row r="21" spans="1:11">
      <c r="A21" s="35" t="s">
        <v>137</v>
      </c>
      <c r="B21" s="61" t="s">
        <v>148</v>
      </c>
      <c r="C21" s="61" t="s">
        <v>149</v>
      </c>
      <c r="D21" s="61" t="s">
        <v>150</v>
      </c>
    </row>
    <row r="22" spans="1:11">
      <c r="A22" s="35" t="s">
        <v>138</v>
      </c>
      <c r="B22" s="60">
        <v>140700</v>
      </c>
      <c r="C22" s="60">
        <v>100000</v>
      </c>
      <c r="D22" s="60">
        <v>43000</v>
      </c>
    </row>
    <row r="23" spans="1:11">
      <c r="A23" s="35" t="s">
        <v>139</v>
      </c>
      <c r="B23" s="60">
        <v>44300</v>
      </c>
      <c r="C23" s="60">
        <v>68000</v>
      </c>
      <c r="D23" s="60">
        <v>68000</v>
      </c>
    </row>
    <row r="24" spans="1:11">
      <c r="A24" s="35" t="s">
        <v>140</v>
      </c>
      <c r="B24" s="60">
        <v>0</v>
      </c>
      <c r="C24" s="60">
        <v>16000</v>
      </c>
      <c r="D24" s="60">
        <v>30000</v>
      </c>
      <c r="K24" s="16"/>
    </row>
    <row r="25" spans="1:11">
      <c r="A25" s="35" t="s">
        <v>141</v>
      </c>
      <c r="B25" s="60">
        <v>0</v>
      </c>
      <c r="C25" s="60">
        <v>0</v>
      </c>
      <c r="D25" s="60">
        <v>4000</v>
      </c>
    </row>
    <row r="26" spans="1:11">
      <c r="A26" s="35" t="s">
        <v>142</v>
      </c>
      <c r="B26" s="60">
        <v>185000</v>
      </c>
      <c r="C26" s="60">
        <v>184000</v>
      </c>
      <c r="D26" s="60">
        <v>145000</v>
      </c>
      <c r="E26" s="4"/>
    </row>
    <row r="27" spans="1:11">
      <c r="A27" s="35" t="s">
        <v>143</v>
      </c>
      <c r="B27" s="60">
        <v>48200</v>
      </c>
      <c r="C27" s="60">
        <v>48200</v>
      </c>
      <c r="D27" s="60">
        <v>48200</v>
      </c>
      <c r="E27" s="4"/>
    </row>
    <row r="28" spans="1:11">
      <c r="A28" s="35" t="s">
        <v>144</v>
      </c>
      <c r="B28" s="60">
        <v>233200</v>
      </c>
      <c r="C28" s="60">
        <v>232200</v>
      </c>
      <c r="D28" s="60">
        <v>193200</v>
      </c>
      <c r="E28" s="4"/>
      <c r="F28" s="4"/>
    </row>
    <row r="29" spans="1:11">
      <c r="A29" s="35" t="s">
        <v>145</v>
      </c>
      <c r="B29" s="60">
        <v>63800</v>
      </c>
      <c r="C29" s="60">
        <v>62500</v>
      </c>
      <c r="D29" s="60">
        <v>55</v>
      </c>
      <c r="E29" s="4"/>
    </row>
    <row r="30" spans="1:11">
      <c r="A30" s="35" t="s">
        <v>146</v>
      </c>
      <c r="B30" s="60">
        <v>297000</v>
      </c>
      <c r="C30" s="60">
        <v>294700</v>
      </c>
      <c r="D30" s="60">
        <v>248200</v>
      </c>
      <c r="E30" s="4"/>
    </row>
    <row r="31" spans="1:11">
      <c r="A31" s="1"/>
      <c r="D31" s="4"/>
      <c r="E31" s="4"/>
    </row>
    <row r="32" spans="1:11">
      <c r="A32" s="2"/>
      <c r="D32" s="4"/>
      <c r="E32" s="4"/>
      <c r="F32" s="4"/>
    </row>
    <row r="36" spans="1:1">
      <c r="A36" s="58"/>
    </row>
    <row r="37" spans="1:1">
      <c r="A37" s="58"/>
    </row>
    <row r="38" spans="1:1">
      <c r="A38" s="58"/>
    </row>
    <row r="39" spans="1:1">
      <c r="A39" s="58"/>
    </row>
    <row r="40" spans="1:1">
      <c r="A40" s="58"/>
    </row>
    <row r="41" spans="1:1">
      <c r="A41" s="58"/>
    </row>
    <row r="42" spans="1:1">
      <c r="A42" s="58"/>
    </row>
    <row r="43" spans="1:1">
      <c r="A43" s="58"/>
    </row>
    <row r="44" spans="1:1">
      <c r="A44" s="58"/>
    </row>
    <row r="45" spans="1:1">
      <c r="A45" s="58"/>
    </row>
    <row r="46" spans="1:1">
      <c r="A46" s="58"/>
    </row>
    <row r="47" spans="1:1">
      <c r="A47" s="58"/>
    </row>
    <row r="48" spans="1:1">
      <c r="A48" s="58"/>
    </row>
    <row r="49" spans="1:1">
      <c r="A49" s="58"/>
    </row>
    <row r="50" spans="1:1">
      <c r="A50" s="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D30"/>
  <sheetViews>
    <sheetView workbookViewId="0">
      <selection activeCell="B17" sqref="B17"/>
    </sheetView>
  </sheetViews>
  <sheetFormatPr baseColWidth="10" defaultRowHeight="16"/>
  <cols>
    <col min="1" max="1" width="44.33203125" bestFit="1" customWidth="1"/>
    <col min="2" max="2" width="14.5" bestFit="1" customWidth="1"/>
    <col min="3" max="3" width="14.1640625" bestFit="1" customWidth="1"/>
    <col min="4" max="4" width="14.5" bestFit="1" customWidth="1"/>
  </cols>
  <sheetData>
    <row r="1" spans="1:3">
      <c r="A1" t="s">
        <v>160</v>
      </c>
    </row>
    <row r="2" spans="1:3">
      <c r="A2" t="s">
        <v>161</v>
      </c>
      <c r="B2" t="s">
        <v>131</v>
      </c>
      <c r="C2" t="s">
        <v>151</v>
      </c>
    </row>
    <row r="3" spans="1:3">
      <c r="A3" t="s">
        <v>0</v>
      </c>
      <c r="B3" s="59">
        <v>89.4</v>
      </c>
      <c r="C3" s="59">
        <v>66.599999999999994</v>
      </c>
    </row>
    <row r="4" spans="1:3">
      <c r="A4" t="s">
        <v>60</v>
      </c>
      <c r="B4" s="59">
        <v>12</v>
      </c>
      <c r="C4" s="59">
        <v>7.5</v>
      </c>
    </row>
    <row r="5" spans="1:3">
      <c r="A5" t="s">
        <v>152</v>
      </c>
      <c r="B5" s="59">
        <v>3.3</v>
      </c>
      <c r="C5" s="59">
        <v>2.6</v>
      </c>
    </row>
    <row r="6" spans="1:3">
      <c r="A6" t="s">
        <v>153</v>
      </c>
      <c r="B6" s="59">
        <v>7</v>
      </c>
      <c r="C6" s="59">
        <v>6</v>
      </c>
    </row>
    <row r="7" spans="1:3">
      <c r="A7" t="s">
        <v>154</v>
      </c>
      <c r="B7" s="59">
        <v>2</v>
      </c>
      <c r="C7" s="59">
        <v>0</v>
      </c>
    </row>
    <row r="8" spans="1:3">
      <c r="A8" t="s">
        <v>133</v>
      </c>
      <c r="B8" s="59">
        <v>11.6</v>
      </c>
      <c r="C8" s="59">
        <v>12.8</v>
      </c>
    </row>
    <row r="9" spans="1:3">
      <c r="A9" t="s">
        <v>155</v>
      </c>
      <c r="B9" s="59">
        <v>0.4</v>
      </c>
      <c r="C9" s="59">
        <v>0.5</v>
      </c>
    </row>
    <row r="10" spans="1:3">
      <c r="A10" t="s">
        <v>156</v>
      </c>
      <c r="B10" s="59">
        <v>0.9</v>
      </c>
      <c r="C10" s="59">
        <v>0.4</v>
      </c>
    </row>
    <row r="11" spans="1:3">
      <c r="A11" t="s">
        <v>73</v>
      </c>
      <c r="B11" s="59">
        <v>2</v>
      </c>
      <c r="C11" s="59">
        <v>2.2000000000000002</v>
      </c>
    </row>
    <row r="12" spans="1:3">
      <c r="A12" t="s">
        <v>45</v>
      </c>
      <c r="B12" s="59">
        <v>1.2</v>
      </c>
      <c r="C12" s="59">
        <v>0</v>
      </c>
    </row>
    <row r="13" spans="1:3">
      <c r="A13" t="s">
        <v>157</v>
      </c>
      <c r="B13" s="59">
        <v>21.4</v>
      </c>
      <c r="C13" s="59">
        <v>11.9</v>
      </c>
    </row>
    <row r="14" spans="1:3">
      <c r="A14" t="s">
        <v>158</v>
      </c>
      <c r="B14" s="59">
        <v>2.1</v>
      </c>
      <c r="C14" s="59">
        <v>1.9</v>
      </c>
    </row>
    <row r="15" spans="1:3">
      <c r="A15" t="s">
        <v>159</v>
      </c>
      <c r="B15" s="59">
        <v>0.5</v>
      </c>
      <c r="C15" s="59">
        <v>0</v>
      </c>
    </row>
    <row r="16" spans="1:3">
      <c r="A16" t="s">
        <v>59</v>
      </c>
      <c r="B16" s="59">
        <v>5.6</v>
      </c>
      <c r="C16" s="59">
        <v>5.5</v>
      </c>
    </row>
    <row r="17" spans="1:4">
      <c r="A17" t="s">
        <v>136</v>
      </c>
      <c r="B17" s="59">
        <f>SUM(B3:B16)</f>
        <v>159.4</v>
      </c>
      <c r="C17" s="59">
        <f>SUM(C3:C16)</f>
        <v>117.9</v>
      </c>
    </row>
    <row r="19" spans="1:4">
      <c r="A19" t="s">
        <v>172</v>
      </c>
    </row>
    <row r="20" spans="1:4">
      <c r="A20" t="s">
        <v>1</v>
      </c>
      <c r="B20" t="s">
        <v>162</v>
      </c>
      <c r="C20" t="s">
        <v>131</v>
      </c>
      <c r="D20" t="s">
        <v>163</v>
      </c>
    </row>
    <row r="21" spans="1:4">
      <c r="A21" t="s">
        <v>170</v>
      </c>
      <c r="B21">
        <v>84000</v>
      </c>
      <c r="C21" s="4">
        <v>102000</v>
      </c>
      <c r="D21">
        <v>98250</v>
      </c>
    </row>
    <row r="22" spans="1:4">
      <c r="A22" t="s">
        <v>171</v>
      </c>
      <c r="B22">
        <v>96000</v>
      </c>
      <c r="C22">
        <v>43000</v>
      </c>
      <c r="D22" s="4">
        <v>4450</v>
      </c>
    </row>
    <row r="23" spans="1:4">
      <c r="A23" t="s">
        <v>164</v>
      </c>
      <c r="B23">
        <v>180000</v>
      </c>
      <c r="C23">
        <v>145000</v>
      </c>
      <c r="D23">
        <v>102700</v>
      </c>
    </row>
    <row r="24" spans="1:4">
      <c r="A24" t="s">
        <v>165</v>
      </c>
      <c r="B24">
        <v>62500</v>
      </c>
      <c r="C24">
        <v>66800</v>
      </c>
      <c r="D24">
        <v>55100</v>
      </c>
    </row>
    <row r="25" spans="1:4">
      <c r="A25" t="s">
        <v>166</v>
      </c>
      <c r="B25">
        <v>242500</v>
      </c>
      <c r="C25">
        <v>211800</v>
      </c>
      <c r="D25">
        <v>157800</v>
      </c>
    </row>
    <row r="26" spans="1:4">
      <c r="A26" t="s">
        <v>167</v>
      </c>
      <c r="B26">
        <v>51000</v>
      </c>
      <c r="C26">
        <v>46600</v>
      </c>
      <c r="D26">
        <v>32400</v>
      </c>
    </row>
    <row r="27" spans="1:4">
      <c r="A27" t="s">
        <v>168</v>
      </c>
      <c r="B27">
        <v>293500</v>
      </c>
      <c r="C27">
        <v>258400</v>
      </c>
      <c r="D27">
        <v>190200</v>
      </c>
    </row>
    <row r="30" spans="1:4" ht="153">
      <c r="A30" s="62" t="s">
        <v>169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D40"/>
  <sheetViews>
    <sheetView workbookViewId="0">
      <selection activeCell="B18" sqref="B18"/>
    </sheetView>
  </sheetViews>
  <sheetFormatPr baseColWidth="10" defaultRowHeight="16"/>
  <cols>
    <col min="1" max="1" width="75.33203125" bestFit="1" customWidth="1"/>
    <col min="2" max="2" width="12.5" bestFit="1" customWidth="1"/>
    <col min="3" max="3" width="11.33203125" bestFit="1" customWidth="1"/>
    <col min="6" max="6" width="40.83203125" bestFit="1" customWidth="1"/>
    <col min="7" max="7" width="12.1640625" bestFit="1" customWidth="1"/>
  </cols>
  <sheetData>
    <row r="1" spans="1:3">
      <c r="A1" t="s">
        <v>181</v>
      </c>
    </row>
    <row r="2" spans="1:3">
      <c r="B2" t="s">
        <v>179</v>
      </c>
      <c r="C2" t="s">
        <v>180</v>
      </c>
    </row>
    <row r="3" spans="1:3">
      <c r="B3" t="s">
        <v>182</v>
      </c>
      <c r="C3" t="s">
        <v>8</v>
      </c>
    </row>
    <row r="4" spans="1:3">
      <c r="A4" t="s">
        <v>0</v>
      </c>
      <c r="B4" s="59">
        <v>60.2</v>
      </c>
      <c r="C4" s="59">
        <v>48.2</v>
      </c>
    </row>
    <row r="5" spans="1:3">
      <c r="A5" t="s">
        <v>60</v>
      </c>
      <c r="B5" s="59">
        <v>6.5</v>
      </c>
      <c r="C5" s="59">
        <v>5.0999999999999996</v>
      </c>
    </row>
    <row r="6" spans="1:3">
      <c r="A6" t="s">
        <v>152</v>
      </c>
      <c r="B6" s="59">
        <v>2.4</v>
      </c>
      <c r="C6" s="59">
        <v>1.7</v>
      </c>
    </row>
    <row r="7" spans="1:3">
      <c r="A7" t="s">
        <v>173</v>
      </c>
      <c r="B7" s="59">
        <v>5.8</v>
      </c>
      <c r="C7" s="59">
        <v>4.5</v>
      </c>
    </row>
    <row r="8" spans="1:3">
      <c r="A8" t="s">
        <v>18</v>
      </c>
      <c r="B8" s="59">
        <v>11.2</v>
      </c>
      <c r="C8" s="59">
        <v>5.7</v>
      </c>
    </row>
    <row r="9" spans="1:3">
      <c r="A9" t="s">
        <v>155</v>
      </c>
      <c r="B9" s="59">
        <v>0.4</v>
      </c>
      <c r="C9" s="59">
        <v>0.4</v>
      </c>
    </row>
    <row r="10" spans="1:3">
      <c r="A10" t="s">
        <v>156</v>
      </c>
      <c r="B10" s="59">
        <v>0.4</v>
      </c>
      <c r="C10" s="59">
        <v>0.4</v>
      </c>
    </row>
    <row r="11" spans="1:3">
      <c r="A11" t="s">
        <v>174</v>
      </c>
      <c r="B11" s="59">
        <v>2.1</v>
      </c>
      <c r="C11" s="59">
        <v>2.2000000000000002</v>
      </c>
    </row>
    <row r="12" spans="1:3">
      <c r="A12" t="s">
        <v>157</v>
      </c>
      <c r="B12" s="59">
        <v>13</v>
      </c>
      <c r="C12" s="59">
        <v>9.3000000000000007</v>
      </c>
    </row>
    <row r="13" spans="1:3">
      <c r="A13" t="s">
        <v>45</v>
      </c>
      <c r="B13" s="59">
        <v>0.3</v>
      </c>
      <c r="C13" s="59">
        <v>0</v>
      </c>
    </row>
    <row r="14" spans="1:3">
      <c r="A14" t="s">
        <v>175</v>
      </c>
      <c r="B14" s="59">
        <v>2.2000000000000002</v>
      </c>
      <c r="C14" s="59">
        <v>6.1</v>
      </c>
    </row>
    <row r="15" spans="1:3">
      <c r="A15" t="s">
        <v>59</v>
      </c>
      <c r="B15" s="59">
        <v>5.4</v>
      </c>
      <c r="C15" s="59">
        <v>4.9000000000000004</v>
      </c>
    </row>
    <row r="16" spans="1:3">
      <c r="A16" t="s">
        <v>176</v>
      </c>
      <c r="B16" s="59">
        <v>5.8</v>
      </c>
      <c r="C16" s="59">
        <v>0</v>
      </c>
    </row>
    <row r="17" spans="1:4">
      <c r="A17" t="s">
        <v>7</v>
      </c>
      <c r="B17" s="59">
        <v>115.7</v>
      </c>
      <c r="C17" s="59">
        <v>88.5</v>
      </c>
    </row>
    <row r="18" spans="1:4">
      <c r="A18" t="s">
        <v>177</v>
      </c>
      <c r="B18" s="59">
        <v>-0.6</v>
      </c>
      <c r="C18" s="59">
        <v>0</v>
      </c>
    </row>
    <row r="19" spans="1:4">
      <c r="A19" t="s">
        <v>178</v>
      </c>
      <c r="B19" s="59">
        <v>115.1</v>
      </c>
      <c r="C19" s="59">
        <v>88.5</v>
      </c>
    </row>
    <row r="21" spans="1:4">
      <c r="A21" s="1" t="s">
        <v>183</v>
      </c>
    </row>
    <row r="22" spans="1:4">
      <c r="A22" s="1" t="s">
        <v>61</v>
      </c>
    </row>
    <row r="23" spans="1:4">
      <c r="A23" s="1" t="s">
        <v>62</v>
      </c>
    </row>
    <row r="27" spans="1:4">
      <c r="A27" t="s">
        <v>172</v>
      </c>
      <c r="B27" t="s">
        <v>129</v>
      </c>
      <c r="C27" t="s">
        <v>179</v>
      </c>
      <c r="D27" t="s">
        <v>180</v>
      </c>
    </row>
    <row r="28" spans="1:4">
      <c r="A28" t="s">
        <v>188</v>
      </c>
      <c r="B28" t="s">
        <v>14</v>
      </c>
      <c r="C28" t="s">
        <v>6</v>
      </c>
      <c r="D28" t="s">
        <v>8</v>
      </c>
    </row>
    <row r="29" spans="1:4">
      <c r="A29" t="s">
        <v>170</v>
      </c>
      <c r="B29">
        <v>98345</v>
      </c>
      <c r="C29" s="4">
        <v>89840</v>
      </c>
      <c r="D29">
        <v>67500</v>
      </c>
    </row>
    <row r="30" spans="1:4">
      <c r="A30" t="s">
        <v>171</v>
      </c>
      <c r="B30">
        <v>46568</v>
      </c>
      <c r="C30" s="4">
        <v>4450</v>
      </c>
      <c r="D30">
        <v>0</v>
      </c>
    </row>
    <row r="31" spans="1:4">
      <c r="A31" t="s">
        <v>164</v>
      </c>
      <c r="B31">
        <v>144913</v>
      </c>
      <c r="C31">
        <v>94290</v>
      </c>
      <c r="D31">
        <v>67500</v>
      </c>
    </row>
    <row r="32" spans="1:4">
      <c r="A32" t="s">
        <v>165</v>
      </c>
      <c r="B32">
        <v>70889</v>
      </c>
      <c r="C32">
        <v>55100</v>
      </c>
      <c r="D32">
        <v>49199</v>
      </c>
    </row>
    <row r="33" spans="1:4">
      <c r="A33" t="s">
        <v>166</v>
      </c>
      <c r="B33">
        <v>215802</v>
      </c>
      <c r="C33">
        <v>149390</v>
      </c>
      <c r="D33">
        <v>116699</v>
      </c>
    </row>
    <row r="34" spans="1:4">
      <c r="A34" t="s">
        <v>28</v>
      </c>
      <c r="B34">
        <v>48206</v>
      </c>
      <c r="C34">
        <v>32400</v>
      </c>
      <c r="D34">
        <v>26463</v>
      </c>
    </row>
    <row r="35" spans="1:4">
      <c r="A35" t="s">
        <v>168</v>
      </c>
      <c r="B35">
        <v>264008</v>
      </c>
      <c r="C35">
        <v>181790</v>
      </c>
      <c r="D35">
        <v>143162</v>
      </c>
    </row>
    <row r="37" spans="1:4">
      <c r="A37" s="1" t="s">
        <v>184</v>
      </c>
    </row>
    <row r="38" spans="1:4">
      <c r="A38" s="1" t="s">
        <v>185</v>
      </c>
    </row>
    <row r="39" spans="1:4">
      <c r="A39" s="1" t="s">
        <v>186</v>
      </c>
    </row>
    <row r="40" spans="1:4">
      <c r="A40" s="1" t="s">
        <v>187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D43"/>
  <sheetViews>
    <sheetView workbookViewId="0">
      <selection activeCell="B20" sqref="B20"/>
    </sheetView>
  </sheetViews>
  <sheetFormatPr baseColWidth="10" defaultRowHeight="16"/>
  <cols>
    <col min="1" max="1" width="41.33203125" bestFit="1" customWidth="1"/>
    <col min="2" max="2" width="15.33203125" bestFit="1" customWidth="1"/>
    <col min="3" max="3" width="16.1640625" bestFit="1" customWidth="1"/>
    <col min="4" max="4" width="14.5" bestFit="1" customWidth="1"/>
  </cols>
  <sheetData>
    <row r="1" spans="1:3">
      <c r="A1" s="63" t="s">
        <v>200</v>
      </c>
      <c r="B1" s="5"/>
      <c r="C1" s="5"/>
    </row>
    <row r="2" spans="1:3">
      <c r="A2" s="28" t="s">
        <v>209</v>
      </c>
      <c r="B2" s="5"/>
      <c r="C2" s="5"/>
    </row>
    <row r="3" spans="1:3">
      <c r="A3" s="5"/>
      <c r="B3" s="5" t="s">
        <v>189</v>
      </c>
      <c r="C3" s="5" t="s">
        <v>190</v>
      </c>
    </row>
    <row r="4" spans="1:3">
      <c r="A4" t="s">
        <v>191</v>
      </c>
      <c r="B4" s="59">
        <v>27.7</v>
      </c>
      <c r="C4" s="59">
        <v>25.7</v>
      </c>
    </row>
    <row r="5" spans="1:3">
      <c r="A5" t="s">
        <v>165</v>
      </c>
      <c r="B5" s="59">
        <v>23</v>
      </c>
      <c r="C5" s="59">
        <v>21.8</v>
      </c>
    </row>
    <row r="6" spans="1:3">
      <c r="A6" t="s">
        <v>17</v>
      </c>
      <c r="B6" s="59">
        <v>1.6</v>
      </c>
      <c r="C6" s="59">
        <v>1</v>
      </c>
    </row>
    <row r="7" spans="1:3">
      <c r="A7" t="s">
        <v>192</v>
      </c>
      <c r="B7" s="59">
        <v>4.4000000000000004</v>
      </c>
      <c r="C7" s="59">
        <v>3.8</v>
      </c>
    </row>
    <row r="8" spans="1:3">
      <c r="A8" t="s">
        <v>18</v>
      </c>
      <c r="B8" s="59">
        <v>5.0999999999999996</v>
      </c>
      <c r="C8" s="59">
        <v>7.7</v>
      </c>
    </row>
    <row r="9" spans="1:3">
      <c r="A9" t="s">
        <v>32</v>
      </c>
      <c r="B9" s="59">
        <v>0.3</v>
      </c>
      <c r="C9" s="59">
        <v>0.3</v>
      </c>
    </row>
    <row r="10" spans="1:3">
      <c r="A10" t="s">
        <v>19</v>
      </c>
      <c r="B10" s="59">
        <v>0.2</v>
      </c>
      <c r="C10" s="59">
        <v>0.1</v>
      </c>
    </row>
    <row r="11" spans="1:3">
      <c r="A11" t="s">
        <v>174</v>
      </c>
      <c r="B11" s="59">
        <v>2.1</v>
      </c>
      <c r="C11" s="59">
        <v>2</v>
      </c>
    </row>
    <row r="12" spans="1:3">
      <c r="A12" t="s">
        <v>20</v>
      </c>
      <c r="B12" s="59">
        <v>0.2</v>
      </c>
      <c r="C12" s="59">
        <v>0.1</v>
      </c>
    </row>
    <row r="13" spans="1:3">
      <c r="A13" t="s">
        <v>193</v>
      </c>
      <c r="B13" s="59">
        <v>0.5</v>
      </c>
      <c r="C13" s="59">
        <v>0.2</v>
      </c>
    </row>
    <row r="14" spans="1:3">
      <c r="A14" t="s">
        <v>194</v>
      </c>
      <c r="B14" s="59">
        <v>11.1</v>
      </c>
      <c r="C14" s="59">
        <v>8.9</v>
      </c>
    </row>
    <row r="15" spans="1:3">
      <c r="A15" t="s">
        <v>175</v>
      </c>
      <c r="B15" s="59">
        <v>5.8</v>
      </c>
      <c r="C15" s="59">
        <v>5.0999999999999996</v>
      </c>
    </row>
    <row r="16" spans="1:3">
      <c r="A16" t="s">
        <v>195</v>
      </c>
      <c r="B16" s="59">
        <v>0.2</v>
      </c>
      <c r="C16" s="59">
        <v>0</v>
      </c>
    </row>
    <row r="17" spans="1:4">
      <c r="A17" t="s">
        <v>197</v>
      </c>
      <c r="B17" s="59">
        <v>7</v>
      </c>
      <c r="C17" s="59">
        <v>4</v>
      </c>
    </row>
    <row r="18" spans="1:4">
      <c r="A18" t="s">
        <v>7</v>
      </c>
      <c r="B18" s="59">
        <v>89.2</v>
      </c>
      <c r="C18" s="59">
        <v>80.7</v>
      </c>
    </row>
    <row r="19" spans="1:4">
      <c r="A19" t="s">
        <v>198</v>
      </c>
      <c r="B19" s="59">
        <v>-2</v>
      </c>
      <c r="C19" s="59">
        <v>-1.3</v>
      </c>
    </row>
    <row r="20" spans="1:4">
      <c r="A20" t="s">
        <v>199</v>
      </c>
      <c r="B20" s="59">
        <v>87.2</v>
      </c>
      <c r="C20" s="59">
        <v>79.400000000000006</v>
      </c>
      <c r="D20" s="7"/>
    </row>
    <row r="21" spans="1:4">
      <c r="A21" s="7"/>
      <c r="B21" s="8"/>
      <c r="C21" s="8"/>
      <c r="D21" s="8"/>
    </row>
    <row r="22" spans="1:4">
      <c r="A22" s="8" t="s">
        <v>201</v>
      </c>
      <c r="B22" s="6"/>
      <c r="C22" s="6"/>
      <c r="D22" s="6"/>
    </row>
    <row r="23" spans="1:4">
      <c r="A23" s="8" t="s">
        <v>202</v>
      </c>
      <c r="B23" s="7"/>
      <c r="C23" s="7"/>
      <c r="D23" s="7"/>
    </row>
    <row r="24" spans="1:4">
      <c r="A24" s="64" t="s">
        <v>203</v>
      </c>
      <c r="B24" s="6"/>
      <c r="C24" s="6"/>
      <c r="D24" s="6"/>
    </row>
    <row r="25" spans="1:4">
      <c r="A25" s="8" t="s">
        <v>204</v>
      </c>
      <c r="B25" s="7"/>
      <c r="C25" s="7"/>
      <c r="D25" s="7"/>
    </row>
    <row r="26" spans="1:4">
      <c r="A26" s="64" t="s">
        <v>205</v>
      </c>
      <c r="B26" s="6"/>
      <c r="C26" s="6"/>
      <c r="D26" s="6"/>
    </row>
    <row r="27" spans="1:4">
      <c r="A27" s="65" t="s">
        <v>206</v>
      </c>
    </row>
    <row r="28" spans="1:4">
      <c r="A28" s="64" t="s">
        <v>207</v>
      </c>
    </row>
    <row r="29" spans="1:4">
      <c r="A29" s="64" t="s">
        <v>208</v>
      </c>
    </row>
    <row r="33" spans="1:4">
      <c r="A33" t="s">
        <v>215</v>
      </c>
    </row>
    <row r="34" spans="1:4">
      <c r="B34" t="s">
        <v>210</v>
      </c>
      <c r="C34" t="s">
        <v>211</v>
      </c>
      <c r="D34" t="s">
        <v>190</v>
      </c>
    </row>
    <row r="35" spans="1:4">
      <c r="A35" t="s">
        <v>10</v>
      </c>
      <c r="B35">
        <v>89446</v>
      </c>
      <c r="C35">
        <v>63181</v>
      </c>
      <c r="D35">
        <v>38431</v>
      </c>
    </row>
    <row r="36" spans="1:4">
      <c r="A36" t="s">
        <v>2</v>
      </c>
      <c r="B36" s="4">
        <v>9176</v>
      </c>
      <c r="C36">
        <v>0</v>
      </c>
      <c r="D36">
        <v>0</v>
      </c>
    </row>
    <row r="37" spans="1:4">
      <c r="A37" t="s">
        <v>164</v>
      </c>
      <c r="B37">
        <v>98622</v>
      </c>
      <c r="C37">
        <v>63181</v>
      </c>
      <c r="D37">
        <v>38431</v>
      </c>
    </row>
    <row r="38" spans="1:4">
      <c r="A38" t="s">
        <v>165</v>
      </c>
      <c r="B38">
        <v>68240</v>
      </c>
      <c r="C38">
        <v>62623</v>
      </c>
      <c r="D38">
        <v>59394</v>
      </c>
    </row>
    <row r="39" spans="1:4">
      <c r="A39" t="s">
        <v>212</v>
      </c>
      <c r="B39">
        <v>166862</v>
      </c>
      <c r="C39">
        <v>125804</v>
      </c>
      <c r="D39">
        <v>97825</v>
      </c>
    </row>
    <row r="40" spans="1:4">
      <c r="A40" t="s">
        <v>213</v>
      </c>
      <c r="B40">
        <v>37568</v>
      </c>
      <c r="C40">
        <v>31028</v>
      </c>
      <c r="D40">
        <v>28315</v>
      </c>
    </row>
    <row r="41" spans="1:4">
      <c r="A41" t="s">
        <v>168</v>
      </c>
      <c r="B41">
        <v>204430</v>
      </c>
      <c r="C41">
        <v>156832</v>
      </c>
      <c r="D41">
        <v>126140</v>
      </c>
    </row>
    <row r="43" spans="1:4" ht="153">
      <c r="A43" s="62" t="s">
        <v>214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36"/>
  <sheetViews>
    <sheetView zoomScaleNormal="100" workbookViewId="0">
      <selection activeCell="E22" sqref="E22"/>
    </sheetView>
  </sheetViews>
  <sheetFormatPr baseColWidth="10" defaultRowHeight="16"/>
  <cols>
    <col min="1" max="1" width="44.83203125" bestFit="1" customWidth="1"/>
    <col min="2" max="2" width="15.5" bestFit="1" customWidth="1"/>
    <col min="3" max="3" width="16.1640625" bestFit="1" customWidth="1"/>
    <col min="4" max="4" width="14.5" bestFit="1" customWidth="1"/>
    <col min="5" max="6" width="22" bestFit="1" customWidth="1"/>
    <col min="7" max="8" width="6.6640625" bestFit="1" customWidth="1"/>
  </cols>
  <sheetData>
    <row r="1" spans="1:5">
      <c r="A1" t="s">
        <v>229</v>
      </c>
    </row>
    <row r="3" spans="1:5">
      <c r="A3" t="s">
        <v>216</v>
      </c>
      <c r="B3" t="s">
        <v>217</v>
      </c>
      <c r="C3" t="s">
        <v>218</v>
      </c>
      <c r="D3" t="s">
        <v>219</v>
      </c>
      <c r="E3" t="s">
        <v>220</v>
      </c>
    </row>
    <row r="4" spans="1:5">
      <c r="A4" t="s">
        <v>221</v>
      </c>
      <c r="B4" s="59">
        <v>26.2</v>
      </c>
      <c r="C4" s="59">
        <v>11</v>
      </c>
      <c r="D4" s="59">
        <v>0</v>
      </c>
      <c r="E4" s="59">
        <v>11</v>
      </c>
    </row>
    <row r="5" spans="1:5">
      <c r="A5" t="s">
        <v>222</v>
      </c>
      <c r="B5" s="59">
        <v>19.899999999999999</v>
      </c>
      <c r="C5" s="59">
        <v>18.100000000000001</v>
      </c>
      <c r="D5" s="59">
        <v>2</v>
      </c>
      <c r="E5" s="59">
        <v>20.100000000000001</v>
      </c>
    </row>
    <row r="6" spans="1:5">
      <c r="A6" t="s">
        <v>17</v>
      </c>
      <c r="B6" s="59">
        <v>0.9</v>
      </c>
      <c r="C6" s="59">
        <v>0.4</v>
      </c>
      <c r="D6" s="59">
        <v>0</v>
      </c>
      <c r="E6" s="59">
        <v>0.4</v>
      </c>
    </row>
    <row r="7" spans="1:5">
      <c r="A7" t="s">
        <v>18</v>
      </c>
      <c r="B7" s="59">
        <v>4.7</v>
      </c>
      <c r="C7" s="59">
        <v>4.0999999999999996</v>
      </c>
      <c r="D7" s="59">
        <v>0</v>
      </c>
      <c r="E7" s="59">
        <v>4.0999999999999996</v>
      </c>
    </row>
    <row r="8" spans="1:5">
      <c r="A8" t="s">
        <v>32</v>
      </c>
      <c r="B8" s="59">
        <v>0.2</v>
      </c>
      <c r="C8" s="59">
        <v>0</v>
      </c>
      <c r="D8" s="59">
        <v>0</v>
      </c>
      <c r="E8" s="59">
        <v>0</v>
      </c>
    </row>
    <row r="9" spans="1:5">
      <c r="A9" t="s">
        <v>19</v>
      </c>
      <c r="B9" s="59">
        <v>0.04</v>
      </c>
      <c r="C9" s="59">
        <v>0.04</v>
      </c>
      <c r="D9" s="59">
        <v>0</v>
      </c>
      <c r="E9" s="59">
        <v>0.04</v>
      </c>
    </row>
    <row r="10" spans="1:5">
      <c r="A10" t="s">
        <v>174</v>
      </c>
      <c r="B10" s="59">
        <v>1.7</v>
      </c>
      <c r="C10" s="59">
        <v>1.7</v>
      </c>
      <c r="D10" s="59">
        <v>0</v>
      </c>
      <c r="E10" s="59">
        <v>1.7</v>
      </c>
    </row>
    <row r="11" spans="1:5">
      <c r="A11" t="s">
        <v>223</v>
      </c>
      <c r="B11" s="59">
        <v>0</v>
      </c>
      <c r="C11" s="59">
        <v>0.3</v>
      </c>
      <c r="D11" s="59">
        <v>0</v>
      </c>
      <c r="E11" s="59">
        <v>0.3</v>
      </c>
    </row>
    <row r="12" spans="1:5">
      <c r="A12" t="s">
        <v>20</v>
      </c>
      <c r="B12" s="59">
        <v>0.1</v>
      </c>
      <c r="C12" s="59">
        <v>0.04</v>
      </c>
      <c r="D12" s="59">
        <v>0</v>
      </c>
      <c r="E12" s="59">
        <v>0.04</v>
      </c>
    </row>
    <row r="13" spans="1:5">
      <c r="A13" t="s">
        <v>21</v>
      </c>
      <c r="B13" s="59">
        <v>0.2</v>
      </c>
      <c r="C13" s="59">
        <v>0.1</v>
      </c>
      <c r="D13" s="59">
        <v>0</v>
      </c>
      <c r="E13" s="59">
        <v>0.1</v>
      </c>
    </row>
    <row r="14" spans="1:5">
      <c r="A14" t="s">
        <v>224</v>
      </c>
      <c r="B14" s="59">
        <v>0</v>
      </c>
      <c r="C14" s="59">
        <v>0</v>
      </c>
      <c r="D14" s="59">
        <v>1.6</v>
      </c>
      <c r="E14" s="59">
        <v>1.6</v>
      </c>
    </row>
    <row r="15" spans="1:5">
      <c r="A15" t="s">
        <v>194</v>
      </c>
      <c r="B15" s="59">
        <v>8.8000000000000007</v>
      </c>
      <c r="C15" s="59">
        <v>9.1999999999999993</v>
      </c>
      <c r="D15" s="59">
        <v>0.3</v>
      </c>
      <c r="E15" s="59">
        <v>9.5</v>
      </c>
    </row>
    <row r="16" spans="1:5">
      <c r="A16" t="s">
        <v>22</v>
      </c>
      <c r="B16" s="59">
        <v>4.7</v>
      </c>
      <c r="C16" s="59">
        <v>2.4</v>
      </c>
      <c r="D16" s="59">
        <v>0</v>
      </c>
      <c r="E16" s="59">
        <v>2.4</v>
      </c>
    </row>
    <row r="17" spans="1:6">
      <c r="A17" t="s">
        <v>225</v>
      </c>
      <c r="B17" s="59">
        <v>17.8</v>
      </c>
      <c r="C17" s="59">
        <v>6.5</v>
      </c>
      <c r="D17" s="59">
        <v>1.2</v>
      </c>
      <c r="E17" s="59">
        <v>7.7</v>
      </c>
    </row>
    <row r="18" spans="1:6">
      <c r="A18" t="s">
        <v>27</v>
      </c>
      <c r="B18" s="59">
        <v>0</v>
      </c>
      <c r="C18" s="59">
        <v>4</v>
      </c>
      <c r="D18" s="59">
        <v>0</v>
      </c>
      <c r="E18" s="59">
        <v>4</v>
      </c>
    </row>
    <row r="19" spans="1:6">
      <c r="A19" t="s">
        <v>23</v>
      </c>
      <c r="B19" s="59">
        <v>0</v>
      </c>
      <c r="C19" s="59">
        <v>0.9</v>
      </c>
      <c r="D19" s="59">
        <v>0</v>
      </c>
      <c r="E19" s="59">
        <v>0.9</v>
      </c>
    </row>
    <row r="20" spans="1:6">
      <c r="A20" t="s">
        <v>226</v>
      </c>
      <c r="B20" s="59">
        <v>85.3</v>
      </c>
      <c r="C20" s="59">
        <v>58.7</v>
      </c>
      <c r="D20" s="59">
        <v>5</v>
      </c>
      <c r="E20" s="59">
        <v>63.7</v>
      </c>
    </row>
    <row r="21" spans="1:6">
      <c r="A21" t="s">
        <v>227</v>
      </c>
      <c r="B21" s="59">
        <v>0</v>
      </c>
      <c r="C21" s="59">
        <v>-0.1</v>
      </c>
      <c r="D21" s="59">
        <v>0</v>
      </c>
      <c r="E21" s="59">
        <v>-0.1</v>
      </c>
    </row>
    <row r="22" spans="1:6">
      <c r="A22" t="s">
        <v>228</v>
      </c>
      <c r="B22" s="59">
        <v>85.3</v>
      </c>
      <c r="C22" s="59">
        <v>58.6</v>
      </c>
      <c r="D22" s="59">
        <v>5</v>
      </c>
      <c r="E22" s="59">
        <v>63.6</v>
      </c>
    </row>
    <row r="24" spans="1:6" ht="68">
      <c r="A24" s="62" t="s">
        <v>230</v>
      </c>
    </row>
    <row r="26" spans="1:6">
      <c r="A26" t="s">
        <v>236</v>
      </c>
    </row>
    <row r="27" spans="1:6">
      <c r="A27" t="s">
        <v>1</v>
      </c>
      <c r="B27" t="s">
        <v>231</v>
      </c>
      <c r="C27" t="s">
        <v>232</v>
      </c>
      <c r="D27" t="s">
        <v>218</v>
      </c>
      <c r="E27" t="s">
        <v>219</v>
      </c>
      <c r="F27" t="s">
        <v>220</v>
      </c>
    </row>
    <row r="28" spans="1:6">
      <c r="A28" t="s">
        <v>233</v>
      </c>
      <c r="B28">
        <v>62763</v>
      </c>
      <c r="C28">
        <v>37234</v>
      </c>
      <c r="D28">
        <v>11661</v>
      </c>
      <c r="E28">
        <v>0</v>
      </c>
      <c r="F28">
        <v>11661</v>
      </c>
    </row>
    <row r="29" spans="1:6">
      <c r="A29" t="s">
        <v>234</v>
      </c>
      <c r="B29">
        <v>0</v>
      </c>
      <c r="C29">
        <v>0</v>
      </c>
      <c r="D29">
        <v>0</v>
      </c>
      <c r="E29">
        <v>2904</v>
      </c>
      <c r="F29">
        <v>2904</v>
      </c>
    </row>
    <row r="30" spans="1:6">
      <c r="A30" t="s">
        <v>165</v>
      </c>
      <c r="B30">
        <v>64417</v>
      </c>
      <c r="C30">
        <v>61071</v>
      </c>
      <c r="D30">
        <v>63309</v>
      </c>
      <c r="E30">
        <v>1173</v>
      </c>
      <c r="F30">
        <v>64482</v>
      </c>
    </row>
    <row r="31" spans="1:6">
      <c r="A31" t="s">
        <v>4</v>
      </c>
      <c r="B31">
        <v>127180</v>
      </c>
      <c r="C31">
        <v>98305</v>
      </c>
      <c r="D31">
        <v>74970</v>
      </c>
      <c r="E31">
        <v>2577</v>
      </c>
      <c r="F31">
        <v>79047</v>
      </c>
    </row>
    <row r="32" spans="1:6">
      <c r="A32" t="s">
        <v>235</v>
      </c>
      <c r="B32">
        <v>26139</v>
      </c>
      <c r="C32">
        <v>20275</v>
      </c>
      <c r="D32">
        <v>16093</v>
      </c>
      <c r="E32">
        <v>0</v>
      </c>
      <c r="F32">
        <v>16093</v>
      </c>
    </row>
    <row r="33" spans="1:6">
      <c r="A33" t="s">
        <v>168</v>
      </c>
      <c r="B33">
        <v>153319</v>
      </c>
      <c r="C33">
        <v>118580</v>
      </c>
      <c r="D33">
        <v>91063</v>
      </c>
      <c r="E33">
        <v>2577</v>
      </c>
      <c r="F33">
        <v>95140</v>
      </c>
    </row>
    <row r="35" spans="1:6">
      <c r="A35" t="s">
        <v>237</v>
      </c>
    </row>
    <row r="36" spans="1:6">
      <c r="A36" t="s">
        <v>238</v>
      </c>
    </row>
  </sheetData>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D36"/>
  <sheetViews>
    <sheetView topLeftCell="A2" workbookViewId="0">
      <selection activeCell="A13" sqref="A13"/>
    </sheetView>
  </sheetViews>
  <sheetFormatPr baseColWidth="10" defaultRowHeight="16"/>
  <cols>
    <col min="1" max="1" width="55.83203125" customWidth="1"/>
    <col min="2" max="2" width="16.33203125" bestFit="1" customWidth="1"/>
    <col min="3" max="4" width="14.5" bestFit="1" customWidth="1"/>
    <col min="5" max="5" width="17" bestFit="1" customWidth="1"/>
    <col min="6" max="6" width="14.5" bestFit="1" customWidth="1"/>
    <col min="7" max="7" width="7.5" bestFit="1" customWidth="1"/>
    <col min="8" max="8" width="4.6640625" bestFit="1" customWidth="1"/>
    <col min="9" max="9" width="4.1640625" bestFit="1" customWidth="1"/>
  </cols>
  <sheetData>
    <row r="1" spans="1:3">
      <c r="A1" t="s">
        <v>247</v>
      </c>
    </row>
    <row r="3" spans="1:3">
      <c r="A3" t="s">
        <v>216</v>
      </c>
      <c r="B3" t="s">
        <v>245</v>
      </c>
      <c r="C3" t="s">
        <v>246</v>
      </c>
    </row>
    <row r="4" spans="1:3">
      <c r="A4" t="s">
        <v>16</v>
      </c>
      <c r="B4" s="59">
        <v>11.9</v>
      </c>
      <c r="C4" s="59">
        <v>7.7</v>
      </c>
    </row>
    <row r="5" spans="1:3">
      <c r="A5" t="s">
        <v>15</v>
      </c>
      <c r="B5" s="59">
        <v>20.100000000000001</v>
      </c>
      <c r="C5" s="59">
        <v>16.399999999999999</v>
      </c>
    </row>
    <row r="6" spans="1:3">
      <c r="A6" t="s">
        <v>17</v>
      </c>
      <c r="B6" s="59">
        <v>0.4</v>
      </c>
      <c r="C6" s="59">
        <v>0.5</v>
      </c>
    </row>
    <row r="7" spans="1:3">
      <c r="A7" t="s">
        <v>18</v>
      </c>
      <c r="B7" s="59">
        <v>4.0999999999999996</v>
      </c>
      <c r="C7" s="59">
        <v>3.8</v>
      </c>
    </row>
    <row r="8" spans="1:3">
      <c r="A8" t="s">
        <v>19</v>
      </c>
      <c r="B8" s="59">
        <v>0.04</v>
      </c>
      <c r="C8" s="59">
        <v>0.04</v>
      </c>
    </row>
    <row r="9" spans="1:3">
      <c r="A9" t="s">
        <v>174</v>
      </c>
      <c r="B9" s="59">
        <v>1.7</v>
      </c>
      <c r="C9" s="59">
        <v>1.7</v>
      </c>
    </row>
    <row r="10" spans="1:3">
      <c r="A10" t="s">
        <v>223</v>
      </c>
      <c r="B10" s="59">
        <v>0.3</v>
      </c>
      <c r="C10" s="59">
        <v>0</v>
      </c>
    </row>
    <row r="11" spans="1:3">
      <c r="A11" t="s">
        <v>20</v>
      </c>
      <c r="B11" s="59">
        <v>0.04</v>
      </c>
      <c r="C11" s="59">
        <v>0</v>
      </c>
    </row>
    <row r="12" spans="1:3">
      <c r="A12" t="s">
        <v>21</v>
      </c>
      <c r="B12" s="59">
        <v>0.1</v>
      </c>
      <c r="C12" s="59">
        <v>0.1</v>
      </c>
    </row>
    <row r="13" spans="1:3">
      <c r="A13" t="s">
        <v>224</v>
      </c>
      <c r="B13" s="59">
        <v>1.6</v>
      </c>
      <c r="C13" s="59">
        <v>0.7</v>
      </c>
    </row>
    <row r="14" spans="1:3">
      <c r="A14" t="s">
        <v>239</v>
      </c>
      <c r="B14" s="59">
        <v>0.5</v>
      </c>
      <c r="C14" s="59">
        <v>0.6</v>
      </c>
    </row>
    <row r="15" spans="1:3">
      <c r="A15" t="s">
        <v>240</v>
      </c>
      <c r="B15" s="59">
        <v>10.1</v>
      </c>
      <c r="C15" s="59">
        <v>7.9</v>
      </c>
    </row>
    <row r="16" spans="1:3">
      <c r="A16" t="s">
        <v>22</v>
      </c>
      <c r="B16" s="59">
        <v>2.2999999999999998</v>
      </c>
      <c r="C16" s="59">
        <v>0.04</v>
      </c>
    </row>
    <row r="17" spans="1:4">
      <c r="A17" t="s">
        <v>241</v>
      </c>
      <c r="B17" s="59">
        <v>3.4</v>
      </c>
      <c r="C17" s="59">
        <v>3.5</v>
      </c>
    </row>
    <row r="18" spans="1:4">
      <c r="A18" t="s">
        <v>242</v>
      </c>
      <c r="B18" s="59">
        <v>4.9000000000000004</v>
      </c>
      <c r="C18" s="59">
        <v>5.0999999999999996</v>
      </c>
    </row>
    <row r="19" spans="1:4">
      <c r="A19" t="s">
        <v>243</v>
      </c>
      <c r="B19" s="59">
        <v>0.8</v>
      </c>
      <c r="C19" s="59">
        <v>2.1</v>
      </c>
    </row>
    <row r="20" spans="1:4">
      <c r="A20" t="s">
        <v>23</v>
      </c>
      <c r="B20" s="59">
        <v>1</v>
      </c>
      <c r="C20" s="59">
        <v>0.8</v>
      </c>
    </row>
    <row r="21" spans="1:4">
      <c r="A21" t="s">
        <v>244</v>
      </c>
      <c r="B21" s="59">
        <v>2.2999999999999998</v>
      </c>
      <c r="C21" s="59">
        <v>0</v>
      </c>
    </row>
    <row r="22" spans="1:4">
      <c r="A22" t="s">
        <v>226</v>
      </c>
      <c r="B22" s="59">
        <v>65.5</v>
      </c>
      <c r="C22" s="59">
        <v>50.9</v>
      </c>
    </row>
    <row r="23" spans="1:4">
      <c r="A23" t="s">
        <v>227</v>
      </c>
      <c r="B23" s="59">
        <v>-1.2</v>
      </c>
      <c r="C23" s="59">
        <v>0</v>
      </c>
    </row>
    <row r="24" spans="1:4">
      <c r="A24" t="s">
        <v>228</v>
      </c>
      <c r="B24" s="59">
        <v>64.3</v>
      </c>
      <c r="C24" s="59">
        <v>50.9</v>
      </c>
    </row>
    <row r="26" spans="1:4" ht="102">
      <c r="A26" s="62" t="s">
        <v>248</v>
      </c>
    </row>
    <row r="28" spans="1:4">
      <c r="A28" t="s">
        <v>253</v>
      </c>
    </row>
    <row r="29" spans="1:4">
      <c r="A29" t="s">
        <v>1</v>
      </c>
      <c r="B29" t="s">
        <v>249</v>
      </c>
      <c r="C29" t="s">
        <v>218</v>
      </c>
      <c r="D29" t="s">
        <v>250</v>
      </c>
    </row>
    <row r="30" spans="1:4">
      <c r="A30" t="s">
        <v>10</v>
      </c>
      <c r="B30">
        <v>34813</v>
      </c>
      <c r="C30">
        <v>11661</v>
      </c>
      <c r="D30">
        <v>5853</v>
      </c>
    </row>
    <row r="31" spans="1:4">
      <c r="A31" t="s">
        <v>251</v>
      </c>
      <c r="B31">
        <v>0</v>
      </c>
      <c r="C31">
        <v>4077</v>
      </c>
      <c r="D31">
        <v>4077</v>
      </c>
    </row>
    <row r="32" spans="1:4">
      <c r="A32" t="s">
        <v>13</v>
      </c>
      <c r="B32">
        <v>59738</v>
      </c>
      <c r="C32">
        <v>63309</v>
      </c>
      <c r="D32">
        <v>59768</v>
      </c>
    </row>
    <row r="33" spans="1:4">
      <c r="A33" t="s">
        <v>252</v>
      </c>
      <c r="B33">
        <v>20367</v>
      </c>
      <c r="C33">
        <v>16093</v>
      </c>
      <c r="D33">
        <v>10644</v>
      </c>
    </row>
    <row r="34" spans="1:4">
      <c r="A34" t="s">
        <v>168</v>
      </c>
      <c r="B34">
        <v>114918</v>
      </c>
      <c r="C34">
        <v>95140</v>
      </c>
      <c r="D34">
        <v>80342</v>
      </c>
    </row>
    <row r="36" spans="1:4" ht="34">
      <c r="A36" s="62" t="s">
        <v>254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2:L58"/>
  <sheetViews>
    <sheetView workbookViewId="0">
      <selection activeCell="G19" sqref="G19"/>
    </sheetView>
  </sheetViews>
  <sheetFormatPr baseColWidth="10" defaultRowHeight="16"/>
  <cols>
    <col min="1" max="1" width="52.5" bestFit="1" customWidth="1"/>
    <col min="2" max="2" width="14.1640625" bestFit="1" customWidth="1"/>
    <col min="3" max="3" width="10.1640625" bestFit="1" customWidth="1"/>
    <col min="4" max="4" width="12.6640625" bestFit="1" customWidth="1"/>
    <col min="5" max="5" width="11.33203125" bestFit="1" customWidth="1"/>
  </cols>
  <sheetData>
    <row r="2" spans="1:6" ht="19">
      <c r="A2" s="14" t="s">
        <v>34</v>
      </c>
      <c r="B2" s="15" t="s">
        <v>53</v>
      </c>
      <c r="C2" s="15" t="s">
        <v>54</v>
      </c>
      <c r="D2" s="15" t="s">
        <v>55</v>
      </c>
      <c r="E2" s="15" t="s">
        <v>56</v>
      </c>
      <c r="F2" s="15"/>
    </row>
    <row r="3" spans="1:6">
      <c r="A3" s="16" t="s">
        <v>51</v>
      </c>
      <c r="B3" s="17">
        <v>8.8000000000000007</v>
      </c>
      <c r="C3" s="17">
        <v>11.4</v>
      </c>
      <c r="D3" s="17">
        <v>2.1</v>
      </c>
      <c r="E3" s="17">
        <f>D3+C3</f>
        <v>13.5</v>
      </c>
      <c r="F3" s="17"/>
    </row>
    <row r="4" spans="1:6">
      <c r="A4" s="12" t="s">
        <v>52</v>
      </c>
      <c r="B4" s="13">
        <v>14.8</v>
      </c>
      <c r="C4" s="13">
        <v>18.3</v>
      </c>
      <c r="D4" s="13">
        <v>0.8</v>
      </c>
      <c r="E4" s="13">
        <f t="shared" ref="E4:E22" si="0">D4+C4</f>
        <v>19.100000000000001</v>
      </c>
      <c r="F4" s="17"/>
    </row>
    <row r="5" spans="1:6">
      <c r="A5" s="16" t="s">
        <v>17</v>
      </c>
      <c r="B5" s="17">
        <v>0.4</v>
      </c>
      <c r="C5" s="17">
        <v>0.5</v>
      </c>
      <c r="D5" s="17"/>
      <c r="E5" s="17">
        <f t="shared" si="0"/>
        <v>0.5</v>
      </c>
      <c r="F5" s="17"/>
    </row>
    <row r="6" spans="1:6">
      <c r="A6" s="16" t="s">
        <v>18</v>
      </c>
      <c r="B6" s="17">
        <v>3.6</v>
      </c>
      <c r="C6" s="17">
        <v>4.2</v>
      </c>
      <c r="D6" s="17"/>
      <c r="E6" s="17">
        <f t="shared" si="0"/>
        <v>4.2</v>
      </c>
      <c r="F6" s="17"/>
    </row>
    <row r="7" spans="1:6">
      <c r="A7" s="16" t="s">
        <v>24</v>
      </c>
      <c r="B7" s="17">
        <v>1.4</v>
      </c>
      <c r="C7" s="17">
        <v>1.4</v>
      </c>
      <c r="D7" s="17"/>
      <c r="E7" s="17">
        <f t="shared" si="0"/>
        <v>1.4</v>
      </c>
      <c r="F7" s="17"/>
    </row>
    <row r="8" spans="1:6">
      <c r="A8" s="16" t="s">
        <v>21</v>
      </c>
      <c r="B8" s="17"/>
      <c r="C8" s="17"/>
      <c r="D8" s="17"/>
      <c r="E8" s="17">
        <f t="shared" si="0"/>
        <v>0</v>
      </c>
      <c r="F8" s="17"/>
    </row>
    <row r="9" spans="1:6">
      <c r="A9" s="16" t="s">
        <v>19</v>
      </c>
      <c r="B9" s="17"/>
      <c r="C9" s="17"/>
      <c r="D9" s="17"/>
      <c r="E9" s="17">
        <f t="shared" si="0"/>
        <v>0</v>
      </c>
      <c r="F9" s="17"/>
    </row>
    <row r="10" spans="1:6">
      <c r="A10" s="16" t="s">
        <v>20</v>
      </c>
      <c r="B10" s="17"/>
      <c r="C10" s="17"/>
      <c r="D10" s="17"/>
      <c r="E10" s="17">
        <f t="shared" si="0"/>
        <v>0</v>
      </c>
      <c r="F10" s="17"/>
    </row>
    <row r="11" spans="1:6">
      <c r="A11" s="16" t="s">
        <v>25</v>
      </c>
      <c r="B11" s="17"/>
      <c r="C11" s="17"/>
      <c r="D11" s="17"/>
      <c r="E11" s="17">
        <f t="shared" si="0"/>
        <v>0</v>
      </c>
      <c r="F11" s="17"/>
    </row>
    <row r="12" spans="1:6">
      <c r="A12" s="16" t="s">
        <v>49</v>
      </c>
      <c r="B12" s="17">
        <v>0.7</v>
      </c>
      <c r="C12" s="17">
        <v>0.9</v>
      </c>
      <c r="D12" s="17">
        <v>0.6</v>
      </c>
      <c r="E12" s="17">
        <f t="shared" si="0"/>
        <v>1.5</v>
      </c>
      <c r="F12" s="17"/>
    </row>
    <row r="13" spans="1:6">
      <c r="A13" s="16" t="s">
        <v>58</v>
      </c>
      <c r="B13" s="17"/>
      <c r="C13" s="17">
        <v>0.3</v>
      </c>
      <c r="D13" s="17"/>
      <c r="E13" s="17">
        <f t="shared" si="0"/>
        <v>0.3</v>
      </c>
      <c r="F13" s="17"/>
    </row>
    <row r="14" spans="1:6">
      <c r="A14" s="12" t="s">
        <v>26</v>
      </c>
      <c r="B14" s="13">
        <v>10.1</v>
      </c>
      <c r="C14" s="13">
        <v>9.5</v>
      </c>
      <c r="D14" s="13">
        <v>0.6</v>
      </c>
      <c r="E14" s="13">
        <f t="shared" si="0"/>
        <v>10.1</v>
      </c>
      <c r="F14" s="17"/>
    </row>
    <row r="15" spans="1:6">
      <c r="A15" s="12" t="s">
        <v>33</v>
      </c>
      <c r="B15" s="13">
        <v>8.1</v>
      </c>
      <c r="C15" s="13">
        <v>8.5</v>
      </c>
      <c r="D15" s="13">
        <v>1</v>
      </c>
      <c r="E15" s="13">
        <f t="shared" si="0"/>
        <v>9.5</v>
      </c>
      <c r="F15" s="17"/>
    </row>
    <row r="16" spans="1:6">
      <c r="A16" s="16" t="s">
        <v>22</v>
      </c>
      <c r="B16" s="17"/>
      <c r="C16" s="17"/>
      <c r="D16" s="17"/>
      <c r="E16" s="17">
        <f t="shared" si="0"/>
        <v>0</v>
      </c>
      <c r="F16" s="17"/>
    </row>
    <row r="17" spans="1:12">
      <c r="A17" s="16" t="s">
        <v>27</v>
      </c>
      <c r="B17" s="17">
        <v>1.1000000000000001</v>
      </c>
      <c r="C17" s="17">
        <v>1</v>
      </c>
      <c r="D17" s="17"/>
      <c r="E17" s="17">
        <f t="shared" si="0"/>
        <v>1</v>
      </c>
      <c r="F17" s="17"/>
    </row>
    <row r="18" spans="1:12">
      <c r="A18" s="12" t="s">
        <v>23</v>
      </c>
      <c r="B18" s="13">
        <v>0.8</v>
      </c>
      <c r="C18" s="13">
        <v>3.4</v>
      </c>
      <c r="D18" s="13"/>
      <c r="E18" s="13">
        <f t="shared" si="0"/>
        <v>3.4</v>
      </c>
      <c r="F18" s="17"/>
    </row>
    <row r="19" spans="1:12">
      <c r="A19" s="12" t="s">
        <v>47</v>
      </c>
      <c r="B19" s="13">
        <v>7.7</v>
      </c>
      <c r="C19" s="13">
        <v>5.2</v>
      </c>
      <c r="D19" s="13"/>
      <c r="E19" s="13">
        <f t="shared" si="0"/>
        <v>5.2</v>
      </c>
      <c r="F19" s="17"/>
    </row>
    <row r="20" spans="1:12">
      <c r="A20" s="12" t="s">
        <v>57</v>
      </c>
      <c r="B20" s="13">
        <v>1.5</v>
      </c>
      <c r="C20" s="13">
        <v>0</v>
      </c>
      <c r="D20" s="13"/>
      <c r="E20" s="13">
        <f t="shared" si="0"/>
        <v>0</v>
      </c>
      <c r="F20" s="17"/>
    </row>
    <row r="21" spans="1:12">
      <c r="A21" s="16" t="s">
        <v>48</v>
      </c>
      <c r="B21" s="17"/>
      <c r="C21" s="17"/>
      <c r="D21" s="17"/>
      <c r="E21" s="17">
        <f t="shared" si="0"/>
        <v>0</v>
      </c>
      <c r="F21" s="17"/>
    </row>
    <row r="22" spans="1:12">
      <c r="A22" s="16" t="s">
        <v>31</v>
      </c>
      <c r="B22" s="17">
        <v>-0.4</v>
      </c>
      <c r="C22" s="17"/>
      <c r="D22" s="17"/>
      <c r="E22" s="17">
        <f t="shared" si="0"/>
        <v>0</v>
      </c>
      <c r="F22" s="17"/>
    </row>
    <row r="23" spans="1:12" ht="19">
      <c r="A23" s="22" t="s">
        <v>36</v>
      </c>
      <c r="B23" s="23">
        <f>B19+B18+B15+B14+B4</f>
        <v>41.5</v>
      </c>
      <c r="C23" s="23">
        <f>C19+C18+C15+C14+C4</f>
        <v>44.900000000000006</v>
      </c>
      <c r="D23" s="23">
        <f>D19+D18+D15+D14+D4</f>
        <v>2.4000000000000004</v>
      </c>
      <c r="E23" s="23">
        <f>E19+E18+E15+E14+E4</f>
        <v>47.300000000000004</v>
      </c>
      <c r="F23" s="17"/>
    </row>
    <row r="24" spans="1:12" ht="19">
      <c r="A24" s="21" t="s">
        <v>7</v>
      </c>
      <c r="B24" s="15">
        <f>SUM(B3:B22)</f>
        <v>58.6</v>
      </c>
      <c r="C24" s="15">
        <f>SUM(C3:C22)</f>
        <v>64.599999999999994</v>
      </c>
      <c r="D24" s="15">
        <f>SUM(D3:D22)</f>
        <v>5.1000000000000005</v>
      </c>
      <c r="E24" s="15">
        <f>SUM(E3:E22)</f>
        <v>69.7</v>
      </c>
      <c r="F24" s="33"/>
    </row>
    <row r="25" spans="1:12" ht="19">
      <c r="F25" s="15"/>
    </row>
    <row r="28" spans="1:12">
      <c r="A28" t="s">
        <v>278</v>
      </c>
      <c r="F28" t="s">
        <v>35</v>
      </c>
      <c r="G28" t="s">
        <v>264</v>
      </c>
    </row>
    <row r="29" spans="1:12">
      <c r="A29" t="s">
        <v>216</v>
      </c>
      <c r="B29" t="s">
        <v>274</v>
      </c>
      <c r="C29" t="s">
        <v>255</v>
      </c>
      <c r="D29" t="s">
        <v>275</v>
      </c>
      <c r="E29" t="s">
        <v>268</v>
      </c>
      <c r="G29" t="s">
        <v>216</v>
      </c>
      <c r="H29" t="s">
        <v>255</v>
      </c>
      <c r="I29" t="s">
        <v>256</v>
      </c>
      <c r="J29" t="s">
        <v>257</v>
      </c>
      <c r="K29" t="s">
        <v>258</v>
      </c>
      <c r="L29" t="s">
        <v>259</v>
      </c>
    </row>
    <row r="30" spans="1:12">
      <c r="A30" t="s">
        <v>191</v>
      </c>
      <c r="B30">
        <v>8.8000000000000007</v>
      </c>
      <c r="C30">
        <v>8.6</v>
      </c>
      <c r="D30">
        <v>2.8</v>
      </c>
      <c r="E30">
        <v>11.4</v>
      </c>
      <c r="G30" t="s">
        <v>191</v>
      </c>
      <c r="H30">
        <v>8.6</v>
      </c>
      <c r="I30">
        <v>2.8</v>
      </c>
      <c r="J30">
        <v>-1.8</v>
      </c>
      <c r="K30">
        <v>2.1</v>
      </c>
      <c r="L30">
        <v>11.7</v>
      </c>
    </row>
    <row r="31" spans="1:12">
      <c r="A31" t="s">
        <v>271</v>
      </c>
      <c r="B31">
        <v>14.8</v>
      </c>
      <c r="C31">
        <v>17</v>
      </c>
      <c r="D31">
        <v>1.3</v>
      </c>
      <c r="E31">
        <v>18.3</v>
      </c>
      <c r="G31" t="s">
        <v>165</v>
      </c>
      <c r="H31">
        <v>17</v>
      </c>
      <c r="I31">
        <v>1.3</v>
      </c>
      <c r="J31">
        <v>-1.9</v>
      </c>
      <c r="K31">
        <v>0.8</v>
      </c>
      <c r="L31">
        <v>17.100000000000001</v>
      </c>
    </row>
    <row r="32" spans="1:12">
      <c r="A32" t="s">
        <v>260</v>
      </c>
      <c r="B32">
        <v>0.4</v>
      </c>
      <c r="C32">
        <v>0.4</v>
      </c>
      <c r="D32">
        <v>0.1</v>
      </c>
      <c r="E32">
        <v>0.5</v>
      </c>
      <c r="G32" t="s">
        <v>260</v>
      </c>
      <c r="H32">
        <v>0.4</v>
      </c>
      <c r="I32">
        <v>0.1</v>
      </c>
      <c r="J32">
        <v>-0.1</v>
      </c>
      <c r="K32" t="s">
        <v>9</v>
      </c>
      <c r="L32">
        <v>0.4</v>
      </c>
    </row>
    <row r="33" spans="1:12">
      <c r="A33" t="s">
        <v>18</v>
      </c>
      <c r="B33">
        <v>3.6</v>
      </c>
      <c r="C33">
        <v>3.4</v>
      </c>
      <c r="D33">
        <v>0.8</v>
      </c>
      <c r="E33">
        <v>4.2</v>
      </c>
      <c r="G33" t="s">
        <v>18</v>
      </c>
      <c r="H33">
        <v>3.4</v>
      </c>
      <c r="I33">
        <v>0.8</v>
      </c>
      <c r="J33" t="s">
        <v>9</v>
      </c>
      <c r="K33" t="s">
        <v>9</v>
      </c>
      <c r="L33">
        <v>4.2</v>
      </c>
    </row>
    <row r="34" spans="1:12">
      <c r="A34" t="s">
        <v>174</v>
      </c>
      <c r="B34">
        <v>1.4</v>
      </c>
      <c r="C34">
        <v>1.4</v>
      </c>
      <c r="D34" t="s">
        <v>196</v>
      </c>
      <c r="E34">
        <v>1.4</v>
      </c>
      <c r="G34" t="s">
        <v>174</v>
      </c>
      <c r="H34">
        <v>1.4</v>
      </c>
      <c r="I34" t="s">
        <v>9</v>
      </c>
      <c r="J34" t="s">
        <v>9</v>
      </c>
      <c r="K34" t="s">
        <v>9</v>
      </c>
      <c r="L34">
        <v>1.4</v>
      </c>
    </row>
    <row r="35" spans="1:12">
      <c r="A35" t="s">
        <v>224</v>
      </c>
      <c r="B35">
        <v>0.7</v>
      </c>
      <c r="C35">
        <v>0.6</v>
      </c>
      <c r="D35">
        <v>0.3</v>
      </c>
      <c r="E35">
        <v>0.9</v>
      </c>
      <c r="G35" t="s">
        <v>261</v>
      </c>
      <c r="H35">
        <v>0.9</v>
      </c>
      <c r="I35">
        <v>0.3</v>
      </c>
      <c r="J35">
        <v>-0.3</v>
      </c>
      <c r="K35">
        <v>0.6</v>
      </c>
      <c r="L35">
        <v>1.5</v>
      </c>
    </row>
    <row r="36" spans="1:12">
      <c r="A36" t="s">
        <v>276</v>
      </c>
      <c r="B36" t="s">
        <v>196</v>
      </c>
      <c r="C36">
        <v>0.3</v>
      </c>
      <c r="D36" t="s">
        <v>196</v>
      </c>
      <c r="E36">
        <v>0.3</v>
      </c>
    </row>
    <row r="37" spans="1:12">
      <c r="A37" t="s">
        <v>26</v>
      </c>
      <c r="B37">
        <v>10.1</v>
      </c>
      <c r="C37">
        <v>9.4</v>
      </c>
      <c r="D37">
        <v>0.1</v>
      </c>
      <c r="E37">
        <v>9.5</v>
      </c>
      <c r="G37" t="s">
        <v>26</v>
      </c>
      <c r="H37">
        <v>9.4</v>
      </c>
      <c r="I37">
        <v>0.1</v>
      </c>
      <c r="J37">
        <v>-0.5</v>
      </c>
      <c r="K37">
        <v>0.6</v>
      </c>
      <c r="L37">
        <v>9.6</v>
      </c>
    </row>
    <row r="38" spans="1:12">
      <c r="A38" t="s">
        <v>42</v>
      </c>
      <c r="B38">
        <v>8.1</v>
      </c>
      <c r="C38">
        <v>8.1</v>
      </c>
      <c r="D38">
        <v>0.4</v>
      </c>
      <c r="E38">
        <v>8.5</v>
      </c>
      <c r="G38" t="s">
        <v>42</v>
      </c>
      <c r="H38">
        <v>8.1</v>
      </c>
      <c r="I38">
        <v>0.4</v>
      </c>
      <c r="J38">
        <v>-0.4</v>
      </c>
      <c r="K38">
        <v>1</v>
      </c>
      <c r="L38">
        <v>9.1</v>
      </c>
    </row>
    <row r="39" spans="1:12">
      <c r="A39" t="s">
        <v>27</v>
      </c>
      <c r="B39">
        <v>1.1000000000000001</v>
      </c>
      <c r="C39">
        <v>1</v>
      </c>
      <c r="D39" t="s">
        <v>196</v>
      </c>
      <c r="E39">
        <v>1</v>
      </c>
      <c r="G39" t="s">
        <v>27</v>
      </c>
      <c r="H39">
        <v>1</v>
      </c>
      <c r="I39" t="s">
        <v>9</v>
      </c>
      <c r="J39" t="s">
        <v>9</v>
      </c>
      <c r="K39" t="s">
        <v>9</v>
      </c>
      <c r="L39">
        <v>1</v>
      </c>
    </row>
    <row r="40" spans="1:12">
      <c r="A40" t="s">
        <v>23</v>
      </c>
      <c r="B40">
        <v>0.8</v>
      </c>
      <c r="C40">
        <v>3.4</v>
      </c>
      <c r="D40" t="s">
        <v>196</v>
      </c>
      <c r="E40">
        <v>3.4</v>
      </c>
      <c r="G40" t="s">
        <v>23</v>
      </c>
      <c r="H40">
        <v>3.4</v>
      </c>
      <c r="I40" t="s">
        <v>9</v>
      </c>
      <c r="J40">
        <v>-0.8</v>
      </c>
      <c r="K40" t="s">
        <v>262</v>
      </c>
      <c r="L40">
        <v>2.6</v>
      </c>
    </row>
    <row r="41" spans="1:12">
      <c r="A41" t="s">
        <v>277</v>
      </c>
      <c r="B41">
        <v>1.5</v>
      </c>
      <c r="C41" t="s">
        <v>196</v>
      </c>
      <c r="D41" t="s">
        <v>196</v>
      </c>
      <c r="E41" t="s">
        <v>196</v>
      </c>
    </row>
    <row r="42" spans="1:12">
      <c r="A42" t="s">
        <v>4</v>
      </c>
      <c r="B42">
        <v>51.3</v>
      </c>
      <c r="C42">
        <v>53.6</v>
      </c>
      <c r="D42">
        <v>5.8</v>
      </c>
      <c r="E42">
        <v>59.4</v>
      </c>
      <c r="G42" t="s">
        <v>4</v>
      </c>
      <c r="H42">
        <v>53.6</v>
      </c>
      <c r="I42">
        <v>5.8</v>
      </c>
      <c r="J42">
        <v>-5.8</v>
      </c>
      <c r="K42">
        <v>5.0999999999999996</v>
      </c>
      <c r="L42">
        <v>58.6</v>
      </c>
    </row>
    <row r="43" spans="1:12">
      <c r="A43" t="s">
        <v>227</v>
      </c>
      <c r="B43">
        <v>-0.4</v>
      </c>
      <c r="C43" t="s">
        <v>196</v>
      </c>
      <c r="D43" t="s">
        <v>196</v>
      </c>
      <c r="E43" t="s">
        <v>196</v>
      </c>
    </row>
    <row r="44" spans="1:12">
      <c r="A44" t="s">
        <v>263</v>
      </c>
      <c r="B44">
        <v>7.7</v>
      </c>
      <c r="C44">
        <v>5.2</v>
      </c>
      <c r="D44" t="s">
        <v>196</v>
      </c>
      <c r="E44">
        <v>5.2</v>
      </c>
      <c r="G44" t="s">
        <v>263</v>
      </c>
      <c r="H44">
        <v>5.2</v>
      </c>
      <c r="I44" t="s">
        <v>9</v>
      </c>
      <c r="J44">
        <v>-0.1</v>
      </c>
      <c r="K44" t="s">
        <v>9</v>
      </c>
      <c r="L44">
        <v>5.0999999999999996</v>
      </c>
    </row>
    <row r="45" spans="1:12">
      <c r="A45" t="s">
        <v>7</v>
      </c>
      <c r="B45">
        <v>58.6</v>
      </c>
      <c r="C45">
        <v>58.8</v>
      </c>
      <c r="D45">
        <v>5.8</v>
      </c>
      <c r="E45">
        <v>64.599999999999994</v>
      </c>
      <c r="G45" t="s">
        <v>7</v>
      </c>
      <c r="H45">
        <v>58.8</v>
      </c>
      <c r="I45">
        <v>5.8</v>
      </c>
      <c r="J45">
        <v>-5.9</v>
      </c>
      <c r="K45">
        <v>5.0999999999999996</v>
      </c>
      <c r="L45">
        <v>63.7</v>
      </c>
    </row>
    <row r="46" spans="1:12">
      <c r="A46" t="s">
        <v>279</v>
      </c>
      <c r="G46" t="s">
        <v>265</v>
      </c>
    </row>
    <row r="49" spans="1:11">
      <c r="A49" t="s">
        <v>281</v>
      </c>
      <c r="G49" t="s">
        <v>272</v>
      </c>
    </row>
    <row r="50" spans="1:11">
      <c r="A50" t="s">
        <v>1</v>
      </c>
      <c r="B50" t="s">
        <v>274</v>
      </c>
      <c r="C50" t="s">
        <v>255</v>
      </c>
      <c r="D50" t="s">
        <v>275</v>
      </c>
      <c r="E50" t="s">
        <v>280</v>
      </c>
      <c r="G50" t="s">
        <v>1</v>
      </c>
      <c r="H50" t="s">
        <v>266</v>
      </c>
      <c r="I50" t="s">
        <v>267</v>
      </c>
      <c r="J50" t="s">
        <v>258</v>
      </c>
      <c r="K50" t="s">
        <v>268</v>
      </c>
    </row>
    <row r="51" spans="1:11">
      <c r="A51" t="s">
        <v>269</v>
      </c>
      <c r="B51">
        <v>9737</v>
      </c>
      <c r="C51">
        <v>6217</v>
      </c>
      <c r="D51">
        <v>2457</v>
      </c>
      <c r="E51">
        <v>8674</v>
      </c>
      <c r="G51" t="s">
        <v>269</v>
      </c>
      <c r="H51">
        <v>6217</v>
      </c>
      <c r="I51">
        <v>2457</v>
      </c>
      <c r="J51" t="s">
        <v>196</v>
      </c>
      <c r="K51">
        <v>8674</v>
      </c>
    </row>
    <row r="52" spans="1:11">
      <c r="A52" t="s">
        <v>270</v>
      </c>
      <c r="B52">
        <v>3550</v>
      </c>
      <c r="C52">
        <v>3550</v>
      </c>
      <c r="D52">
        <v>2012</v>
      </c>
      <c r="E52">
        <v>5562</v>
      </c>
      <c r="G52" t="s">
        <v>270</v>
      </c>
      <c r="H52">
        <v>3550</v>
      </c>
      <c r="I52">
        <v>2012</v>
      </c>
      <c r="J52">
        <v>203</v>
      </c>
      <c r="K52">
        <v>5765</v>
      </c>
    </row>
    <row r="53" spans="1:11">
      <c r="A53" t="s">
        <v>271</v>
      </c>
      <c r="B53">
        <v>55831</v>
      </c>
      <c r="C53">
        <v>58593</v>
      </c>
      <c r="D53" t="s">
        <v>196</v>
      </c>
      <c r="E53">
        <v>58593</v>
      </c>
      <c r="G53" t="s">
        <v>271</v>
      </c>
      <c r="H53">
        <v>58593</v>
      </c>
      <c r="I53" t="s">
        <v>196</v>
      </c>
      <c r="J53">
        <v>3893</v>
      </c>
      <c r="K53">
        <v>62486</v>
      </c>
    </row>
    <row r="54" spans="1:11">
      <c r="A54" t="s">
        <v>4</v>
      </c>
      <c r="B54">
        <v>69118</v>
      </c>
      <c r="C54">
        <v>68360</v>
      </c>
      <c r="D54">
        <v>4469</v>
      </c>
      <c r="E54">
        <v>72829</v>
      </c>
      <c r="G54" t="s">
        <v>4</v>
      </c>
      <c r="H54">
        <v>68360</v>
      </c>
      <c r="I54">
        <v>4469</v>
      </c>
      <c r="J54">
        <v>4096</v>
      </c>
      <c r="K54">
        <v>76925</v>
      </c>
    </row>
    <row r="55" spans="1:11">
      <c r="A55" t="s">
        <v>235</v>
      </c>
      <c r="B55">
        <v>15991</v>
      </c>
      <c r="C55">
        <v>13085</v>
      </c>
      <c r="D55" t="s">
        <v>196</v>
      </c>
      <c r="E55">
        <v>13085</v>
      </c>
      <c r="G55" t="s">
        <v>235</v>
      </c>
      <c r="H55">
        <v>13085</v>
      </c>
      <c r="I55" t="s">
        <v>196</v>
      </c>
      <c r="J55" t="s">
        <v>196</v>
      </c>
      <c r="K55">
        <v>13085</v>
      </c>
    </row>
    <row r="56" spans="1:11">
      <c r="A56" t="s">
        <v>168</v>
      </c>
      <c r="B56">
        <v>85109</v>
      </c>
      <c r="C56">
        <v>81445</v>
      </c>
      <c r="D56">
        <v>4469</v>
      </c>
      <c r="E56">
        <v>85914</v>
      </c>
      <c r="G56" t="s">
        <v>168</v>
      </c>
      <c r="H56">
        <v>81445</v>
      </c>
      <c r="I56">
        <v>4469</v>
      </c>
      <c r="J56">
        <v>4096</v>
      </c>
      <c r="K56">
        <v>90010</v>
      </c>
    </row>
    <row r="57" spans="1:11" ht="102">
      <c r="A57" s="62" t="s">
        <v>282</v>
      </c>
      <c r="G57" t="s">
        <v>273</v>
      </c>
    </row>
    <row r="58" spans="1:11">
      <c r="G58" t="s">
        <v>238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25"/>
  <sheetViews>
    <sheetView workbookViewId="0">
      <selection activeCell="B12" sqref="B12"/>
    </sheetView>
  </sheetViews>
  <sheetFormatPr baseColWidth="10" defaultRowHeight="16"/>
  <cols>
    <col min="1" max="1" width="48.33203125" style="9" customWidth="1"/>
    <col min="2" max="2" width="13.1640625" style="9" bestFit="1" customWidth="1"/>
    <col min="3" max="3" width="14.1640625" style="9" bestFit="1" customWidth="1"/>
    <col min="4" max="4" width="14.33203125" style="9" bestFit="1" customWidth="1"/>
    <col min="5" max="6" width="10.83203125" style="9"/>
    <col min="7" max="7" width="52.5" style="9" bestFit="1" customWidth="1"/>
    <col min="8" max="16384" width="10.83203125" style="9"/>
  </cols>
  <sheetData>
    <row r="1" spans="1:9" ht="34">
      <c r="A1" s="84" t="s">
        <v>308</v>
      </c>
      <c r="B1" s="85" t="s">
        <v>309</v>
      </c>
      <c r="C1" s="86" t="s">
        <v>310</v>
      </c>
    </row>
    <row r="2" spans="1:9" ht="17">
      <c r="A2" s="87" t="s">
        <v>191</v>
      </c>
      <c r="B2" s="88">
        <v>13.5</v>
      </c>
      <c r="C2" s="88">
        <v>11.8</v>
      </c>
      <c r="G2" s="87" t="s">
        <v>191</v>
      </c>
      <c r="H2" s="91">
        <v>2018</v>
      </c>
      <c r="I2" s="88">
        <v>11.8</v>
      </c>
    </row>
    <row r="3" spans="1:9" ht="17">
      <c r="A3" s="87" t="s">
        <v>165</v>
      </c>
      <c r="B3" s="88">
        <v>19.100000000000001</v>
      </c>
      <c r="C3" s="88">
        <v>19.2</v>
      </c>
      <c r="G3" s="87" t="s">
        <v>165</v>
      </c>
      <c r="H3" s="91">
        <v>2018</v>
      </c>
      <c r="I3" s="88">
        <v>19.2</v>
      </c>
    </row>
    <row r="4" spans="1:9" ht="17">
      <c r="A4" s="87" t="s">
        <v>260</v>
      </c>
      <c r="B4" s="88">
        <v>0.5</v>
      </c>
      <c r="C4" s="88">
        <v>0.5</v>
      </c>
      <c r="G4" s="87" t="s">
        <v>260</v>
      </c>
      <c r="H4" s="91">
        <v>2018</v>
      </c>
      <c r="I4" s="88">
        <v>0.5</v>
      </c>
    </row>
    <row r="5" spans="1:9" ht="17">
      <c r="A5" s="87" t="s">
        <v>18</v>
      </c>
      <c r="B5" s="88">
        <v>4.2</v>
      </c>
      <c r="C5" s="88">
        <v>4.9000000000000004</v>
      </c>
      <c r="G5" s="87" t="s">
        <v>18</v>
      </c>
      <c r="H5" s="91">
        <v>2018</v>
      </c>
      <c r="I5" s="88">
        <v>4.9000000000000004</v>
      </c>
    </row>
    <row r="6" spans="1:9" ht="17">
      <c r="A6" s="87" t="s">
        <v>174</v>
      </c>
      <c r="B6" s="88">
        <v>1.4</v>
      </c>
      <c r="C6" s="88">
        <v>1.3</v>
      </c>
      <c r="G6" s="87" t="s">
        <v>174</v>
      </c>
      <c r="H6" s="91">
        <v>2018</v>
      </c>
      <c r="I6" s="88">
        <v>1.3</v>
      </c>
    </row>
    <row r="7" spans="1:9" ht="20">
      <c r="A7" s="82" t="s">
        <v>311</v>
      </c>
      <c r="B7" s="83">
        <v>1.8</v>
      </c>
      <c r="C7" s="88">
        <v>1.8</v>
      </c>
      <c r="G7" s="82" t="s">
        <v>311</v>
      </c>
      <c r="H7" s="91">
        <v>2018</v>
      </c>
      <c r="I7" s="88">
        <v>1.8</v>
      </c>
    </row>
    <row r="8" spans="1:9" ht="17">
      <c r="A8" s="87" t="s">
        <v>26</v>
      </c>
      <c r="B8" s="88">
        <v>10.1</v>
      </c>
      <c r="C8" s="88">
        <v>9</v>
      </c>
      <c r="G8" s="87" t="s">
        <v>26</v>
      </c>
      <c r="H8" s="91">
        <v>2018</v>
      </c>
      <c r="I8" s="88">
        <v>9</v>
      </c>
    </row>
    <row r="9" spans="1:9" ht="17">
      <c r="A9" s="87" t="s">
        <v>42</v>
      </c>
      <c r="B9" s="88">
        <v>9.5</v>
      </c>
      <c r="C9" s="88">
        <v>10.4</v>
      </c>
      <c r="G9" s="87" t="s">
        <v>42</v>
      </c>
      <c r="H9" s="91">
        <v>2018</v>
      </c>
      <c r="I9" s="88">
        <v>10.4</v>
      </c>
    </row>
    <row r="10" spans="1:9" ht="20">
      <c r="A10" s="82" t="s">
        <v>312</v>
      </c>
      <c r="B10" s="88">
        <v>1</v>
      </c>
      <c r="C10" s="88">
        <v>0.9</v>
      </c>
      <c r="G10" s="82" t="s">
        <v>312</v>
      </c>
      <c r="H10" s="91">
        <v>2018</v>
      </c>
      <c r="I10" s="88">
        <v>0.9</v>
      </c>
    </row>
    <row r="11" spans="1:9" ht="17">
      <c r="A11" s="87" t="s">
        <v>23</v>
      </c>
      <c r="B11" s="88">
        <v>3.4</v>
      </c>
      <c r="C11" s="88">
        <v>4.8</v>
      </c>
      <c r="G11" s="87" t="s">
        <v>23</v>
      </c>
      <c r="H11" s="91">
        <v>2018</v>
      </c>
      <c r="I11" s="88">
        <v>4.8</v>
      </c>
    </row>
    <row r="12" spans="1:9" ht="20">
      <c r="A12" s="82" t="s">
        <v>313</v>
      </c>
      <c r="B12" s="88">
        <v>5.2</v>
      </c>
      <c r="C12" s="88">
        <v>0</v>
      </c>
      <c r="G12" s="82" t="s">
        <v>313</v>
      </c>
      <c r="H12" s="91">
        <v>2018</v>
      </c>
      <c r="I12" s="88">
        <v>0</v>
      </c>
    </row>
    <row r="13" spans="1:9" ht="17">
      <c r="A13" s="89" t="s">
        <v>7</v>
      </c>
      <c r="B13" s="90">
        <v>69.7</v>
      </c>
      <c r="C13" s="90">
        <v>64.599999999999994</v>
      </c>
      <c r="G13"/>
      <c r="H13"/>
      <c r="I13"/>
    </row>
    <row r="14" spans="1:9" ht="119" customHeight="1">
      <c r="A14" s="382" t="s">
        <v>306</v>
      </c>
      <c r="B14" s="382"/>
      <c r="C14" s="382"/>
    </row>
    <row r="15" spans="1:9" ht="128" customHeight="1">
      <c r="A15" s="383" t="s">
        <v>314</v>
      </c>
      <c r="B15" s="383"/>
      <c r="C15" s="383"/>
    </row>
    <row r="16" spans="1:9" ht="119" customHeight="1">
      <c r="A16" s="384" t="s">
        <v>307</v>
      </c>
      <c r="B16" s="384"/>
      <c r="C16" s="384"/>
    </row>
    <row r="18" spans="1:7" ht="26">
      <c r="A18" s="92" t="s">
        <v>317</v>
      </c>
      <c r="B18" s="93" t="s">
        <v>318</v>
      </c>
      <c r="C18" s="93" t="s">
        <v>319</v>
      </c>
      <c r="D18" s="94" t="s">
        <v>320</v>
      </c>
      <c r="G18" s="16" t="s">
        <v>10</v>
      </c>
    </row>
    <row r="19" spans="1:7">
      <c r="A19" s="95" t="s">
        <v>321</v>
      </c>
      <c r="B19" s="96">
        <v>9737</v>
      </c>
      <c r="C19" s="96">
        <v>8674</v>
      </c>
      <c r="D19" s="97">
        <v>8448</v>
      </c>
      <c r="G19" s="16" t="s">
        <v>2</v>
      </c>
    </row>
    <row r="20" spans="1:7">
      <c r="A20" s="98" t="s">
        <v>322</v>
      </c>
      <c r="B20" s="96">
        <v>3550</v>
      </c>
      <c r="C20" s="96">
        <v>5765</v>
      </c>
      <c r="D20" s="97">
        <v>5765</v>
      </c>
      <c r="G20" s="16" t="s">
        <v>13</v>
      </c>
    </row>
    <row r="21" spans="1:7">
      <c r="A21" s="95" t="s">
        <v>323</v>
      </c>
      <c r="B21" s="96">
        <v>55831</v>
      </c>
      <c r="C21" s="96">
        <v>62486</v>
      </c>
      <c r="D21" s="97">
        <v>56310</v>
      </c>
      <c r="G21" s="16" t="s">
        <v>28</v>
      </c>
    </row>
    <row r="22" spans="1:7" ht="19">
      <c r="A22" s="95" t="s">
        <v>324</v>
      </c>
      <c r="B22" s="96">
        <v>15991</v>
      </c>
      <c r="C22" s="96">
        <v>13085</v>
      </c>
      <c r="D22" s="97">
        <v>16611</v>
      </c>
      <c r="G22" s="21" t="s">
        <v>36</v>
      </c>
    </row>
    <row r="23" spans="1:7" ht="19">
      <c r="A23" s="81" t="s">
        <v>325</v>
      </c>
      <c r="B23" s="99">
        <v>85108</v>
      </c>
      <c r="C23" s="99">
        <v>90010</v>
      </c>
      <c r="D23" s="100">
        <v>87134</v>
      </c>
      <c r="G23" s="21" t="s">
        <v>7</v>
      </c>
    </row>
    <row r="24" spans="1:7" ht="51" customHeight="1">
      <c r="A24" s="385" t="s">
        <v>326</v>
      </c>
      <c r="B24" s="385"/>
      <c r="C24" s="385"/>
      <c r="D24" s="385"/>
    </row>
    <row r="25" spans="1:7" ht="51" customHeight="1">
      <c r="A25" s="101" t="s">
        <v>327</v>
      </c>
      <c r="B25" s="101"/>
      <c r="C25" s="101"/>
      <c r="D25" s="101"/>
    </row>
  </sheetData>
  <mergeCells count="4">
    <mergeCell ref="A14:C14"/>
    <mergeCell ref="A15:C15"/>
    <mergeCell ref="A16:C16"/>
    <mergeCell ref="A24:D24"/>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2:E25"/>
  <sheetViews>
    <sheetView workbookViewId="0">
      <selection activeCell="B15" sqref="B15"/>
    </sheetView>
  </sheetViews>
  <sheetFormatPr baseColWidth="10" defaultRowHeight="16"/>
  <cols>
    <col min="2" max="2" width="83.1640625" bestFit="1" customWidth="1"/>
    <col min="3" max="4" width="10.6640625" bestFit="1" customWidth="1"/>
    <col min="5" max="5" width="13.1640625" bestFit="1" customWidth="1"/>
  </cols>
  <sheetData>
    <row r="2" spans="2:5">
      <c r="B2" s="172" t="s">
        <v>371</v>
      </c>
      <c r="C2" s="172"/>
      <c r="D2" s="172"/>
      <c r="E2" s="172"/>
    </row>
    <row r="3" spans="2:5" ht="42">
      <c r="B3" s="182" t="s">
        <v>372</v>
      </c>
      <c r="C3" s="183" t="s">
        <v>373</v>
      </c>
      <c r="D3" s="183" t="s">
        <v>374</v>
      </c>
      <c r="E3" s="183" t="s">
        <v>375</v>
      </c>
    </row>
    <row r="4" spans="2:5">
      <c r="B4" s="184" t="s">
        <v>376</v>
      </c>
      <c r="C4" s="174">
        <v>12.9</v>
      </c>
      <c r="D4" s="174">
        <v>14.7</v>
      </c>
      <c r="E4" s="175">
        <v>1.8</v>
      </c>
    </row>
    <row r="5" spans="2:5">
      <c r="B5" s="184" t="s">
        <v>377</v>
      </c>
      <c r="C5" s="174">
        <v>19.2</v>
      </c>
      <c r="D5" s="174">
        <v>20</v>
      </c>
      <c r="E5" s="175">
        <v>0.8</v>
      </c>
    </row>
    <row r="6" spans="2:5">
      <c r="B6" s="184" t="s">
        <v>378</v>
      </c>
      <c r="C6" s="174">
        <v>0.5</v>
      </c>
      <c r="D6" s="174">
        <v>0.6</v>
      </c>
      <c r="E6" s="175">
        <v>0.1</v>
      </c>
    </row>
    <row r="7" spans="2:5">
      <c r="B7" s="184" t="s">
        <v>379</v>
      </c>
      <c r="C7" s="174">
        <v>9.1</v>
      </c>
      <c r="D7" s="174">
        <v>8.6999999999999993</v>
      </c>
      <c r="E7" s="176">
        <v>-0.4</v>
      </c>
    </row>
    <row r="8" spans="2:5">
      <c r="B8" s="184" t="s">
        <v>380</v>
      </c>
      <c r="C8" s="174">
        <v>10.4</v>
      </c>
      <c r="D8" s="174">
        <v>9.9</v>
      </c>
      <c r="E8" s="176">
        <v>-0.5</v>
      </c>
    </row>
    <row r="9" spans="2:5">
      <c r="B9" s="184" t="s">
        <v>381</v>
      </c>
      <c r="C9" s="174">
        <v>4.9000000000000004</v>
      </c>
      <c r="D9" s="174">
        <v>5.2</v>
      </c>
      <c r="E9" s="175">
        <v>0.3</v>
      </c>
    </row>
    <row r="10" spans="2:5">
      <c r="B10" s="184" t="s">
        <v>382</v>
      </c>
      <c r="C10" s="174">
        <v>1.3</v>
      </c>
      <c r="D10" s="174">
        <v>1.1000000000000001</v>
      </c>
      <c r="E10" s="176">
        <v>-0.2</v>
      </c>
    </row>
    <row r="11" spans="2:5">
      <c r="B11" s="184" t="s">
        <v>383</v>
      </c>
      <c r="C11" s="174">
        <v>1.8</v>
      </c>
      <c r="D11" s="174">
        <v>1.4</v>
      </c>
      <c r="E11" s="176">
        <v>-0.4</v>
      </c>
    </row>
    <row r="12" spans="2:5">
      <c r="B12" s="184" t="s">
        <v>384</v>
      </c>
      <c r="C12" s="174">
        <v>0.9</v>
      </c>
      <c r="D12" s="174">
        <v>0.9</v>
      </c>
      <c r="E12" s="185" t="s">
        <v>385</v>
      </c>
    </row>
    <row r="13" spans="2:5">
      <c r="B13" s="184" t="s">
        <v>386</v>
      </c>
      <c r="C13" s="174">
        <v>4.8</v>
      </c>
      <c r="D13" s="174">
        <v>6.5</v>
      </c>
      <c r="E13" s="175">
        <v>1.7</v>
      </c>
    </row>
    <row r="14" spans="2:5">
      <c r="B14" s="186" t="s">
        <v>388</v>
      </c>
      <c r="C14" s="178">
        <v>65.8</v>
      </c>
      <c r="D14" s="178">
        <v>69</v>
      </c>
      <c r="E14" s="179">
        <v>3.2</v>
      </c>
    </row>
    <row r="15" spans="2:5">
      <c r="B15" s="173" t="s">
        <v>558</v>
      </c>
      <c r="C15" s="180" t="s">
        <v>387</v>
      </c>
      <c r="D15" s="174">
        <v>0</v>
      </c>
      <c r="E15" s="175">
        <v>17.399999999999999</v>
      </c>
    </row>
    <row r="16" spans="2:5">
      <c r="B16" s="177" t="s">
        <v>388</v>
      </c>
      <c r="C16" s="178">
        <v>65.8</v>
      </c>
      <c r="D16" s="178">
        <v>89</v>
      </c>
      <c r="E16" s="179">
        <v>23.2</v>
      </c>
    </row>
    <row r="17" spans="2:5">
      <c r="B17" s="181" t="s">
        <v>389</v>
      </c>
      <c r="C17" s="172"/>
      <c r="D17" s="172"/>
      <c r="E17" s="172"/>
    </row>
    <row r="25" spans="2:5">
      <c r="B25">
        <f>4+46+14+19</f>
        <v>83</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R59"/>
  <sheetViews>
    <sheetView topLeftCell="W1" workbookViewId="0">
      <selection activeCell="T14" sqref="T14"/>
    </sheetView>
  </sheetViews>
  <sheetFormatPr baseColWidth="10" defaultRowHeight="16"/>
  <cols>
    <col min="1" max="1" width="45" bestFit="1" customWidth="1"/>
    <col min="8" max="8" width="29.83203125" bestFit="1" customWidth="1"/>
    <col min="9" max="10" width="24.1640625" bestFit="1" customWidth="1"/>
    <col min="11" max="11" width="22.5" bestFit="1" customWidth="1"/>
    <col min="12" max="12" width="1.83203125" bestFit="1" customWidth="1"/>
    <col min="13" max="13" width="25" bestFit="1" customWidth="1"/>
    <col min="14" max="14" width="24.6640625" bestFit="1" customWidth="1"/>
    <col min="15" max="15" width="1.83203125" bestFit="1" customWidth="1"/>
    <col min="16" max="16" width="11.1640625" bestFit="1" customWidth="1"/>
    <col min="17" max="17" width="10.6640625" bestFit="1" customWidth="1"/>
    <col min="18" max="18" width="11.1640625" bestFit="1" customWidth="1"/>
    <col min="19" max="19" width="1.83203125" bestFit="1" customWidth="1"/>
    <col min="20" max="20" width="26.33203125" bestFit="1" customWidth="1"/>
    <col min="21" max="21" width="24.33203125" bestFit="1" customWidth="1"/>
    <col min="22" max="22" width="26.1640625" bestFit="1" customWidth="1"/>
    <col min="23" max="23" width="30.6640625" bestFit="1" customWidth="1"/>
    <col min="24" max="24" width="38.5" bestFit="1" customWidth="1"/>
    <col min="25" max="25" width="1.83203125" bestFit="1" customWidth="1"/>
    <col min="26" max="26" width="37.33203125" bestFit="1" customWidth="1"/>
    <col min="27" max="27" width="1.83203125" bestFit="1" customWidth="1"/>
    <col min="28" max="28" width="11.1640625" bestFit="1" customWidth="1"/>
    <col min="29" max="29" width="10.6640625" bestFit="1" customWidth="1"/>
    <col min="30" max="30" width="11.1640625" bestFit="1" customWidth="1"/>
    <col min="31" max="31" width="11.1640625" customWidth="1"/>
    <col min="32" max="32" width="1.83203125" bestFit="1" customWidth="1"/>
    <col min="33" max="33" width="23.83203125" bestFit="1" customWidth="1"/>
    <col min="34" max="34" width="23.5" bestFit="1" customWidth="1"/>
    <col min="35" max="35" width="1.83203125" bestFit="1" customWidth="1"/>
    <col min="36" max="36" width="19" bestFit="1" customWidth="1"/>
    <col min="37" max="37" width="21.5" bestFit="1" customWidth="1"/>
    <col min="39" max="39" width="29.83203125" bestFit="1" customWidth="1"/>
  </cols>
  <sheetData>
    <row r="1" spans="1:44">
      <c r="A1" s="204" t="s">
        <v>451</v>
      </c>
      <c r="B1" s="204">
        <v>2015</v>
      </c>
      <c r="C1" s="204">
        <v>2016</v>
      </c>
      <c r="D1" s="204">
        <v>2017</v>
      </c>
      <c r="E1" s="204">
        <v>2018</v>
      </c>
      <c r="F1" s="204">
        <v>2019</v>
      </c>
    </row>
    <row r="2" spans="1:44">
      <c r="A2" t="s">
        <v>44</v>
      </c>
      <c r="D2" s="195">
        <f>AJ15</f>
        <v>0.11766884485762757</v>
      </c>
      <c r="E2" s="195">
        <f>D2/$D$9*$E$10</f>
        <v>0.11883456821934317</v>
      </c>
      <c r="F2">
        <v>0</v>
      </c>
    </row>
    <row r="3" spans="1:44">
      <c r="A3" t="s">
        <v>440</v>
      </c>
      <c r="C3">
        <f>C58</f>
        <v>7.0200000000000005</v>
      </c>
      <c r="D3" s="195">
        <f>AJ16+D58</f>
        <v>8.698845089929609</v>
      </c>
      <c r="E3" s="195">
        <f t="shared" ref="E3:E8" si="0">D3/$D$9*$E$10</f>
        <v>8.7850229304068002</v>
      </c>
      <c r="F3">
        <v>0</v>
      </c>
    </row>
    <row r="4" spans="1:44">
      <c r="A4" t="s">
        <v>43</v>
      </c>
      <c r="C4">
        <f>C59</f>
        <v>0.67999999999999972</v>
      </c>
      <c r="D4" s="195">
        <f>AJ17+D59</f>
        <v>6.7798037436883476</v>
      </c>
      <c r="E4" s="195">
        <f t="shared" si="0"/>
        <v>6.8469699984555037</v>
      </c>
      <c r="F4">
        <v>0</v>
      </c>
    </row>
    <row r="5" spans="1:44">
      <c r="A5" t="s">
        <v>341</v>
      </c>
      <c r="D5" s="195">
        <f t="shared" ref="D5:D8" si="1">AJ18</f>
        <v>0.95173599499588291</v>
      </c>
      <c r="E5" s="195">
        <f t="shared" si="0"/>
        <v>0.96116466649252863</v>
      </c>
      <c r="F5">
        <v>0</v>
      </c>
    </row>
    <row r="6" spans="1:44">
      <c r="A6" t="s">
        <v>45</v>
      </c>
      <c r="D6" s="195">
        <f t="shared" si="1"/>
        <v>0</v>
      </c>
      <c r="E6" s="195">
        <f t="shared" si="0"/>
        <v>0</v>
      </c>
      <c r="F6">
        <v>0</v>
      </c>
    </row>
    <row r="7" spans="1:44">
      <c r="A7" t="s">
        <v>441</v>
      </c>
      <c r="D7" s="195">
        <f t="shared" si="1"/>
        <v>0</v>
      </c>
      <c r="E7" s="195">
        <f t="shared" si="0"/>
        <v>0</v>
      </c>
      <c r="F7">
        <v>0</v>
      </c>
    </row>
    <row r="8" spans="1:44">
      <c r="A8" t="s">
        <v>442</v>
      </c>
      <c r="D8" s="195">
        <f t="shared" si="1"/>
        <v>0.28518258558922277</v>
      </c>
      <c r="E8" s="195">
        <f t="shared" si="0"/>
        <v>0.28800783642582323</v>
      </c>
      <c r="F8">
        <v>0</v>
      </c>
    </row>
    <row r="9" spans="1:44">
      <c r="A9" t="s">
        <v>7</v>
      </c>
      <c r="B9" s="195">
        <f t="shared" ref="B9:F9" si="2">SUM(B2:B8)</f>
        <v>0</v>
      </c>
      <c r="C9" s="195">
        <f t="shared" si="2"/>
        <v>7.7</v>
      </c>
      <c r="D9" s="195">
        <f t="shared" si="2"/>
        <v>16.833236259060691</v>
      </c>
      <c r="E9" s="195">
        <f>SUM(E2:E8)</f>
        <v>17</v>
      </c>
      <c r="F9" s="195">
        <f t="shared" si="2"/>
        <v>0</v>
      </c>
    </row>
    <row r="10" spans="1:44">
      <c r="A10" s="236" t="s">
        <v>523</v>
      </c>
      <c r="B10" s="236">
        <f>B26</f>
        <v>2</v>
      </c>
      <c r="C10" s="236">
        <f t="shared" ref="C10:E10" si="3">C26</f>
        <v>8</v>
      </c>
      <c r="D10" s="236">
        <f t="shared" si="3"/>
        <v>19</v>
      </c>
      <c r="E10" s="236">
        <f t="shared" si="3"/>
        <v>17</v>
      </c>
    </row>
    <row r="11" spans="1:44" ht="93" customHeight="1"/>
    <row r="12" spans="1:44" ht="21">
      <c r="A12" s="155" t="s">
        <v>406</v>
      </c>
      <c r="B12" s="155"/>
      <c r="C12" s="155"/>
      <c r="D12" s="155"/>
      <c r="E12" s="155"/>
      <c r="F12" s="155"/>
      <c r="H12" s="386" t="s">
        <v>266</v>
      </c>
      <c r="I12" s="386"/>
      <c r="J12" s="386"/>
      <c r="K12" s="386"/>
      <c r="L12" s="386"/>
      <c r="M12" s="386"/>
      <c r="N12" s="386"/>
      <c r="O12" s="386"/>
      <c r="P12" s="386"/>
      <c r="Q12" s="386"/>
      <c r="R12" s="386"/>
      <c r="T12" s="387"/>
      <c r="U12" s="387"/>
      <c r="V12" s="387"/>
      <c r="W12" s="387"/>
      <c r="X12" s="387"/>
      <c r="Y12" s="387"/>
      <c r="Z12" s="387"/>
      <c r="AA12" s="387"/>
      <c r="AB12" s="387"/>
      <c r="AC12" s="387"/>
      <c r="AD12" s="387"/>
      <c r="AE12" s="202"/>
      <c r="AG12" s="388" t="s">
        <v>446</v>
      </c>
      <c r="AH12" s="388"/>
      <c r="AI12" s="388"/>
      <c r="AJ12" s="388"/>
      <c r="AK12" s="388"/>
    </row>
    <row r="13" spans="1:44" ht="32">
      <c r="A13" s="155" t="s">
        <v>407</v>
      </c>
      <c r="B13" s="10">
        <v>2015</v>
      </c>
      <c r="C13" s="10">
        <v>2016</v>
      </c>
      <c r="D13" s="10">
        <v>2017</v>
      </c>
      <c r="E13" s="10">
        <v>2018</v>
      </c>
      <c r="F13" s="10">
        <v>2019</v>
      </c>
      <c r="H13" s="201" t="s">
        <v>420</v>
      </c>
      <c r="I13" s="201" t="s">
        <v>411</v>
      </c>
      <c r="J13" s="201" t="s">
        <v>291</v>
      </c>
      <c r="K13" s="201" t="s">
        <v>421</v>
      </c>
      <c r="L13" s="201" t="s">
        <v>35</v>
      </c>
      <c r="M13" s="201" t="s">
        <v>422</v>
      </c>
      <c r="N13" s="201" t="s">
        <v>423</v>
      </c>
      <c r="O13" s="201" t="s">
        <v>35</v>
      </c>
      <c r="P13" s="201" t="s">
        <v>424</v>
      </c>
      <c r="Q13" s="201" t="s">
        <v>226</v>
      </c>
      <c r="R13" s="201" t="s">
        <v>7</v>
      </c>
      <c r="S13" s="201" t="s">
        <v>35</v>
      </c>
      <c r="T13" s="201" t="s">
        <v>425</v>
      </c>
      <c r="U13" s="201" t="s">
        <v>426</v>
      </c>
      <c r="V13" s="201" t="s">
        <v>427</v>
      </c>
      <c r="W13" s="230" t="s">
        <v>428</v>
      </c>
      <c r="X13" s="201" t="s">
        <v>429</v>
      </c>
      <c r="Y13" s="201" t="s">
        <v>35</v>
      </c>
      <c r="Z13" s="201" t="s">
        <v>430</v>
      </c>
      <c r="AA13" s="201" t="s">
        <v>35</v>
      </c>
      <c r="AB13" s="201" t="s">
        <v>424</v>
      </c>
      <c r="AC13" s="201" t="s">
        <v>226</v>
      </c>
      <c r="AD13" s="201" t="s">
        <v>7</v>
      </c>
      <c r="AE13" s="201" t="s">
        <v>445</v>
      </c>
      <c r="AF13" s="201" t="s">
        <v>35</v>
      </c>
      <c r="AG13" s="201" t="s">
        <v>431</v>
      </c>
      <c r="AH13" s="201" t="s">
        <v>432</v>
      </c>
      <c r="AI13" s="201" t="s">
        <v>35</v>
      </c>
      <c r="AJ13" s="234" t="s">
        <v>431</v>
      </c>
      <c r="AK13" s="234" t="s">
        <v>433</v>
      </c>
      <c r="AN13" s="199">
        <v>2015</v>
      </c>
      <c r="AO13" s="199">
        <v>2016</v>
      </c>
      <c r="AP13" s="199">
        <v>2017</v>
      </c>
      <c r="AQ13" s="199">
        <v>2018</v>
      </c>
      <c r="AR13" s="199">
        <v>2019</v>
      </c>
    </row>
    <row r="14" spans="1:44" ht="19">
      <c r="A14" s="155" t="s">
        <v>411</v>
      </c>
      <c r="B14" s="196">
        <v>502.30900000000008</v>
      </c>
      <c r="C14" s="196">
        <v>529.03700000000003</v>
      </c>
      <c r="D14" s="196">
        <v>526.7969999999998</v>
      </c>
      <c r="E14" s="196">
        <v>524.34800000000007</v>
      </c>
      <c r="F14" s="196">
        <v>617</v>
      </c>
      <c r="H14" s="45"/>
      <c r="I14" s="45" t="s">
        <v>434</v>
      </c>
      <c r="J14" s="45" t="s">
        <v>435</v>
      </c>
      <c r="K14" s="45" t="s">
        <v>436</v>
      </c>
      <c r="L14" s="45"/>
      <c r="M14" s="45" t="s">
        <v>437</v>
      </c>
      <c r="N14" s="45" t="s">
        <v>438</v>
      </c>
      <c r="O14" s="45"/>
      <c r="P14" s="45"/>
      <c r="Q14" s="45"/>
      <c r="R14" s="45"/>
      <c r="S14" s="45"/>
      <c r="T14" s="45"/>
      <c r="U14" s="45"/>
      <c r="V14" s="45" t="s">
        <v>438</v>
      </c>
      <c r="W14" s="45" t="s">
        <v>439</v>
      </c>
      <c r="X14" s="45" t="s">
        <v>439</v>
      </c>
      <c r="Y14" s="45"/>
      <c r="Z14" s="45"/>
      <c r="AA14" s="45"/>
      <c r="AB14" s="45"/>
      <c r="AC14" s="45"/>
      <c r="AD14" s="45"/>
      <c r="AE14" s="203" t="s">
        <v>444</v>
      </c>
      <c r="AF14" s="45"/>
      <c r="AG14" s="45" t="s">
        <v>447</v>
      </c>
      <c r="AH14" s="45" t="s">
        <v>449</v>
      </c>
      <c r="AI14" s="45"/>
      <c r="AJ14" s="70" t="s">
        <v>450</v>
      </c>
      <c r="AK14" s="70" t="s">
        <v>448</v>
      </c>
      <c r="AM14" t="s">
        <v>525</v>
      </c>
    </row>
    <row r="15" spans="1:44">
      <c r="A15" s="197" t="s">
        <v>408</v>
      </c>
      <c r="B15" s="196">
        <f>62.983-B16</f>
        <v>62.982999999999997</v>
      </c>
      <c r="C15" s="196">
        <f>58.942-C16</f>
        <v>51.241999999999997</v>
      </c>
      <c r="D15" s="196">
        <f>82.49-D16</f>
        <v>65.656763740939311</v>
      </c>
      <c r="E15" s="196">
        <f>83.431-E16</f>
        <v>66.430999999999997</v>
      </c>
      <c r="F15" s="196">
        <v>61</v>
      </c>
      <c r="H15" t="s">
        <v>44</v>
      </c>
      <c r="I15" s="195">
        <v>135.26924</v>
      </c>
      <c r="J15" s="195">
        <v>3.5622579999999999</v>
      </c>
      <c r="K15" s="195">
        <v>0.144868</v>
      </c>
      <c r="L15" s="195"/>
      <c r="M15" s="195">
        <v>0.97668500000000003</v>
      </c>
      <c r="N15" s="195">
        <v>0.11376500000000001</v>
      </c>
      <c r="O15" s="195"/>
      <c r="P15" s="195">
        <f>M15+I15</f>
        <v>136.245925</v>
      </c>
      <c r="Q15" s="195">
        <f>N15+K15+J15</f>
        <v>3.820891</v>
      </c>
      <c r="R15" s="195">
        <f>Q15+P15</f>
        <v>140.06681599999999</v>
      </c>
      <c r="V15" s="195">
        <v>0.26511800000000002</v>
      </c>
      <c r="W15" s="195">
        <v>128.725978</v>
      </c>
      <c r="X15" s="195">
        <v>3.442008</v>
      </c>
      <c r="Z15" s="69">
        <v>0.13137499999999999</v>
      </c>
      <c r="AB15" s="195">
        <f>T15+W15+U15</f>
        <v>128.725978</v>
      </c>
      <c r="AC15" s="195">
        <f>V15+X15+Z15</f>
        <v>3.8385009999999999</v>
      </c>
      <c r="AD15" s="195">
        <f>AC15+AB15</f>
        <v>132.56447900000001</v>
      </c>
      <c r="AE15">
        <v>146.14699999999999</v>
      </c>
      <c r="AG15" s="195">
        <f>Z15-AH15</f>
        <v>1.7609999999999987E-2</v>
      </c>
      <c r="AH15" s="195">
        <f>N15</f>
        <v>0.11376500000000001</v>
      </c>
      <c r="AJ15" s="235">
        <f>Z15-AK15</f>
        <v>0.11766884485762757</v>
      </c>
      <c r="AK15" s="235">
        <f>N15/(M15+N15)*Z15</f>
        <v>1.3706155142372414E-2</v>
      </c>
      <c r="AM15" t="s">
        <v>44</v>
      </c>
      <c r="AN15">
        <v>145.85900000000001</v>
      </c>
      <c r="AO15">
        <v>145.446</v>
      </c>
      <c r="AP15">
        <v>146.14699999999999</v>
      </c>
      <c r="AQ15">
        <v>146.64099999999999</v>
      </c>
      <c r="AR15">
        <v>161.52699999999999</v>
      </c>
    </row>
    <row r="16" spans="1:44">
      <c r="A16" s="197" t="s">
        <v>410</v>
      </c>
      <c r="B16" s="196">
        <f>B9</f>
        <v>0</v>
      </c>
      <c r="C16" s="196">
        <f t="shared" ref="C16:E16" si="4">C9</f>
        <v>7.7</v>
      </c>
      <c r="D16" s="196">
        <f t="shared" si="4"/>
        <v>16.833236259060691</v>
      </c>
      <c r="E16" s="196">
        <f t="shared" si="4"/>
        <v>17</v>
      </c>
      <c r="F16" s="196">
        <f t="shared" ref="F16" si="5">F9</f>
        <v>0</v>
      </c>
      <c r="H16" t="s">
        <v>440</v>
      </c>
      <c r="I16" s="195">
        <v>205.86022700000001</v>
      </c>
      <c r="J16" s="195">
        <v>45.034082999999995</v>
      </c>
      <c r="K16" s="195">
        <v>5.1002479999999997</v>
      </c>
      <c r="L16" s="195"/>
      <c r="M16" s="195">
        <v>7.2187260000000002</v>
      </c>
      <c r="N16" s="195">
        <v>3.5853130000000002</v>
      </c>
      <c r="O16" s="195"/>
      <c r="P16" s="195">
        <f t="shared" ref="P16:P21" si="6">M16+I16</f>
        <v>213.07895300000001</v>
      </c>
      <c r="Q16" s="195">
        <f t="shared" ref="Q16:Q21" si="7">N16+K16+J16</f>
        <v>53.719643999999995</v>
      </c>
      <c r="R16" s="195">
        <f t="shared" ref="R16:R21" si="8">Q16+P16</f>
        <v>266.79859700000003</v>
      </c>
      <c r="T16" s="232"/>
      <c r="V16" s="195">
        <v>4.6159350000000003</v>
      </c>
      <c r="W16" s="195">
        <v>198.28908200000001</v>
      </c>
      <c r="X16" s="195">
        <v>47.995137999999997</v>
      </c>
      <c r="Z16" s="69">
        <v>7.6974330000000002</v>
      </c>
      <c r="AB16" s="195">
        <f t="shared" ref="AB16:AB21" si="9">T16+W16+U16</f>
        <v>198.28908200000001</v>
      </c>
      <c r="AC16" s="195">
        <f t="shared" ref="AC16:AC21" si="10">V16+X16+Z16</f>
        <v>60.308505999999994</v>
      </c>
      <c r="AD16" s="195">
        <f t="shared" ref="AD16:AD21" si="11">AC16+AB16</f>
        <v>258.59758799999997</v>
      </c>
      <c r="AE16">
        <v>258.70699999999999</v>
      </c>
      <c r="AG16" s="195">
        <f>Z16-AH16</f>
        <v>4.11212</v>
      </c>
      <c r="AH16" s="195">
        <f>N16</f>
        <v>3.5853130000000002</v>
      </c>
      <c r="AJ16" s="235">
        <f t="shared" ref="AJ16:AJ22" si="12">Z16-AK16</f>
        <v>5.1430450899296085</v>
      </c>
      <c r="AK16" s="235">
        <f>N16/(M16+N16)*Z16</f>
        <v>2.5543879100703917</v>
      </c>
      <c r="AM16" t="s">
        <v>440</v>
      </c>
      <c r="AN16">
        <v>246.572</v>
      </c>
      <c r="AO16">
        <v>245.15</v>
      </c>
      <c r="AP16">
        <v>258.70699999999999</v>
      </c>
      <c r="AQ16">
        <v>262.42500000000001</v>
      </c>
      <c r="AR16">
        <v>284.553</v>
      </c>
    </row>
    <row r="17" spans="1:44">
      <c r="A17" s="197" t="s">
        <v>409</v>
      </c>
      <c r="B17" s="155">
        <v>0.112</v>
      </c>
      <c r="C17" s="196">
        <v>0</v>
      </c>
      <c r="D17" s="196">
        <v>0</v>
      </c>
      <c r="E17" s="196">
        <v>4.6859999999999999</v>
      </c>
      <c r="F17" s="196">
        <v>8</v>
      </c>
      <c r="H17" t="s">
        <v>43</v>
      </c>
      <c r="I17" s="195">
        <v>102.56668000000001</v>
      </c>
      <c r="J17" s="195">
        <v>9.5144079999999995</v>
      </c>
      <c r="K17" s="195">
        <v>0.38768400000000003</v>
      </c>
      <c r="L17" s="195"/>
      <c r="M17" s="195">
        <v>13.462057</v>
      </c>
      <c r="N17" s="195">
        <v>1.008202</v>
      </c>
      <c r="O17" s="195"/>
      <c r="P17" s="195">
        <f t="shared" si="6"/>
        <v>116.02873700000001</v>
      </c>
      <c r="Q17" s="195">
        <f t="shared" si="7"/>
        <v>10.910294</v>
      </c>
      <c r="R17" s="195">
        <f t="shared" si="8"/>
        <v>126.939031</v>
      </c>
      <c r="V17" s="195">
        <v>0.81224699999999994</v>
      </c>
      <c r="W17" s="195">
        <v>107.503169</v>
      </c>
      <c r="X17" s="195">
        <v>9.1990759999999998</v>
      </c>
      <c r="Z17" s="69">
        <v>5.5202200000000001</v>
      </c>
      <c r="AB17" s="195">
        <f t="shared" si="9"/>
        <v>107.503169</v>
      </c>
      <c r="AC17" s="195">
        <f t="shared" si="10"/>
        <v>15.531542999999999</v>
      </c>
      <c r="AD17" s="195">
        <f t="shared" si="11"/>
        <v>123.034712</v>
      </c>
      <c r="AE17">
        <v>124.337</v>
      </c>
      <c r="AG17" s="195">
        <f>Z17-AH17</f>
        <v>4.5120180000000003</v>
      </c>
      <c r="AH17" s="195">
        <f>N17</f>
        <v>1.008202</v>
      </c>
      <c r="AJ17" s="235">
        <f t="shared" si="12"/>
        <v>5.135603743688347</v>
      </c>
      <c r="AK17" s="235">
        <f>N17/(M17+N17)*Z17</f>
        <v>0.38461625631165275</v>
      </c>
      <c r="AM17" t="s">
        <v>43</v>
      </c>
      <c r="AN17">
        <v>102.11</v>
      </c>
      <c r="AO17">
        <v>118.895</v>
      </c>
      <c r="AP17">
        <v>124.337</v>
      </c>
      <c r="AQ17">
        <v>125.60899999999999</v>
      </c>
      <c r="AR17">
        <v>144.54499999999999</v>
      </c>
    </row>
    <row r="18" spans="1:44">
      <c r="A18" s="155" t="s">
        <v>412</v>
      </c>
      <c r="B18" s="196">
        <f>B15+B16+B17</f>
        <v>63.094999999999999</v>
      </c>
      <c r="C18" s="196">
        <f t="shared" ref="C18:E18" si="13">C15+C16+C17</f>
        <v>58.942</v>
      </c>
      <c r="D18" s="196">
        <f t="shared" si="13"/>
        <v>82.490000000000009</v>
      </c>
      <c r="E18" s="196">
        <f t="shared" si="13"/>
        <v>88.11699999999999</v>
      </c>
      <c r="F18" s="196">
        <f t="shared" ref="F18" si="14">F15+F16+F17</f>
        <v>69</v>
      </c>
      <c r="H18" t="s">
        <v>341</v>
      </c>
      <c r="I18" s="195">
        <v>71.391771000000006</v>
      </c>
      <c r="J18" s="195">
        <v>0.37416899999999997</v>
      </c>
      <c r="K18" s="195">
        <v>0.14219999999999999</v>
      </c>
      <c r="L18" s="195"/>
      <c r="M18" s="195">
        <v>2.064333</v>
      </c>
      <c r="N18" s="195">
        <v>0.35967100000000002</v>
      </c>
      <c r="O18" s="195"/>
      <c r="P18" s="195">
        <f t="shared" si="6"/>
        <v>73.456104000000011</v>
      </c>
      <c r="Q18" s="195">
        <f t="shared" si="7"/>
        <v>0.87603999999999993</v>
      </c>
      <c r="R18" s="195">
        <f t="shared" si="8"/>
        <v>74.332144000000014</v>
      </c>
      <c r="V18" s="195">
        <v>8.1700000000000009E-2</v>
      </c>
      <c r="W18" s="195">
        <v>74.130631999999991</v>
      </c>
      <c r="X18" s="195">
        <v>0.406669</v>
      </c>
      <c r="Z18" s="69">
        <v>1.1175580000000001</v>
      </c>
      <c r="AB18" s="195">
        <f t="shared" si="9"/>
        <v>74.130631999999991</v>
      </c>
      <c r="AC18" s="195">
        <f t="shared" si="10"/>
        <v>1.6059270000000001</v>
      </c>
      <c r="AD18" s="195">
        <f t="shared" si="11"/>
        <v>75.736558999999986</v>
      </c>
      <c r="AE18">
        <v>74.129000000000005</v>
      </c>
      <c r="AG18" s="195">
        <f>Z18-AH18</f>
        <v>0.75788699999999998</v>
      </c>
      <c r="AH18" s="195">
        <f>N18</f>
        <v>0.35967100000000002</v>
      </c>
      <c r="AJ18" s="235">
        <f t="shared" si="12"/>
        <v>0.95173599499588291</v>
      </c>
      <c r="AK18" s="235">
        <f>N18/(M18+N18)*Z18</f>
        <v>0.16582200500411715</v>
      </c>
      <c r="AM18" t="s">
        <v>341</v>
      </c>
      <c r="AN18">
        <v>63.869</v>
      </c>
      <c r="AO18">
        <v>69.543000000000006</v>
      </c>
      <c r="AP18">
        <v>74.129000000000005</v>
      </c>
      <c r="AQ18">
        <v>74.852999999999994</v>
      </c>
      <c r="AR18">
        <v>92.634</v>
      </c>
    </row>
    <row r="19" spans="1:44">
      <c r="A19" s="155" t="s">
        <v>413</v>
      </c>
      <c r="B19" s="196">
        <f>B14+B18</f>
        <v>565.40400000000011</v>
      </c>
      <c r="C19" s="196">
        <f>C14+C18</f>
        <v>587.97900000000004</v>
      </c>
      <c r="D19" s="196">
        <f>D14+D18</f>
        <v>609.28699999999981</v>
      </c>
      <c r="E19" s="196">
        <f>E14+E18</f>
        <v>612.46500000000003</v>
      </c>
      <c r="F19" s="196">
        <f>F14+F18</f>
        <v>686</v>
      </c>
      <c r="H19" t="s">
        <v>45</v>
      </c>
      <c r="I19" s="195">
        <v>6.1242039999999998</v>
      </c>
      <c r="J19" s="195">
        <v>0.17199999999999999</v>
      </c>
      <c r="K19" s="195">
        <v>0</v>
      </c>
      <c r="L19" s="195"/>
      <c r="M19" s="195"/>
      <c r="N19" s="195">
        <v>1.15E-2</v>
      </c>
      <c r="O19" s="195"/>
      <c r="P19" s="195">
        <f t="shared" si="6"/>
        <v>6.1242039999999998</v>
      </c>
      <c r="Q19" s="195">
        <f t="shared" si="7"/>
        <v>0.1835</v>
      </c>
      <c r="R19" s="195">
        <f t="shared" si="8"/>
        <v>6.3077039999999993</v>
      </c>
      <c r="T19" s="195">
        <f>AE19</f>
        <v>6.8940000000000001</v>
      </c>
      <c r="V19" s="195">
        <v>0.17199999999999999</v>
      </c>
      <c r="W19" s="195">
        <v>0</v>
      </c>
      <c r="X19" s="195">
        <v>0</v>
      </c>
      <c r="Z19" s="69">
        <v>0</v>
      </c>
      <c r="AB19" s="195">
        <f t="shared" si="9"/>
        <v>6.8940000000000001</v>
      </c>
      <c r="AC19" s="195">
        <f t="shared" si="10"/>
        <v>0.17199999999999999</v>
      </c>
      <c r="AD19" s="195">
        <f t="shared" si="11"/>
        <v>7.0659999999999998</v>
      </c>
      <c r="AE19">
        <v>6.8940000000000001</v>
      </c>
      <c r="AG19" s="195">
        <v>0</v>
      </c>
      <c r="AH19" s="195">
        <v>0</v>
      </c>
      <c r="AJ19" s="235">
        <f t="shared" si="12"/>
        <v>0</v>
      </c>
      <c r="AK19" s="235"/>
      <c r="AM19" t="s">
        <v>45</v>
      </c>
      <c r="AN19">
        <v>5.6520000000000001</v>
      </c>
      <c r="AO19">
        <v>6.9269999999999996</v>
      </c>
      <c r="AP19">
        <v>6.8940000000000001</v>
      </c>
      <c r="AQ19">
        <v>7.08</v>
      </c>
      <c r="AR19">
        <v>9.8010000000000002</v>
      </c>
    </row>
    <row r="20" spans="1:44">
      <c r="A20" s="155"/>
      <c r="H20" t="s">
        <v>441</v>
      </c>
      <c r="I20" s="195">
        <v>1.319852</v>
      </c>
      <c r="J20" s="195">
        <v>0</v>
      </c>
      <c r="K20" s="195">
        <v>0</v>
      </c>
      <c r="L20" s="195"/>
      <c r="M20" s="195"/>
      <c r="N20" s="195">
        <v>0</v>
      </c>
      <c r="O20" s="195"/>
      <c r="P20" s="195">
        <f t="shared" si="6"/>
        <v>1.319852</v>
      </c>
      <c r="Q20" s="195">
        <f t="shared" si="7"/>
        <v>0</v>
      </c>
      <c r="R20" s="195">
        <f t="shared" si="8"/>
        <v>1.319852</v>
      </c>
      <c r="T20" s="195">
        <f>AE20</f>
        <v>1.335</v>
      </c>
      <c r="V20" s="195">
        <v>0</v>
      </c>
      <c r="W20" s="195">
        <v>0</v>
      </c>
      <c r="X20" s="195">
        <v>0</v>
      </c>
      <c r="Z20" s="69">
        <v>0</v>
      </c>
      <c r="AB20" s="195">
        <f t="shared" si="9"/>
        <v>1.335</v>
      </c>
      <c r="AC20" s="195">
        <f t="shared" si="10"/>
        <v>0</v>
      </c>
      <c r="AD20" s="195">
        <f t="shared" si="11"/>
        <v>1.335</v>
      </c>
      <c r="AE20">
        <v>1.335</v>
      </c>
      <c r="AG20" s="195">
        <f>Z20-AH20</f>
        <v>0</v>
      </c>
      <c r="AH20" s="195">
        <f>N20</f>
        <v>0</v>
      </c>
      <c r="AJ20" s="235">
        <f t="shared" si="12"/>
        <v>0</v>
      </c>
      <c r="AK20" s="235"/>
      <c r="AM20" t="s">
        <v>441</v>
      </c>
      <c r="AN20">
        <v>1.1399999999999999</v>
      </c>
      <c r="AO20">
        <v>1.2529999999999999</v>
      </c>
      <c r="AP20">
        <v>1.335</v>
      </c>
      <c r="AQ20">
        <v>1.276</v>
      </c>
      <c r="AR20">
        <v>1.583</v>
      </c>
    </row>
    <row r="21" spans="1:44">
      <c r="A21" s="246" t="s">
        <v>531</v>
      </c>
      <c r="B21" s="246">
        <f>AN36</f>
        <v>565.40400000000011</v>
      </c>
      <c r="C21" s="246">
        <f>AO36</f>
        <v>587.97900000000004</v>
      </c>
      <c r="D21" s="246">
        <f>AP36</f>
        <v>609.28699999999981</v>
      </c>
      <c r="E21" s="246">
        <f>AQ36</f>
        <v>612.46500000000003</v>
      </c>
      <c r="F21" s="246">
        <f>AR36</f>
        <v>686.35599999999999</v>
      </c>
      <c r="H21" t="s">
        <v>442</v>
      </c>
      <c r="I21" s="195">
        <v>1.371613</v>
      </c>
      <c r="J21" s="195">
        <v>0.14063300000000001</v>
      </c>
      <c r="K21" s="195">
        <v>0</v>
      </c>
      <c r="L21" s="195"/>
      <c r="M21" s="195">
        <v>0.96183399999999997</v>
      </c>
      <c r="N21" s="195">
        <v>1.681E-3</v>
      </c>
      <c r="O21" s="195"/>
      <c r="P21" s="195">
        <f t="shared" si="6"/>
        <v>2.333447</v>
      </c>
      <c r="Q21" s="195">
        <f t="shared" si="7"/>
        <v>0.142314</v>
      </c>
      <c r="R21" s="195">
        <f t="shared" si="8"/>
        <v>2.4757609999999999</v>
      </c>
      <c r="T21" s="195"/>
      <c r="V21" s="195">
        <v>0</v>
      </c>
      <c r="W21" s="195">
        <v>1.5116130000000001</v>
      </c>
      <c r="X21" s="195">
        <v>0.14063300000000001</v>
      </c>
      <c r="Z21" s="69">
        <v>0.28568099999999996</v>
      </c>
      <c r="AB21" s="195">
        <f t="shared" si="9"/>
        <v>1.5116130000000001</v>
      </c>
      <c r="AC21" s="195">
        <f t="shared" si="10"/>
        <v>0.42631399999999997</v>
      </c>
      <c r="AD21" s="195">
        <f t="shared" si="11"/>
        <v>1.9379270000000002</v>
      </c>
      <c r="AE21">
        <v>15.134</v>
      </c>
      <c r="AG21" s="195">
        <f>Z21-AH21</f>
        <v>0.28399999999999997</v>
      </c>
      <c r="AH21" s="195">
        <f>N21</f>
        <v>1.681E-3</v>
      </c>
      <c r="AJ21" s="235">
        <f t="shared" si="12"/>
        <v>0.28518258558922277</v>
      </c>
      <c r="AK21" s="235">
        <f>N21/(M21+N21)*Z21</f>
        <v>4.9841441077720628E-4</v>
      </c>
      <c r="AM21" t="s">
        <v>442</v>
      </c>
      <c r="AN21">
        <v>7.4779999999999998</v>
      </c>
      <c r="AO21">
        <v>9.3049999999999997</v>
      </c>
      <c r="AP21">
        <v>15.134</v>
      </c>
      <c r="AQ21">
        <v>1.9279999999999999</v>
      </c>
      <c r="AR21">
        <v>1.5569999999999999</v>
      </c>
    </row>
    <row r="22" spans="1:44">
      <c r="I22" s="195">
        <v>523.9035869999999</v>
      </c>
      <c r="J22" s="195">
        <v>58.797550999999999</v>
      </c>
      <c r="K22" s="195">
        <v>5.7749999999999995</v>
      </c>
      <c r="L22" s="195"/>
      <c r="M22" s="195">
        <v>24.683635000000002</v>
      </c>
      <c r="N22" s="195">
        <v>5.080131999999999</v>
      </c>
      <c r="O22" s="195"/>
      <c r="P22" s="195">
        <f>SUM(P15:P21)</f>
        <v>548.58722199999988</v>
      </c>
      <c r="Q22" s="195">
        <f>SUM(Q15:Q21)</f>
        <v>69.652682999999996</v>
      </c>
      <c r="R22" s="195">
        <f>SUM(R15:R21)</f>
        <v>618.23990499999991</v>
      </c>
      <c r="T22" s="195">
        <f>SUM(T15:T21)</f>
        <v>8.2289999999999992</v>
      </c>
      <c r="V22" s="195">
        <f>SUM(V15:V21)</f>
        <v>5.9470000000000001</v>
      </c>
      <c r="W22" s="195">
        <f>SUM(W15:W21)</f>
        <v>510.16047400000002</v>
      </c>
      <c r="X22" s="195">
        <f>SUM(X15:X21)</f>
        <v>61.183523999999998</v>
      </c>
      <c r="Z22" s="69">
        <f>SUM(Z15:Z21)</f>
        <v>14.752267000000002</v>
      </c>
      <c r="AB22" s="195">
        <f>SUM(AB15:AB21)</f>
        <v>518.38947400000006</v>
      </c>
      <c r="AC22" s="195">
        <f>SUM(AC15:AC21)</f>
        <v>81.882790999999983</v>
      </c>
      <c r="AD22" s="195">
        <f>SUM(AD15:AD21)</f>
        <v>600.27226499999995</v>
      </c>
      <c r="AE22" s="195">
        <f>SUM(AE15:AE21)</f>
        <v>626.68300000000011</v>
      </c>
      <c r="AG22" s="195">
        <f>SUM(AG15:AG21)</f>
        <v>9.6836350000000007</v>
      </c>
      <c r="AH22" s="195">
        <f>SUM(AH15:AH21)</f>
        <v>5.0686319999999991</v>
      </c>
      <c r="AJ22" s="235">
        <f t="shared" si="12"/>
        <v>11.633236259060691</v>
      </c>
      <c r="AK22" s="235">
        <f>SUM(AK15:AK21)</f>
        <v>3.1190307409393108</v>
      </c>
      <c r="AM22" t="s">
        <v>524</v>
      </c>
      <c r="AN22">
        <v>-1.837</v>
      </c>
      <c r="AO22">
        <v>-0.79400000000000004</v>
      </c>
      <c r="AP22">
        <v>-0.44400000000000001</v>
      </c>
      <c r="AQ22">
        <v>-1.1679999999999999</v>
      </c>
      <c r="AR22">
        <v>-1.1339999999999999</v>
      </c>
    </row>
    <row r="23" spans="1:44" ht="19">
      <c r="H23" t="s">
        <v>443</v>
      </c>
      <c r="I23" s="195"/>
      <c r="J23" s="195"/>
      <c r="K23" s="195"/>
      <c r="L23" s="195"/>
      <c r="M23" s="195"/>
      <c r="N23" s="195">
        <v>29.763767000000001</v>
      </c>
      <c r="O23" s="195"/>
      <c r="P23" s="195"/>
      <c r="Q23" s="195"/>
      <c r="R23" s="195"/>
      <c r="V23" s="195"/>
      <c r="W23" s="195"/>
      <c r="X23" s="195"/>
      <c r="AM23" t="s">
        <v>7</v>
      </c>
      <c r="AN23" s="143">
        <f>SUM(AN15:AN22)</f>
        <v>570.84300000000007</v>
      </c>
      <c r="AO23" s="143">
        <f t="shared" ref="AO23:AR23" si="15">SUM(AO15:AO22)</f>
        <v>595.72500000000002</v>
      </c>
      <c r="AP23" s="143">
        <f t="shared" si="15"/>
        <v>626.23900000000015</v>
      </c>
      <c r="AQ23" s="143">
        <f t="shared" si="15"/>
        <v>618.64400000000001</v>
      </c>
      <c r="AR23" s="143">
        <f t="shared" si="15"/>
        <v>695.06600000000003</v>
      </c>
    </row>
    <row r="25" spans="1:44">
      <c r="A25" t="s">
        <v>529</v>
      </c>
      <c r="B25" s="204">
        <v>2015</v>
      </c>
      <c r="C25" s="204">
        <v>2016</v>
      </c>
      <c r="D25" s="204">
        <v>2017</v>
      </c>
      <c r="E25" s="204">
        <v>2018</v>
      </c>
      <c r="F25" s="204">
        <v>2019</v>
      </c>
      <c r="AN25" s="199">
        <v>2015</v>
      </c>
      <c r="AO25" s="199">
        <v>2016</v>
      </c>
      <c r="AP25" s="199">
        <v>2017</v>
      </c>
      <c r="AQ25" s="199">
        <v>2018</v>
      </c>
      <c r="AR25" s="199">
        <v>2019</v>
      </c>
    </row>
    <row r="26" spans="1:44">
      <c r="A26" s="238" t="s">
        <v>522</v>
      </c>
      <c r="B26" s="239">
        <v>2</v>
      </c>
      <c r="C26" s="239">
        <v>8</v>
      </c>
      <c r="D26" s="239">
        <v>19</v>
      </c>
      <c r="E26" s="239">
        <v>17</v>
      </c>
      <c r="F26" s="239">
        <v>0</v>
      </c>
      <c r="AM26" t="s">
        <v>526</v>
      </c>
    </row>
    <row r="27" spans="1:44">
      <c r="A27" s="240" t="s">
        <v>521</v>
      </c>
      <c r="B27" s="241">
        <v>2</v>
      </c>
      <c r="C27" s="241">
        <v>2</v>
      </c>
      <c r="D27" s="241">
        <v>4</v>
      </c>
      <c r="E27" s="241">
        <v>6</v>
      </c>
      <c r="F27" s="241">
        <v>8</v>
      </c>
      <c r="AM27" t="s">
        <v>44</v>
      </c>
      <c r="AN27">
        <v>139.02799999999999</v>
      </c>
      <c r="AO27">
        <v>138.304</v>
      </c>
      <c r="AP27">
        <v>139.02799999999999</v>
      </c>
      <c r="AQ27">
        <v>139.804</v>
      </c>
      <c r="AR27">
        <v>152.88300000000001</v>
      </c>
    </row>
    <row r="28" spans="1:44">
      <c r="A28" s="240" t="s">
        <v>10</v>
      </c>
      <c r="B28" s="241">
        <v>55</v>
      </c>
      <c r="C28" s="241">
        <v>44</v>
      </c>
      <c r="D28" s="241">
        <v>46</v>
      </c>
      <c r="E28" s="241">
        <v>47</v>
      </c>
      <c r="F28" s="241">
        <v>46</v>
      </c>
      <c r="AM28" t="s">
        <v>440</v>
      </c>
      <c r="AN28">
        <v>248.24100000000001</v>
      </c>
      <c r="AO28">
        <v>247.83199999999999</v>
      </c>
      <c r="AP28">
        <v>258.15600000000001</v>
      </c>
      <c r="AQ28">
        <v>262.22899999999998</v>
      </c>
      <c r="AR28">
        <v>283.62799999999999</v>
      </c>
    </row>
    <row r="29" spans="1:44" ht="17">
      <c r="A29" s="242" t="s">
        <v>530</v>
      </c>
      <c r="B29" s="243">
        <v>5</v>
      </c>
      <c r="C29" s="243">
        <v>5</v>
      </c>
      <c r="D29" s="243">
        <v>14</v>
      </c>
      <c r="E29" s="243">
        <v>13</v>
      </c>
      <c r="F29" s="243">
        <v>15</v>
      </c>
      <c r="AC29" s="231"/>
      <c r="AM29" t="s">
        <v>43</v>
      </c>
      <c r="AN29">
        <v>104.02800000000001</v>
      </c>
      <c r="AO29">
        <v>119.88800000000001</v>
      </c>
      <c r="AP29">
        <v>125.983</v>
      </c>
      <c r="AQ29">
        <v>125.556</v>
      </c>
      <c r="AR29">
        <v>144.53899999999999</v>
      </c>
    </row>
    <row r="30" spans="1:44" ht="17">
      <c r="A30" s="198" t="s">
        <v>527</v>
      </c>
      <c r="B30" s="199">
        <f>SUM(B26:B29)</f>
        <v>64</v>
      </c>
      <c r="C30" s="199">
        <f>SUM(C26:C29)</f>
        <v>59</v>
      </c>
      <c r="D30" s="199">
        <f>SUM(D26:D29)</f>
        <v>83</v>
      </c>
      <c r="E30" s="199">
        <f>SUM(E26:E29)</f>
        <v>83</v>
      </c>
      <c r="F30" s="199">
        <f>SUM(F26:F29)</f>
        <v>69</v>
      </c>
      <c r="AC30" s="231"/>
    </row>
    <row r="31" spans="1:44">
      <c r="A31" s="245" t="s">
        <v>528</v>
      </c>
      <c r="B31" s="244">
        <v>497</v>
      </c>
      <c r="C31" s="244">
        <v>521</v>
      </c>
      <c r="D31" s="244">
        <v>523</v>
      </c>
      <c r="E31" s="244">
        <v>524</v>
      </c>
      <c r="F31" s="244">
        <v>617</v>
      </c>
      <c r="AM31" t="s">
        <v>341</v>
      </c>
      <c r="AN31">
        <v>64.087999999999994</v>
      </c>
      <c r="AO31">
        <v>70.632999999999996</v>
      </c>
      <c r="AP31">
        <v>74.816999999999993</v>
      </c>
      <c r="AQ31">
        <v>74.591999999999999</v>
      </c>
      <c r="AR31">
        <v>92.364999999999995</v>
      </c>
    </row>
    <row r="32" spans="1:44">
      <c r="A32" s="245" t="s">
        <v>7</v>
      </c>
      <c r="B32" s="244">
        <f>B30+B31</f>
        <v>561</v>
      </c>
      <c r="C32" s="244">
        <f>C30+C31</f>
        <v>580</v>
      </c>
      <c r="D32" s="244">
        <f>D30+D31</f>
        <v>606</v>
      </c>
      <c r="E32" s="244">
        <f>E30+E31</f>
        <v>607</v>
      </c>
      <c r="F32" s="244">
        <f>F30+F31</f>
        <v>686</v>
      </c>
      <c r="AM32" t="s">
        <v>45</v>
      </c>
      <c r="AN32">
        <v>6.4409999999999998</v>
      </c>
      <c r="AO32">
        <v>7.5510000000000002</v>
      </c>
      <c r="AP32">
        <v>7.593</v>
      </c>
      <c r="AQ32">
        <v>7.08</v>
      </c>
      <c r="AR32">
        <v>9.8010000000000002</v>
      </c>
    </row>
    <row r="33" spans="1:44">
      <c r="AM33" t="s">
        <v>441</v>
      </c>
      <c r="AN33">
        <v>1.282</v>
      </c>
      <c r="AO33">
        <v>1.514</v>
      </c>
      <c r="AP33">
        <v>1.3620000000000001</v>
      </c>
      <c r="AQ33">
        <v>1.276</v>
      </c>
      <c r="AR33">
        <v>1.583</v>
      </c>
    </row>
    <row r="34" spans="1:44">
      <c r="AM34" t="s">
        <v>442</v>
      </c>
      <c r="AN34">
        <v>2.2669999999999999</v>
      </c>
      <c r="AO34">
        <v>2.2570000000000001</v>
      </c>
      <c r="AP34">
        <v>2.3479999999999999</v>
      </c>
      <c r="AQ34">
        <v>1.9279999999999999</v>
      </c>
      <c r="AR34">
        <v>1.5569999999999999</v>
      </c>
    </row>
    <row r="35" spans="1:44">
      <c r="A35" s="237" t="s">
        <v>537</v>
      </c>
      <c r="B35" s="244" t="s">
        <v>414</v>
      </c>
      <c r="C35" s="244">
        <v>2016</v>
      </c>
      <c r="D35" s="244">
        <v>2017</v>
      </c>
      <c r="AM35" t="s">
        <v>524</v>
      </c>
      <c r="AN35">
        <v>2.9000000000000001E-2</v>
      </c>
      <c r="AO35">
        <v>0</v>
      </c>
      <c r="AP35">
        <v>0</v>
      </c>
      <c r="AQ35">
        <v>0</v>
      </c>
      <c r="AR35">
        <v>0</v>
      </c>
    </row>
    <row r="36" spans="1:44" ht="17">
      <c r="A36" s="198" t="s">
        <v>415</v>
      </c>
      <c r="B36" s="199" t="s">
        <v>11</v>
      </c>
      <c r="C36" s="200">
        <v>2.2000000000000002</v>
      </c>
      <c r="D36" s="200">
        <v>1.359</v>
      </c>
      <c r="T36" s="231"/>
      <c r="U36" s="231"/>
      <c r="AM36" t="s">
        <v>7</v>
      </c>
      <c r="AN36">
        <f>SUM(AN27:AN35)</f>
        <v>565.40400000000011</v>
      </c>
      <c r="AO36">
        <f t="shared" ref="AO36:AR36" si="16">SUM(AO27:AO35)</f>
        <v>587.97900000000004</v>
      </c>
      <c r="AP36">
        <f t="shared" si="16"/>
        <v>609.28699999999981</v>
      </c>
      <c r="AQ36">
        <f t="shared" si="16"/>
        <v>612.46500000000003</v>
      </c>
      <c r="AR36">
        <f t="shared" si="16"/>
        <v>686.35599999999999</v>
      </c>
    </row>
    <row r="37" spans="1:44" ht="17">
      <c r="A37" s="198" t="s">
        <v>416</v>
      </c>
      <c r="B37" s="199" t="s">
        <v>11</v>
      </c>
      <c r="C37" s="200">
        <v>0</v>
      </c>
      <c r="D37" s="200">
        <v>1.6299999999999999E-2</v>
      </c>
      <c r="T37" s="231"/>
      <c r="U37" s="231"/>
      <c r="AN37">
        <f>AN23-AN36</f>
        <v>5.4389999999999645</v>
      </c>
      <c r="AO37">
        <f t="shared" ref="AO37:AR37" si="17">AO23-AO36</f>
        <v>7.7459999999999809</v>
      </c>
      <c r="AP37">
        <f t="shared" si="17"/>
        <v>16.952000000000339</v>
      </c>
      <c r="AQ37">
        <f t="shared" si="17"/>
        <v>6.1789999999999736</v>
      </c>
      <c r="AR37">
        <f t="shared" si="17"/>
        <v>8.7100000000000364</v>
      </c>
    </row>
    <row r="38" spans="1:44" ht="17">
      <c r="A38" s="198" t="s">
        <v>417</v>
      </c>
      <c r="B38" s="199" t="s">
        <v>11</v>
      </c>
      <c r="C38" s="200">
        <v>0</v>
      </c>
      <c r="D38" s="200">
        <v>0.2</v>
      </c>
      <c r="T38" s="231"/>
    </row>
    <row r="39" spans="1:44">
      <c r="A39" s="198" t="s">
        <v>415</v>
      </c>
      <c r="B39" s="199" t="s">
        <v>12</v>
      </c>
      <c r="C39" s="200">
        <v>2.2000000000000002</v>
      </c>
      <c r="D39" s="200">
        <v>1.4522999999999999</v>
      </c>
      <c r="T39" s="205"/>
    </row>
    <row r="40" spans="1:44">
      <c r="A40" s="198" t="s">
        <v>418</v>
      </c>
      <c r="B40" s="199" t="s">
        <v>12</v>
      </c>
      <c r="C40" s="200">
        <v>0</v>
      </c>
      <c r="D40" s="200">
        <v>3.5999999999999999E-3</v>
      </c>
      <c r="T40" s="232"/>
    </row>
    <row r="41" spans="1:44">
      <c r="A41" s="198" t="s">
        <v>416</v>
      </c>
      <c r="B41" s="199" t="s">
        <v>12</v>
      </c>
      <c r="C41" s="200">
        <v>0</v>
      </c>
      <c r="D41" s="200">
        <v>2.5600000000000001E-2</v>
      </c>
    </row>
    <row r="42" spans="1:44">
      <c r="A42" s="198" t="s">
        <v>415</v>
      </c>
      <c r="B42" s="199" t="s">
        <v>419</v>
      </c>
      <c r="C42" s="200">
        <v>0.42</v>
      </c>
      <c r="D42" s="200">
        <v>0.3</v>
      </c>
    </row>
    <row r="43" spans="1:44">
      <c r="A43" s="198" t="s">
        <v>415</v>
      </c>
      <c r="B43" s="199" t="s">
        <v>30</v>
      </c>
      <c r="C43" s="200">
        <v>1</v>
      </c>
      <c r="D43" s="200">
        <v>0.124</v>
      </c>
    </row>
    <row r="44" spans="1:44">
      <c r="A44" s="198" t="s">
        <v>418</v>
      </c>
      <c r="B44" s="199" t="s">
        <v>30</v>
      </c>
      <c r="C44" s="200">
        <v>1</v>
      </c>
      <c r="D44" s="200">
        <v>0</v>
      </c>
    </row>
    <row r="45" spans="1:44">
      <c r="A45" s="198" t="s">
        <v>417</v>
      </c>
      <c r="B45" s="199" t="s">
        <v>30</v>
      </c>
      <c r="C45" s="200">
        <v>0.2</v>
      </c>
      <c r="D45" s="200">
        <v>0</v>
      </c>
    </row>
    <row r="46" spans="1:44">
      <c r="A46" s="198" t="s">
        <v>536</v>
      </c>
      <c r="C46" s="200">
        <f>SUM(C36:C45)</f>
        <v>7.0200000000000005</v>
      </c>
      <c r="D46" s="200">
        <f>SUM(D36:D45)</f>
        <v>3.4807999999999995</v>
      </c>
    </row>
    <row r="48" spans="1:44">
      <c r="A48" s="198" t="s">
        <v>535</v>
      </c>
      <c r="C48" s="244">
        <v>2016</v>
      </c>
      <c r="D48" s="244">
        <v>2017</v>
      </c>
    </row>
    <row r="49" spans="1:4">
      <c r="A49" s="198" t="s">
        <v>11</v>
      </c>
      <c r="B49" s="199"/>
      <c r="C49" s="200">
        <v>2.2000000000000002</v>
      </c>
      <c r="D49" s="200">
        <v>1.5752999999999999</v>
      </c>
    </row>
    <row r="50" spans="1:4">
      <c r="A50" s="198" t="s">
        <v>12</v>
      </c>
      <c r="B50" s="199"/>
      <c r="C50" s="200">
        <v>2.2000000000000002</v>
      </c>
      <c r="D50" s="200">
        <v>1.4815</v>
      </c>
    </row>
    <row r="51" spans="1:4">
      <c r="A51" s="198" t="s">
        <v>419</v>
      </c>
      <c r="B51" s="199"/>
      <c r="C51" s="200">
        <v>0.42</v>
      </c>
      <c r="D51" s="200">
        <v>0.3</v>
      </c>
    </row>
    <row r="52" spans="1:4">
      <c r="A52" s="198" t="s">
        <v>532</v>
      </c>
      <c r="B52" s="199"/>
      <c r="C52" s="200">
        <v>2.2000000000000002</v>
      </c>
      <c r="D52" s="200">
        <v>0.124</v>
      </c>
    </row>
    <row r="53" spans="1:4">
      <c r="A53" s="198" t="s">
        <v>534</v>
      </c>
      <c r="B53" s="199"/>
      <c r="C53" s="200">
        <v>0</v>
      </c>
      <c r="D53" s="200">
        <v>7.4999999999999997E-2</v>
      </c>
    </row>
    <row r="54" spans="1:4">
      <c r="A54" s="198" t="s">
        <v>533</v>
      </c>
      <c r="B54" s="199"/>
      <c r="C54" s="200">
        <f>SUM(C49:C53)</f>
        <v>7.0200000000000005</v>
      </c>
      <c r="D54" s="200">
        <f>SUM(D49:D53)</f>
        <v>3.5558000000000001</v>
      </c>
    </row>
    <row r="56" spans="1:4">
      <c r="C56" s="244">
        <v>2016</v>
      </c>
      <c r="D56" s="244">
        <v>2017</v>
      </c>
    </row>
    <row r="57" spans="1:4">
      <c r="A57" t="s">
        <v>263</v>
      </c>
      <c r="C57" s="195">
        <v>7.7</v>
      </c>
      <c r="D57" s="195">
        <v>5.2</v>
      </c>
    </row>
    <row r="58" spans="1:4">
      <c r="A58" t="s">
        <v>539</v>
      </c>
      <c r="C58">
        <f>C54</f>
        <v>7.0200000000000005</v>
      </c>
      <c r="D58">
        <f>D54</f>
        <v>3.5558000000000001</v>
      </c>
    </row>
    <row r="59" spans="1:4">
      <c r="A59" t="s">
        <v>538</v>
      </c>
      <c r="C59">
        <f>C57-C58</f>
        <v>0.67999999999999972</v>
      </c>
      <c r="D59">
        <f>D57-D58</f>
        <v>1.6442000000000001</v>
      </c>
    </row>
  </sheetData>
  <mergeCells count="3">
    <mergeCell ref="H12:R12"/>
    <mergeCell ref="T12:AD12"/>
    <mergeCell ref="AG12:AK12"/>
  </mergeCells>
  <pageMargins left="0.7" right="0.7" top="0.75" bottom="0.75" header="0.3" footer="0.3"/>
  <pageSetup orientation="portrait" horizontalDpi="0" verticalDpi="0"/>
  <ignoredErrors>
    <ignoredError sqref="B9:D9 F9" formulaRange="1"/>
  </ignoredErrors>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CF89"/>
  <sheetViews>
    <sheetView topLeftCell="A64" workbookViewId="0">
      <selection activeCell="C84" sqref="C84"/>
    </sheetView>
  </sheetViews>
  <sheetFormatPr baseColWidth="10" defaultRowHeight="16"/>
  <cols>
    <col min="1" max="16384" width="10.83203125" style="56"/>
  </cols>
  <sheetData>
    <row r="1" spans="1:84" s="192" customFormat="1">
      <c r="A1" s="188" t="s">
        <v>403</v>
      </c>
      <c r="B1" s="189">
        <v>1950</v>
      </c>
      <c r="C1" s="189">
        <v>1951</v>
      </c>
      <c r="D1" s="189">
        <v>1952</v>
      </c>
      <c r="E1" s="189">
        <v>1953</v>
      </c>
      <c r="F1" s="189">
        <v>1954</v>
      </c>
      <c r="G1" s="189">
        <v>1955</v>
      </c>
      <c r="H1" s="189">
        <v>1956</v>
      </c>
      <c r="I1" s="189">
        <v>1957</v>
      </c>
      <c r="J1" s="189">
        <v>1958</v>
      </c>
      <c r="K1" s="189">
        <v>1959</v>
      </c>
      <c r="L1" s="189">
        <v>1960</v>
      </c>
      <c r="M1" s="189">
        <v>1961</v>
      </c>
      <c r="N1" s="189">
        <v>1962</v>
      </c>
      <c r="O1" s="189">
        <v>1963</v>
      </c>
      <c r="P1" s="189">
        <v>1964</v>
      </c>
      <c r="Q1" s="189">
        <v>1965</v>
      </c>
      <c r="R1" s="189">
        <v>1966</v>
      </c>
      <c r="S1" s="189">
        <v>1967</v>
      </c>
      <c r="T1" s="189">
        <v>1968</v>
      </c>
      <c r="U1" s="189">
        <v>1969</v>
      </c>
      <c r="V1" s="189">
        <v>1970</v>
      </c>
      <c r="W1" s="189">
        <v>1971</v>
      </c>
      <c r="X1" s="189">
        <v>1972</v>
      </c>
      <c r="Y1" s="189">
        <v>1973</v>
      </c>
      <c r="Z1" s="189">
        <v>1974</v>
      </c>
      <c r="AA1" s="189">
        <v>1975</v>
      </c>
      <c r="AB1" s="189">
        <v>1976</v>
      </c>
      <c r="AC1" s="189">
        <v>1977</v>
      </c>
      <c r="AD1" s="189">
        <v>1978</v>
      </c>
      <c r="AE1" s="189">
        <v>1979</v>
      </c>
      <c r="AF1" s="189">
        <v>1980</v>
      </c>
      <c r="AG1" s="189">
        <v>1981</v>
      </c>
      <c r="AH1" s="189">
        <v>1982</v>
      </c>
      <c r="AI1" s="189">
        <v>1983</v>
      </c>
      <c r="AJ1" s="189">
        <v>1984</v>
      </c>
      <c r="AK1" s="189">
        <v>1985</v>
      </c>
      <c r="AL1" s="189">
        <v>1986</v>
      </c>
      <c r="AM1" s="189">
        <v>1987</v>
      </c>
      <c r="AN1" s="189">
        <v>1988</v>
      </c>
      <c r="AO1" s="189">
        <v>1989</v>
      </c>
      <c r="AP1" s="190">
        <v>1990</v>
      </c>
      <c r="AQ1" s="190">
        <v>1991</v>
      </c>
      <c r="AR1" s="190">
        <v>1992</v>
      </c>
      <c r="AS1" s="189">
        <v>1993</v>
      </c>
      <c r="AT1" s="189">
        <v>1994</v>
      </c>
      <c r="AU1" s="189">
        <v>1995</v>
      </c>
      <c r="AV1" s="189">
        <v>1996</v>
      </c>
      <c r="AW1" s="189">
        <v>1997</v>
      </c>
      <c r="AX1" s="189">
        <v>1998</v>
      </c>
      <c r="AY1" s="189">
        <v>1999</v>
      </c>
      <c r="AZ1" s="189">
        <v>2000</v>
      </c>
      <c r="BA1" s="190">
        <v>2001</v>
      </c>
      <c r="BB1" s="190">
        <v>2002</v>
      </c>
      <c r="BC1" s="190">
        <v>2003</v>
      </c>
      <c r="BD1" s="190">
        <v>2004</v>
      </c>
      <c r="BE1" s="190">
        <v>2005</v>
      </c>
      <c r="BF1" s="190">
        <v>2006</v>
      </c>
      <c r="BG1" s="190">
        <v>2007</v>
      </c>
      <c r="BH1" s="190">
        <v>2008</v>
      </c>
      <c r="BI1" s="190">
        <v>2009</v>
      </c>
      <c r="BJ1" s="190">
        <v>2010</v>
      </c>
      <c r="BK1" s="190">
        <v>2011</v>
      </c>
      <c r="BL1" s="190">
        <v>2012</v>
      </c>
      <c r="BM1" s="190">
        <v>2013</v>
      </c>
      <c r="BN1" s="190">
        <v>2014</v>
      </c>
      <c r="BO1" s="190">
        <v>2015</v>
      </c>
      <c r="BP1" s="190">
        <v>2016</v>
      </c>
      <c r="BQ1" s="190">
        <v>2017</v>
      </c>
      <c r="BR1" s="189">
        <v>2018</v>
      </c>
      <c r="BS1" s="191">
        <v>2019</v>
      </c>
      <c r="BT1" s="191">
        <v>2020</v>
      </c>
      <c r="BU1" s="191">
        <v>2021</v>
      </c>
      <c r="BV1" s="191">
        <v>2022</v>
      </c>
      <c r="BW1" s="191">
        <v>2023</v>
      </c>
      <c r="BX1" s="189">
        <v>2024</v>
      </c>
      <c r="BY1" s="189">
        <v>2025</v>
      </c>
      <c r="BZ1" s="189">
        <v>2026</v>
      </c>
      <c r="CA1" s="189">
        <v>2027</v>
      </c>
      <c r="CB1" s="189">
        <v>2028</v>
      </c>
      <c r="CC1" s="189">
        <v>2029</v>
      </c>
      <c r="CD1" s="189">
        <v>2030</v>
      </c>
      <c r="CE1" s="189">
        <v>2031</v>
      </c>
      <c r="CF1" s="189">
        <v>2032</v>
      </c>
    </row>
    <row r="2" spans="1:84" s="192" customFormat="1">
      <c r="A2" s="189" t="s">
        <v>287</v>
      </c>
      <c r="B2" s="193">
        <v>0.13542000000000001</v>
      </c>
      <c r="C2" s="193">
        <v>0.14269000000000001</v>
      </c>
      <c r="D2" s="193">
        <v>0.1484</v>
      </c>
      <c r="E2" s="193">
        <v>0.15110499999999999</v>
      </c>
      <c r="F2" s="193">
        <v>0.152895</v>
      </c>
      <c r="G2" s="193">
        <v>0.15408749999999999</v>
      </c>
      <c r="H2" s="193">
        <v>0.15808749999999999</v>
      </c>
      <c r="I2" s="193">
        <v>0.16398750000000001</v>
      </c>
      <c r="J2" s="193">
        <v>0.16893749999999999</v>
      </c>
      <c r="K2" s="193">
        <v>0.1715325</v>
      </c>
      <c r="L2" s="193">
        <v>0.17391499999999999</v>
      </c>
      <c r="M2" s="193">
        <v>0.17630499999999999</v>
      </c>
      <c r="N2" s="193">
        <v>0.1781575</v>
      </c>
      <c r="O2" s="193">
        <v>0.18029000000000001</v>
      </c>
      <c r="P2" s="193">
        <v>0.18249499999999999</v>
      </c>
      <c r="Q2" s="193">
        <v>0.1856775</v>
      </c>
      <c r="R2" s="193">
        <v>0.1897075</v>
      </c>
      <c r="S2" s="193">
        <v>0.19548499999999999</v>
      </c>
      <c r="T2" s="193">
        <v>0.20224249999999999</v>
      </c>
      <c r="U2" s="193">
        <v>0.21150749999999999</v>
      </c>
      <c r="V2" s="193">
        <v>0.22285250000000001</v>
      </c>
      <c r="W2" s="193">
        <v>0.23415749999999999</v>
      </c>
      <c r="X2" s="193">
        <v>0.24531</v>
      </c>
      <c r="Y2" s="193">
        <v>0.25591750000000002</v>
      </c>
      <c r="Z2" s="193">
        <v>0.2740725</v>
      </c>
      <c r="AA2" s="193">
        <v>0.30237999999999998</v>
      </c>
      <c r="AB2" s="193">
        <v>0.32339000000000001</v>
      </c>
      <c r="AC2" s="193">
        <v>0.34666999999999998</v>
      </c>
      <c r="AD2" s="193">
        <v>0.36998999999999999</v>
      </c>
      <c r="AE2" s="193">
        <v>0.39968749999999997</v>
      </c>
      <c r="AF2" s="193">
        <v>0.4344925</v>
      </c>
      <c r="AG2" s="193">
        <v>0.47704000000000002</v>
      </c>
      <c r="AH2" s="193">
        <v>0.50977749999999999</v>
      </c>
      <c r="AI2" s="193">
        <v>0.53219749999999999</v>
      </c>
      <c r="AJ2" s="193">
        <v>0.55100499999999997</v>
      </c>
      <c r="AK2" s="193">
        <v>0.56925500000000007</v>
      </c>
      <c r="AL2" s="193">
        <v>0.58223750000000007</v>
      </c>
      <c r="AM2" s="193">
        <v>0.59523749999999997</v>
      </c>
      <c r="AN2" s="193">
        <v>0.61446749999999994</v>
      </c>
      <c r="AO2" s="193">
        <v>0.63894499999999999</v>
      </c>
      <c r="AP2" s="193">
        <v>0.66208750000000005</v>
      </c>
      <c r="AQ2" s="193">
        <v>0.68558750000000002</v>
      </c>
      <c r="AR2" s="193">
        <v>0.70237499999999997</v>
      </c>
      <c r="AS2" s="193">
        <v>0.71904750000000006</v>
      </c>
      <c r="AT2" s="193">
        <v>0.73469249999999997</v>
      </c>
      <c r="AU2" s="193">
        <v>0.75026000000000004</v>
      </c>
      <c r="AV2" s="193">
        <v>0.76429999999999998</v>
      </c>
      <c r="AW2" s="193">
        <v>0.7777925</v>
      </c>
      <c r="AX2" s="193">
        <v>0.78739000000000003</v>
      </c>
      <c r="AY2" s="193">
        <v>0.79737999999999998</v>
      </c>
      <c r="AZ2" s="193">
        <v>0.81388499999999997</v>
      </c>
      <c r="BA2" s="193">
        <v>0.83344249999999998</v>
      </c>
      <c r="BB2" s="193">
        <v>0.84686499999999998</v>
      </c>
      <c r="BC2" s="193">
        <v>0.86307</v>
      </c>
      <c r="BD2" s="193">
        <v>0.88443000000000005</v>
      </c>
      <c r="BE2" s="193">
        <v>0.91226249999999998</v>
      </c>
      <c r="BF2" s="193">
        <v>0.94188249999999996</v>
      </c>
      <c r="BG2" s="193">
        <v>0.96750999999999998</v>
      </c>
      <c r="BH2" s="193">
        <v>0.9875275</v>
      </c>
      <c r="BI2" s="193">
        <v>0.99905250000000001</v>
      </c>
      <c r="BJ2" s="193">
        <v>1.0078125</v>
      </c>
      <c r="BK2" s="193">
        <v>1.0282800000000001</v>
      </c>
      <c r="BL2" s="193">
        <v>1.04714</v>
      </c>
      <c r="BM2" s="193">
        <v>1.0648299999999999</v>
      </c>
      <c r="BN2" s="193">
        <v>1.0841775</v>
      </c>
      <c r="BO2" s="193">
        <v>1.0972500000000001</v>
      </c>
      <c r="BP2" s="193">
        <v>1.1099825000000001</v>
      </c>
      <c r="BQ2" s="193">
        <v>1.1290125</v>
      </c>
      <c r="BR2" s="193">
        <v>1.1506894999999999</v>
      </c>
      <c r="BS2" s="193">
        <v>1.1733165000000001</v>
      </c>
      <c r="BT2" s="193">
        <v>1.1980055000000001</v>
      </c>
      <c r="BU2" s="193">
        <v>1.2239767500000001</v>
      </c>
      <c r="BV2" s="193">
        <v>1.2504630000000001</v>
      </c>
      <c r="BW2" s="193">
        <v>1.277757</v>
      </c>
      <c r="BX2" s="193">
        <v>1.3056877499999999</v>
      </c>
      <c r="BY2" s="193">
        <v>1.3335444999999999</v>
      </c>
      <c r="BZ2" s="193">
        <v>1.3615522499999999</v>
      </c>
      <c r="CA2" s="193">
        <v>1.3898094999999999</v>
      </c>
      <c r="CB2" s="193">
        <v>1.4185410000000001</v>
      </c>
      <c r="CC2" s="193">
        <v>1.447866465642234</v>
      </c>
      <c r="CD2" s="193">
        <v>1.4777981759648351</v>
      </c>
      <c r="CE2" s="193">
        <v>1.5083486638502139</v>
      </c>
      <c r="CF2" s="193">
        <v>1.5395307212727689</v>
      </c>
    </row>
    <row r="3" spans="1:84" s="192" customFormat="1">
      <c r="A3" s="189" t="s">
        <v>404</v>
      </c>
      <c r="B3" s="193">
        <v>0.1154164285595575</v>
      </c>
      <c r="C3" s="193">
        <v>0.1216125401799088</v>
      </c>
      <c r="D3" s="193">
        <v>0.12647908727099641</v>
      </c>
      <c r="E3" s="193">
        <v>0.12878451807334171</v>
      </c>
      <c r="F3" s="193">
        <v>0.1303101081421765</v>
      </c>
      <c r="G3" s="193">
        <v>0.1313264579506041</v>
      </c>
      <c r="H3" s="193">
        <v>0.1347355977692293</v>
      </c>
      <c r="I3" s="193">
        <v>0.1397640790017016</v>
      </c>
      <c r="J3" s="193">
        <v>0.1439828895272503</v>
      </c>
      <c r="K3" s="193">
        <v>0.14619456898458341</v>
      </c>
      <c r="L3" s="193">
        <v>0.14822513788905209</v>
      </c>
      <c r="M3" s="193">
        <v>0.15026209893068071</v>
      </c>
      <c r="N3" s="193">
        <v>0.1518409568091815</v>
      </c>
      <c r="O3" s="193">
        <v>0.15365845447498611</v>
      </c>
      <c r="P3" s="193">
        <v>0.15553774280000321</v>
      </c>
      <c r="Q3" s="193">
        <v>0.1582501396681969</v>
      </c>
      <c r="R3" s="193">
        <v>0.16168484803546179</v>
      </c>
      <c r="S3" s="193">
        <v>0.1666089243609887</v>
      </c>
      <c r="T3" s="193">
        <v>0.1723682399420787</v>
      </c>
      <c r="U3" s="193">
        <v>0.18026466004696939</v>
      </c>
      <c r="V3" s="193">
        <v>0.18993383285754531</v>
      </c>
      <c r="W3" s="193">
        <v>0.19956891426993481</v>
      </c>
      <c r="X3" s="193">
        <v>0.20907402222673929</v>
      </c>
      <c r="Y3" s="193">
        <v>0.21811463488325611</v>
      </c>
      <c r="Z3" s="193">
        <v>0.23358786823504141</v>
      </c>
      <c r="AA3" s="193">
        <v>0.25771392458897491</v>
      </c>
      <c r="AB3" s="193">
        <v>0.275620431486304</v>
      </c>
      <c r="AC3" s="193">
        <v>0.29546162523070291</v>
      </c>
      <c r="AD3" s="193">
        <v>0.31533691037328798</v>
      </c>
      <c r="AE3" s="193">
        <v>0.34064764281419369</v>
      </c>
      <c r="AF3" s="193">
        <v>0.37031142066100659</v>
      </c>
      <c r="AG3" s="193">
        <v>0.40657401476924587</v>
      </c>
      <c r="AH3" s="193">
        <v>0.43447569347230691</v>
      </c>
      <c r="AI3" s="193">
        <v>0.45358392215570131</v>
      </c>
      <c r="AJ3" s="193">
        <v>0.46961327144039988</v>
      </c>
      <c r="AK3" s="193">
        <v>0.48516747186287762</v>
      </c>
      <c r="AL3" s="193">
        <v>0.49623226128670322</v>
      </c>
      <c r="AM3" s="193">
        <v>0.50731196569723513</v>
      </c>
      <c r="AN3" s="193">
        <v>0.52370140537527587</v>
      </c>
      <c r="AO3" s="193">
        <v>0.54456321035287569</v>
      </c>
      <c r="AP3" s="193">
        <v>0.56428721491600942</v>
      </c>
      <c r="AQ3" s="193">
        <v>0.5843159113504327</v>
      </c>
      <c r="AR3" s="193">
        <v>0.59862364502672549</v>
      </c>
      <c r="AS3" s="193">
        <v>0.6128333659332329</v>
      </c>
      <c r="AT3" s="193">
        <v>0.62616736404883078</v>
      </c>
      <c r="AU3" s="193">
        <v>0.63943531008044285</v>
      </c>
      <c r="AV3" s="193">
        <v>0.65140139084381743</v>
      </c>
      <c r="AW3" s="193">
        <v>0.66290084559451767</v>
      </c>
      <c r="AX3" s="193">
        <v>0.67108065044683163</v>
      </c>
      <c r="AY3" s="193">
        <v>0.6795949771438482</v>
      </c>
      <c r="AZ3" s="193">
        <v>0.69366194032045059</v>
      </c>
      <c r="BA3" s="193">
        <v>0.71033050332114134</v>
      </c>
      <c r="BB3" s="193">
        <v>0.72177029812501559</v>
      </c>
      <c r="BC3" s="193">
        <v>0.73558157581522121</v>
      </c>
      <c r="BD3" s="193">
        <v>0.75378638244667995</v>
      </c>
      <c r="BE3" s="193">
        <v>0.77750760344715164</v>
      </c>
      <c r="BF3" s="193">
        <v>0.80275228380407149</v>
      </c>
      <c r="BG3" s="193">
        <v>0.82459421647952613</v>
      </c>
      <c r="BH3" s="193">
        <v>0.84165483055935886</v>
      </c>
      <c r="BI3" s="193">
        <v>0.85147741466177274</v>
      </c>
      <c r="BJ3" s="193">
        <v>0.85894343086456204</v>
      </c>
      <c r="BK3" s="193">
        <v>0.87638757317399019</v>
      </c>
      <c r="BL3" s="193">
        <v>0.89246166741880806</v>
      </c>
      <c r="BM3" s="193">
        <v>0.9075385882666781</v>
      </c>
      <c r="BN3" s="193">
        <v>0.9240281714268912</v>
      </c>
      <c r="BO3" s="193">
        <v>0.9351696664966358</v>
      </c>
      <c r="BP3" s="193">
        <v>0.94602138468179731</v>
      </c>
      <c r="BQ3" s="193">
        <v>0.96224036736890672</v>
      </c>
      <c r="BR3" s="193">
        <v>0.9807153483309915</v>
      </c>
      <c r="BS3" s="193">
        <v>1</v>
      </c>
      <c r="BT3" s="193">
        <v>1.0210420632455099</v>
      </c>
      <c r="BU3" s="193">
        <v>1.043176968874127</v>
      </c>
      <c r="BV3" s="193">
        <v>1.065750801254393</v>
      </c>
      <c r="BW3" s="193">
        <v>1.0890130668067819</v>
      </c>
      <c r="BX3" s="193">
        <v>1.1128180248040489</v>
      </c>
      <c r="BY3" s="193">
        <v>1.1365599137146709</v>
      </c>
      <c r="BZ3" s="193">
        <v>1.1604304976534461</v>
      </c>
      <c r="CA3" s="193">
        <v>1.184513726688408</v>
      </c>
      <c r="CB3" s="193">
        <v>1.2090011518631161</v>
      </c>
      <c r="CC3" s="193">
        <v>1.233994805018283</v>
      </c>
      <c r="CD3" s="193">
        <v>1.2595051513933671</v>
      </c>
      <c r="CE3" s="193">
        <v>1.2855428725754849</v>
      </c>
      <c r="CF3" s="193">
        <v>1.3121188709719569</v>
      </c>
    </row>
    <row r="4" spans="1:84" s="71" customFormat="1">
      <c r="A4" s="71" t="s">
        <v>288</v>
      </c>
      <c r="B4" s="71">
        <f t="shared" ref="B4:BM4" si="0">B2/$BO$2</f>
        <v>0.12341763499658237</v>
      </c>
      <c r="C4" s="71">
        <f t="shared" si="0"/>
        <v>0.13004329004329004</v>
      </c>
      <c r="D4" s="71">
        <f t="shared" si="0"/>
        <v>0.13524720893141945</v>
      </c>
      <c r="E4" s="71">
        <f t="shared" si="0"/>
        <v>0.13771246297562084</v>
      </c>
      <c r="F4" s="71">
        <f t="shared" si="0"/>
        <v>0.13934381408065619</v>
      </c>
      <c r="G4" s="71">
        <f t="shared" si="0"/>
        <v>0.14043062200956935</v>
      </c>
      <c r="H4" s="71">
        <f t="shared" si="0"/>
        <v>0.14407609933925722</v>
      </c>
      <c r="I4" s="71">
        <f t="shared" si="0"/>
        <v>0.14945317840054681</v>
      </c>
      <c r="J4" s="71">
        <f t="shared" si="0"/>
        <v>0.15396445659603553</v>
      </c>
      <c r="K4" s="71">
        <f t="shared" si="0"/>
        <v>0.15632946001367054</v>
      </c>
      <c r="L4" s="71">
        <f t="shared" si="0"/>
        <v>0.15850079744816584</v>
      </c>
      <c r="M4" s="71">
        <f t="shared" si="0"/>
        <v>0.16067897015265434</v>
      </c>
      <c r="N4" s="71">
        <f t="shared" si="0"/>
        <v>0.16236728184096605</v>
      </c>
      <c r="O4" s="71">
        <f t="shared" si="0"/>
        <v>0.16431077694235588</v>
      </c>
      <c r="P4" s="71">
        <f t="shared" si="0"/>
        <v>0.16632034632034631</v>
      </c>
      <c r="Q4" s="71">
        <f t="shared" si="0"/>
        <v>0.16922077922077922</v>
      </c>
      <c r="R4" s="71">
        <f t="shared" si="0"/>
        <v>0.17289359763043974</v>
      </c>
      <c r="S4" s="71">
        <f t="shared" si="0"/>
        <v>0.17815903394850763</v>
      </c>
      <c r="T4" s="71">
        <f t="shared" si="0"/>
        <v>0.18431761221234905</v>
      </c>
      <c r="U4" s="71">
        <f t="shared" si="0"/>
        <v>0.19276144907723852</v>
      </c>
      <c r="V4" s="71">
        <f t="shared" si="0"/>
        <v>0.20310093415356573</v>
      </c>
      <c r="W4" s="71">
        <f t="shared" si="0"/>
        <v>0.21340396445659601</v>
      </c>
      <c r="X4" s="71">
        <f t="shared" si="0"/>
        <v>0.22356801093643197</v>
      </c>
      <c r="Y4" s="71">
        <f t="shared" si="0"/>
        <v>0.23323536113009799</v>
      </c>
      <c r="Z4" s="71">
        <f t="shared" si="0"/>
        <v>0.24978127136021872</v>
      </c>
      <c r="AA4" s="71">
        <f t="shared" si="0"/>
        <v>0.27557985873775342</v>
      </c>
      <c r="AB4" s="71">
        <f t="shared" si="0"/>
        <v>0.29472772841193895</v>
      </c>
      <c r="AC4" s="71">
        <f t="shared" si="0"/>
        <v>0.31594440647072225</v>
      </c>
      <c r="AD4" s="71">
        <f t="shared" si="0"/>
        <v>0.33719753930280244</v>
      </c>
      <c r="AE4" s="71">
        <f t="shared" si="0"/>
        <v>0.36426293005240368</v>
      </c>
      <c r="AF4" s="71">
        <f t="shared" si="0"/>
        <v>0.39598313966735016</v>
      </c>
      <c r="AG4" s="71">
        <f t="shared" si="0"/>
        <v>0.43475962633857368</v>
      </c>
      <c r="AH4" s="71">
        <f t="shared" si="0"/>
        <v>0.46459557985873773</v>
      </c>
      <c r="AI4" s="71">
        <f t="shared" si="0"/>
        <v>0.48502848029163814</v>
      </c>
      <c r="AJ4" s="71">
        <f t="shared" si="0"/>
        <v>0.50216905901116426</v>
      </c>
      <c r="AK4" s="71">
        <f t="shared" si="0"/>
        <v>0.51880154932786515</v>
      </c>
      <c r="AL4" s="71">
        <f t="shared" si="0"/>
        <v>0.53063340168603335</v>
      </c>
      <c r="AM4" s="71">
        <f t="shared" si="0"/>
        <v>0.54248120300751879</v>
      </c>
      <c r="AN4" s="71">
        <f t="shared" si="0"/>
        <v>0.56000683526999306</v>
      </c>
      <c r="AO4" s="71">
        <f t="shared" si="0"/>
        <v>0.58231487810435179</v>
      </c>
      <c r="AP4" s="71">
        <f t="shared" si="0"/>
        <v>0.60340624287992706</v>
      </c>
      <c r="AQ4" s="71">
        <f t="shared" si="0"/>
        <v>0.62482342219184328</v>
      </c>
      <c r="AR4" s="71">
        <f t="shared" si="0"/>
        <v>0.64012303485987687</v>
      </c>
      <c r="AS4" s="71">
        <f t="shared" si="0"/>
        <v>0.65531784005468219</v>
      </c>
      <c r="AT4" s="71">
        <f t="shared" si="0"/>
        <v>0.66957621326042371</v>
      </c>
      <c r="AU4" s="71">
        <f t="shared" si="0"/>
        <v>0.68376395534290269</v>
      </c>
      <c r="AV4" s="71">
        <f t="shared" si="0"/>
        <v>0.69655958077010705</v>
      </c>
      <c r="AW4" s="71">
        <f t="shared" si="0"/>
        <v>0.70885623148781041</v>
      </c>
      <c r="AX4" s="71">
        <f t="shared" si="0"/>
        <v>0.71760309865573024</v>
      </c>
      <c r="AY4" s="71">
        <f t="shared" si="0"/>
        <v>0.72670767828662564</v>
      </c>
      <c r="AZ4" s="71">
        <f t="shared" si="0"/>
        <v>0.74174982911825005</v>
      </c>
      <c r="BA4" s="71">
        <f t="shared" si="0"/>
        <v>0.75957393483709268</v>
      </c>
      <c r="BB4" s="71">
        <f t="shared" si="0"/>
        <v>0.7718067897015265</v>
      </c>
      <c r="BC4" s="71">
        <f t="shared" si="0"/>
        <v>0.78657552973342448</v>
      </c>
      <c r="BD4" s="71">
        <f t="shared" si="0"/>
        <v>0.80604237867395767</v>
      </c>
      <c r="BE4" s="71">
        <f t="shared" si="0"/>
        <v>0.83140806561859182</v>
      </c>
      <c r="BF4" s="71">
        <f t="shared" si="0"/>
        <v>0.85840282524493039</v>
      </c>
      <c r="BG4" s="71">
        <f t="shared" si="0"/>
        <v>0.8817589428115743</v>
      </c>
      <c r="BH4" s="71">
        <f t="shared" si="0"/>
        <v>0.90000227842333103</v>
      </c>
      <c r="BI4" s="71">
        <f t="shared" si="0"/>
        <v>0.91050580997949415</v>
      </c>
      <c r="BJ4" s="71">
        <f t="shared" si="0"/>
        <v>0.91848940533151058</v>
      </c>
      <c r="BK4" s="71">
        <f t="shared" si="0"/>
        <v>0.93714285714285717</v>
      </c>
      <c r="BL4" s="71">
        <f t="shared" si="0"/>
        <v>0.95433128275233525</v>
      </c>
      <c r="BM4" s="71">
        <f t="shared" si="0"/>
        <v>0.97045340624287979</v>
      </c>
      <c r="BN4" s="71">
        <f t="shared" ref="BN4" si="1">BN2/$BO$2</f>
        <v>0.98808612440191379</v>
      </c>
      <c r="BO4" s="71">
        <f>BO2/$BO$2</f>
        <v>1</v>
      </c>
      <c r="BP4" s="71">
        <f t="shared" ref="BP4:CA4" si="2">BP2/$BO$2</f>
        <v>1.0116040100250627</v>
      </c>
      <c r="BQ4" s="71">
        <f t="shared" si="2"/>
        <v>1.0289473684210526</v>
      </c>
      <c r="BR4" s="71">
        <f t="shared" si="2"/>
        <v>1.0487031214399634</v>
      </c>
      <c r="BS4" s="71">
        <f t="shared" si="2"/>
        <v>1.0693246753246755</v>
      </c>
      <c r="BT4" s="71">
        <f t="shared" si="2"/>
        <v>1.0918254727728411</v>
      </c>
      <c r="BU4" s="71">
        <f t="shared" si="2"/>
        <v>1.1154948735475052</v>
      </c>
      <c r="BV4" s="71">
        <f t="shared" si="2"/>
        <v>1.1396336295283664</v>
      </c>
      <c r="BW4" s="71">
        <f t="shared" si="2"/>
        <v>1.1645085440874914</v>
      </c>
      <c r="BX4" s="71">
        <f t="shared" si="2"/>
        <v>1.189963773069036</v>
      </c>
      <c r="BY4" s="71">
        <f t="shared" si="2"/>
        <v>1.2153515607199816</v>
      </c>
      <c r="BZ4" s="71">
        <f t="shared" si="2"/>
        <v>1.2408769651401228</v>
      </c>
      <c r="CA4" s="71">
        <f t="shared" si="2"/>
        <v>1.2666297562087034</v>
      </c>
    </row>
    <row r="5" spans="1:84" ht="19">
      <c r="A5" s="70"/>
      <c r="B5" s="71"/>
      <c r="C5" s="71"/>
    </row>
    <row r="6" spans="1:84">
      <c r="A6"/>
      <c r="B6" s="194" t="s">
        <v>287</v>
      </c>
      <c r="C6" s="194" t="s">
        <v>404</v>
      </c>
      <c r="D6" s="194" t="s">
        <v>405</v>
      </c>
    </row>
    <row r="7" spans="1:84">
      <c r="A7" s="194">
        <v>1950</v>
      </c>
      <c r="B7">
        <v>0.13542000000000001</v>
      </c>
      <c r="C7">
        <v>0.1154164285595575</v>
      </c>
      <c r="D7"/>
    </row>
    <row r="8" spans="1:84">
      <c r="A8" s="194">
        <v>1951</v>
      </c>
      <c r="B8">
        <v>0.14269000000000001</v>
      </c>
      <c r="C8">
        <v>0.1216125401799088</v>
      </c>
      <c r="D8">
        <v>5.368483237335675E-2</v>
      </c>
    </row>
    <row r="9" spans="1:84">
      <c r="A9" s="194">
        <v>1952</v>
      </c>
      <c r="B9">
        <v>0.1484</v>
      </c>
      <c r="C9">
        <v>0.12647908727099641</v>
      </c>
      <c r="D9">
        <v>4.0016819679024707E-2</v>
      </c>
    </row>
    <row r="10" spans="1:84">
      <c r="A10" s="194">
        <v>1953</v>
      </c>
      <c r="B10">
        <v>0.15110499999999999</v>
      </c>
      <c r="C10">
        <v>0.12878451807334171</v>
      </c>
      <c r="D10">
        <v>1.8227762803234349E-2</v>
      </c>
    </row>
    <row r="11" spans="1:84">
      <c r="A11" s="194">
        <v>1954</v>
      </c>
      <c r="B11">
        <v>0.152895</v>
      </c>
      <c r="C11">
        <v>0.1303101081421765</v>
      </c>
      <c r="D11">
        <v>1.184606730419269E-2</v>
      </c>
    </row>
    <row r="12" spans="1:84">
      <c r="A12" s="194">
        <v>1955</v>
      </c>
      <c r="B12">
        <v>0.15408749999999999</v>
      </c>
      <c r="C12">
        <v>0.1313264579506041</v>
      </c>
      <c r="D12">
        <v>7.7994702246637626E-3</v>
      </c>
    </row>
    <row r="13" spans="1:84">
      <c r="A13" s="194">
        <v>1956</v>
      </c>
      <c r="B13">
        <v>0.15808749999999999</v>
      </c>
      <c r="C13">
        <v>0.1347355977692293</v>
      </c>
      <c r="D13">
        <v>2.595927638517059E-2</v>
      </c>
    </row>
    <row r="14" spans="1:84">
      <c r="A14" s="194">
        <v>1957</v>
      </c>
      <c r="B14">
        <v>0.16398750000000001</v>
      </c>
      <c r="C14">
        <v>0.1397640790017016</v>
      </c>
      <c r="D14">
        <v>3.7321103819087709E-2</v>
      </c>
    </row>
    <row r="15" spans="1:84">
      <c r="A15" s="194">
        <v>1958</v>
      </c>
      <c r="B15">
        <v>0.16893749999999999</v>
      </c>
      <c r="C15">
        <v>0.1439828895272503</v>
      </c>
      <c r="D15">
        <v>3.0185227532586231E-2</v>
      </c>
    </row>
    <row r="16" spans="1:84">
      <c r="A16" s="194">
        <v>1959</v>
      </c>
      <c r="B16">
        <v>0.1715325</v>
      </c>
      <c r="C16">
        <v>0.14619456898458341</v>
      </c>
      <c r="D16">
        <v>1.5360710321864479E-2</v>
      </c>
    </row>
    <row r="17" spans="1:4">
      <c r="A17" s="194">
        <v>1960</v>
      </c>
      <c r="B17">
        <v>0.17391499999999999</v>
      </c>
      <c r="C17">
        <v>0.14822513788905209</v>
      </c>
      <c r="D17">
        <v>1.38894961596201E-2</v>
      </c>
    </row>
    <row r="18" spans="1:4">
      <c r="A18" s="194">
        <v>1961</v>
      </c>
      <c r="B18">
        <v>0.17630499999999999</v>
      </c>
      <c r="C18">
        <v>0.15026209893068071</v>
      </c>
      <c r="D18">
        <v>1.3742345398614081E-2</v>
      </c>
    </row>
    <row r="19" spans="1:4">
      <c r="A19" s="194">
        <v>1962</v>
      </c>
      <c r="B19">
        <v>0.1781575</v>
      </c>
      <c r="C19">
        <v>0.1518409568091815</v>
      </c>
      <c r="D19">
        <v>1.0507359405575791E-2</v>
      </c>
    </row>
    <row r="20" spans="1:4">
      <c r="A20" s="194">
        <v>1963</v>
      </c>
      <c r="B20">
        <v>0.18029000000000001</v>
      </c>
      <c r="C20">
        <v>0.15365845447498611</v>
      </c>
      <c r="D20">
        <v>1.196974587092892E-2</v>
      </c>
    </row>
    <row r="21" spans="1:4">
      <c r="A21" s="194">
        <v>1964</v>
      </c>
      <c r="B21">
        <v>0.18249499999999999</v>
      </c>
      <c r="C21">
        <v>0.15553774280000321</v>
      </c>
      <c r="D21">
        <v>1.223029563481037E-2</v>
      </c>
    </row>
    <row r="22" spans="1:4">
      <c r="A22" s="194">
        <v>1965</v>
      </c>
      <c r="B22">
        <v>0.1856775</v>
      </c>
      <c r="C22">
        <v>0.1582501396681969</v>
      </c>
      <c r="D22">
        <v>1.7438833940655929E-2</v>
      </c>
    </row>
    <row r="23" spans="1:4">
      <c r="A23" s="194">
        <v>1966</v>
      </c>
      <c r="B23">
        <v>0.1897075</v>
      </c>
      <c r="C23">
        <v>0.16168484803546179</v>
      </c>
      <c r="D23">
        <v>2.1704299120787422E-2</v>
      </c>
    </row>
    <row r="24" spans="1:4">
      <c r="A24" s="194">
        <v>1967</v>
      </c>
      <c r="B24">
        <v>0.19548499999999999</v>
      </c>
      <c r="C24">
        <v>0.1666089243609887</v>
      </c>
      <c r="D24">
        <v>3.0454779067775609E-2</v>
      </c>
    </row>
    <row r="25" spans="1:4">
      <c r="A25" s="194">
        <v>1968</v>
      </c>
      <c r="B25">
        <v>0.20224249999999999</v>
      </c>
      <c r="C25">
        <v>0.1723682399420787</v>
      </c>
      <c r="D25">
        <v>3.4567869657518457E-2</v>
      </c>
    </row>
    <row r="26" spans="1:4">
      <c r="A26" s="194">
        <v>1969</v>
      </c>
      <c r="B26">
        <v>0.21150749999999999</v>
      </c>
      <c r="C26">
        <v>0.18026466004696939</v>
      </c>
      <c r="D26">
        <v>4.5811340346366469E-2</v>
      </c>
    </row>
    <row r="27" spans="1:4">
      <c r="A27" s="194">
        <v>1970</v>
      </c>
      <c r="B27">
        <v>0.22285250000000001</v>
      </c>
      <c r="C27">
        <v>0.18993383285754531</v>
      </c>
      <c r="D27">
        <v>5.3638759854851559E-2</v>
      </c>
    </row>
    <row r="28" spans="1:4">
      <c r="A28" s="194">
        <v>1971</v>
      </c>
      <c r="B28">
        <v>0.23415749999999999</v>
      </c>
      <c r="C28">
        <v>0.19956891426993481</v>
      </c>
      <c r="D28">
        <v>5.0728620948833791E-2</v>
      </c>
    </row>
    <row r="29" spans="1:4">
      <c r="A29" s="194">
        <v>1972</v>
      </c>
      <c r="B29">
        <v>0.24531</v>
      </c>
      <c r="C29">
        <v>0.20907402222673929</v>
      </c>
      <c r="D29">
        <v>4.7628198968642899E-2</v>
      </c>
    </row>
    <row r="30" spans="1:4">
      <c r="A30" s="194">
        <v>1973</v>
      </c>
      <c r="B30">
        <v>0.25591750000000002</v>
      </c>
      <c r="C30">
        <v>0.21811463488325611</v>
      </c>
      <c r="D30">
        <v>4.3241205005910999E-2</v>
      </c>
    </row>
    <row r="31" spans="1:4">
      <c r="A31" s="194">
        <v>1974</v>
      </c>
      <c r="B31">
        <v>0.2740725</v>
      </c>
      <c r="C31">
        <v>0.23358786823504141</v>
      </c>
      <c r="D31">
        <v>7.0940830541092126E-2</v>
      </c>
    </row>
    <row r="32" spans="1:4">
      <c r="A32" s="194">
        <v>1975</v>
      </c>
      <c r="B32">
        <v>0.30237999999999998</v>
      </c>
      <c r="C32">
        <v>0.25771392458897491</v>
      </c>
      <c r="D32">
        <v>0.1032847148108622</v>
      </c>
    </row>
    <row r="33" spans="1:4">
      <c r="A33" s="194">
        <v>1976</v>
      </c>
      <c r="B33">
        <v>0.32339000000000001</v>
      </c>
      <c r="C33">
        <v>0.275620431486304</v>
      </c>
      <c r="D33">
        <v>6.9482108605066539E-2</v>
      </c>
    </row>
    <row r="34" spans="1:4">
      <c r="A34" s="194">
        <v>1977</v>
      </c>
      <c r="B34">
        <v>0.34666999999999998</v>
      </c>
      <c r="C34">
        <v>0.29546162523070291</v>
      </c>
      <c r="D34">
        <v>7.1987383654411152E-2</v>
      </c>
    </row>
    <row r="35" spans="1:4">
      <c r="A35" s="194">
        <v>1978</v>
      </c>
      <c r="B35">
        <v>0.36998999999999999</v>
      </c>
      <c r="C35">
        <v>0.31533691037328798</v>
      </c>
      <c r="D35">
        <v>6.72685839559235E-2</v>
      </c>
    </row>
    <row r="36" spans="1:4">
      <c r="A36" s="194">
        <v>1979</v>
      </c>
      <c r="B36">
        <v>0.39968749999999997</v>
      </c>
      <c r="C36">
        <v>0.34064764281419369</v>
      </c>
      <c r="D36">
        <v>8.0265682856293319E-2</v>
      </c>
    </row>
    <row r="37" spans="1:4">
      <c r="A37" s="194">
        <v>1980</v>
      </c>
      <c r="B37">
        <v>0.4344925</v>
      </c>
      <c r="C37">
        <v>0.37031142066100659</v>
      </c>
      <c r="D37">
        <v>8.7080531665363781E-2</v>
      </c>
    </row>
    <row r="38" spans="1:4">
      <c r="A38" s="194">
        <v>1981</v>
      </c>
      <c r="B38">
        <v>0.47704000000000002</v>
      </c>
      <c r="C38">
        <v>0.40657401476924587</v>
      </c>
      <c r="D38">
        <v>9.792459018279942E-2</v>
      </c>
    </row>
    <row r="39" spans="1:4">
      <c r="A39" s="194">
        <v>1982</v>
      </c>
      <c r="B39">
        <v>0.50977749999999999</v>
      </c>
      <c r="C39">
        <v>0.43447569347230691</v>
      </c>
      <c r="D39">
        <v>6.8626320643971228E-2</v>
      </c>
    </row>
    <row r="40" spans="1:4">
      <c r="A40" s="194">
        <v>1983</v>
      </c>
      <c r="B40">
        <v>0.53219749999999999</v>
      </c>
      <c r="C40">
        <v>0.45358392215570131</v>
      </c>
      <c r="D40">
        <v>4.3979971654300121E-2</v>
      </c>
    </row>
    <row r="41" spans="1:4">
      <c r="A41" s="194">
        <v>1984</v>
      </c>
      <c r="B41">
        <v>0.55100499999999997</v>
      </c>
      <c r="C41">
        <v>0.46961327144039988</v>
      </c>
      <c r="D41">
        <v>3.5339324217043437E-2</v>
      </c>
    </row>
    <row r="42" spans="1:4">
      <c r="A42" s="194">
        <v>1985</v>
      </c>
      <c r="B42">
        <v>0.56925500000000007</v>
      </c>
      <c r="C42">
        <v>0.48516747186287762</v>
      </c>
      <c r="D42">
        <v>3.3121296539958989E-2</v>
      </c>
    </row>
    <row r="43" spans="1:4">
      <c r="A43" s="194">
        <v>1986</v>
      </c>
      <c r="B43">
        <v>0.58223750000000007</v>
      </c>
      <c r="C43">
        <v>0.49623226128670322</v>
      </c>
      <c r="D43">
        <v>2.2806123793378989E-2</v>
      </c>
    </row>
    <row r="44" spans="1:4">
      <c r="A44" s="194">
        <v>1987</v>
      </c>
      <c r="B44">
        <v>0.59523749999999997</v>
      </c>
      <c r="C44">
        <v>0.50731196569723513</v>
      </c>
      <c r="D44">
        <v>2.2327658386826599E-2</v>
      </c>
    </row>
    <row r="45" spans="1:4">
      <c r="A45" s="194">
        <v>1988</v>
      </c>
      <c r="B45">
        <v>0.61446749999999994</v>
      </c>
      <c r="C45">
        <v>0.52370140537527587</v>
      </c>
      <c r="D45">
        <v>3.2306432306432153E-2</v>
      </c>
    </row>
    <row r="46" spans="1:4">
      <c r="A46" s="194">
        <v>1989</v>
      </c>
      <c r="B46">
        <v>0.63894499999999999</v>
      </c>
      <c r="C46">
        <v>0.54456321035287569</v>
      </c>
      <c r="D46">
        <v>3.9835304552315647E-2</v>
      </c>
    </row>
    <row r="47" spans="1:4">
      <c r="A47" s="194">
        <v>1990</v>
      </c>
      <c r="B47">
        <v>0.66208750000000005</v>
      </c>
      <c r="C47">
        <v>0.56428721491600942</v>
      </c>
      <c r="D47">
        <v>3.6219862429473837E-2</v>
      </c>
    </row>
    <row r="48" spans="1:4">
      <c r="A48" s="194">
        <v>1991</v>
      </c>
      <c r="B48">
        <v>0.68558750000000002</v>
      </c>
      <c r="C48">
        <v>0.5843159113504327</v>
      </c>
      <c r="D48">
        <v>3.5493798025185493E-2</v>
      </c>
    </row>
    <row r="49" spans="1:4">
      <c r="A49" s="194">
        <v>1992</v>
      </c>
      <c r="B49">
        <v>0.70237499999999997</v>
      </c>
      <c r="C49">
        <v>0.59862364502672549</v>
      </c>
      <c r="D49">
        <v>2.4486298247853089E-2</v>
      </c>
    </row>
    <row r="50" spans="1:4">
      <c r="A50" s="194">
        <v>1993</v>
      </c>
      <c r="B50">
        <v>0.71904750000000006</v>
      </c>
      <c r="C50">
        <v>0.6128333659332329</v>
      </c>
      <c r="D50">
        <v>2.3737319807795029E-2</v>
      </c>
    </row>
    <row r="51" spans="1:4">
      <c r="A51" s="194">
        <v>1994</v>
      </c>
      <c r="B51">
        <v>0.73469249999999997</v>
      </c>
      <c r="C51">
        <v>0.62616736404883078</v>
      </c>
      <c r="D51">
        <v>2.1757950622176999E-2</v>
      </c>
    </row>
    <row r="52" spans="1:4">
      <c r="A52" s="194">
        <v>1995</v>
      </c>
      <c r="B52">
        <v>0.75026000000000004</v>
      </c>
      <c r="C52">
        <v>0.63943531008044285</v>
      </c>
      <c r="D52">
        <v>2.1189136951853978E-2</v>
      </c>
    </row>
    <row r="53" spans="1:4">
      <c r="A53" s="194">
        <v>1996</v>
      </c>
      <c r="B53">
        <v>0.76429999999999998</v>
      </c>
      <c r="C53">
        <v>0.65140139084381743</v>
      </c>
      <c r="D53">
        <v>1.8713512648948379E-2</v>
      </c>
    </row>
    <row r="54" spans="1:4">
      <c r="A54" s="194">
        <v>1997</v>
      </c>
      <c r="B54">
        <v>0.7777925</v>
      </c>
      <c r="C54">
        <v>0.66290084559451767</v>
      </c>
      <c r="D54">
        <v>1.7653408347507501E-2</v>
      </c>
    </row>
    <row r="55" spans="1:4">
      <c r="A55" s="194">
        <v>1998</v>
      </c>
      <c r="B55">
        <v>0.78739000000000003</v>
      </c>
      <c r="C55">
        <v>0.67108065044683163</v>
      </c>
      <c r="D55">
        <v>1.233940928975286E-2</v>
      </c>
    </row>
    <row r="56" spans="1:4">
      <c r="A56" s="194">
        <v>1999</v>
      </c>
      <c r="B56">
        <v>0.79737999999999998</v>
      </c>
      <c r="C56">
        <v>0.6795949771438482</v>
      </c>
      <c r="D56">
        <v>1.268748650605178E-2</v>
      </c>
    </row>
    <row r="57" spans="1:4">
      <c r="A57" s="194">
        <v>2000</v>
      </c>
      <c r="B57">
        <v>0.81388499999999997</v>
      </c>
      <c r="C57">
        <v>0.69366194032045059</v>
      </c>
      <c r="D57">
        <v>2.0699039353883949E-2</v>
      </c>
    </row>
    <row r="58" spans="1:4">
      <c r="A58" s="194">
        <v>2001</v>
      </c>
      <c r="B58">
        <v>0.83344249999999998</v>
      </c>
      <c r="C58">
        <v>0.71033050332114134</v>
      </c>
      <c r="D58">
        <v>2.4029807650957968E-2</v>
      </c>
    </row>
    <row r="59" spans="1:4">
      <c r="A59" s="194">
        <v>2002</v>
      </c>
      <c r="B59">
        <v>0.84686499999999998</v>
      </c>
      <c r="C59">
        <v>0.72177029812501559</v>
      </c>
      <c r="D59">
        <v>1.6104890259375889E-2</v>
      </c>
    </row>
    <row r="60" spans="1:4">
      <c r="A60" s="194">
        <v>2003</v>
      </c>
      <c r="B60">
        <v>0.86307</v>
      </c>
      <c r="C60">
        <v>0.73558157581522121</v>
      </c>
      <c r="D60">
        <v>1.9135281302214761E-2</v>
      </c>
    </row>
    <row r="61" spans="1:4">
      <c r="A61" s="194">
        <v>2004</v>
      </c>
      <c r="B61">
        <v>0.88443000000000005</v>
      </c>
      <c r="C61">
        <v>0.75378638244667995</v>
      </c>
      <c r="D61">
        <v>2.4748861621884721E-2</v>
      </c>
    </row>
    <row r="62" spans="1:4">
      <c r="A62" s="194">
        <v>2005</v>
      </c>
      <c r="B62">
        <v>0.91226249999999998</v>
      </c>
      <c r="C62">
        <v>0.77750760344715164</v>
      </c>
      <c r="D62">
        <v>3.146942098300598E-2</v>
      </c>
    </row>
    <row r="63" spans="1:4">
      <c r="A63" s="194">
        <v>2006</v>
      </c>
      <c r="B63">
        <v>0.94188249999999996</v>
      </c>
      <c r="C63">
        <v>0.80275228380407149</v>
      </c>
      <c r="D63">
        <v>3.2468724736575139E-2</v>
      </c>
    </row>
    <row r="64" spans="1:4">
      <c r="A64" s="194">
        <v>2007</v>
      </c>
      <c r="B64">
        <v>0.96750999999999998</v>
      </c>
      <c r="C64">
        <v>0.82459421647952613</v>
      </c>
      <c r="D64">
        <v>2.7208807892704408E-2</v>
      </c>
    </row>
    <row r="65" spans="1:4">
      <c r="A65" s="194">
        <v>2008</v>
      </c>
      <c r="B65">
        <v>0.9875275</v>
      </c>
      <c r="C65">
        <v>0.84165483055935886</v>
      </c>
      <c r="D65">
        <v>2.0689708633502502E-2</v>
      </c>
    </row>
    <row r="66" spans="1:4">
      <c r="A66" s="194">
        <v>2009</v>
      </c>
      <c r="B66">
        <v>0.99905250000000001</v>
      </c>
      <c r="C66">
        <v>0.85147741466177274</v>
      </c>
      <c r="D66">
        <v>1.167056107298259E-2</v>
      </c>
    </row>
    <row r="67" spans="1:4">
      <c r="A67" s="194">
        <v>2010</v>
      </c>
      <c r="B67">
        <v>1.0078125</v>
      </c>
      <c r="C67">
        <v>0.85894343086456204</v>
      </c>
      <c r="D67">
        <v>8.7683079718032797E-3</v>
      </c>
    </row>
    <row r="68" spans="1:4">
      <c r="A68" s="194">
        <v>2011</v>
      </c>
      <c r="B68">
        <v>1.0282800000000001</v>
      </c>
      <c r="C68">
        <v>0.87638757317399019</v>
      </c>
      <c r="D68">
        <v>2.030883720930254E-2</v>
      </c>
    </row>
    <row r="69" spans="1:4">
      <c r="A69" s="194">
        <v>2012</v>
      </c>
      <c r="B69">
        <v>1.04714</v>
      </c>
      <c r="C69">
        <v>0.89246166741880806</v>
      </c>
      <c r="D69">
        <v>1.8341307814991881E-2</v>
      </c>
    </row>
    <row r="70" spans="1:4">
      <c r="A70" s="194">
        <v>2013</v>
      </c>
      <c r="B70">
        <v>1.0648299999999999</v>
      </c>
      <c r="C70">
        <v>0.9075385882666781</v>
      </c>
      <c r="D70">
        <v>1.6893634089042431E-2</v>
      </c>
    </row>
    <row r="71" spans="1:4">
      <c r="A71" s="194">
        <v>2014</v>
      </c>
      <c r="B71">
        <v>1.0841775</v>
      </c>
      <c r="C71">
        <v>0.9240281714268912</v>
      </c>
      <c r="D71">
        <v>1.8169566973132101E-2</v>
      </c>
    </row>
    <row r="72" spans="1:4">
      <c r="A72" s="194">
        <v>2015</v>
      </c>
      <c r="B72">
        <v>1.0972500000000001</v>
      </c>
      <c r="C72">
        <v>0.9351696664966358</v>
      </c>
      <c r="D72">
        <v>1.205752748050948E-2</v>
      </c>
    </row>
    <row r="73" spans="1:4">
      <c r="A73" s="194">
        <v>2016</v>
      </c>
      <c r="B73">
        <v>1.1099825000000001</v>
      </c>
      <c r="C73">
        <v>0.94602138468179731</v>
      </c>
      <c r="D73">
        <v>1.1604010025062729E-2</v>
      </c>
    </row>
    <row r="74" spans="1:4">
      <c r="A74" s="194">
        <v>2017</v>
      </c>
      <c r="B74">
        <v>1.1290125</v>
      </c>
      <c r="C74">
        <v>0.96224036736890672</v>
      </c>
      <c r="D74">
        <v>1.7144414438966301E-2</v>
      </c>
    </row>
    <row r="75" spans="1:4">
      <c r="A75" s="194">
        <v>2018</v>
      </c>
      <c r="B75">
        <v>1.1506894999999999</v>
      </c>
      <c r="C75">
        <v>0.9807153483309915</v>
      </c>
      <c r="D75">
        <v>1.9199964570808529E-2</v>
      </c>
    </row>
    <row r="76" spans="1:4">
      <c r="A76" s="194">
        <v>2019</v>
      </c>
      <c r="B76">
        <v>1.1733165000000001</v>
      </c>
      <c r="C76">
        <v>1</v>
      </c>
      <c r="D76">
        <v>1.966386240597506E-2</v>
      </c>
    </row>
    <row r="77" spans="1:4">
      <c r="A77" s="194">
        <v>2020</v>
      </c>
      <c r="B77">
        <v>1.1980055000000001</v>
      </c>
      <c r="C77">
        <v>1.0210420632455099</v>
      </c>
      <c r="D77">
        <v>2.1042063245509501E-2</v>
      </c>
    </row>
    <row r="78" spans="1:4">
      <c r="A78" s="194">
        <v>2021</v>
      </c>
      <c r="B78">
        <v>1.2239767500000001</v>
      </c>
      <c r="C78">
        <v>1.043176968874127</v>
      </c>
      <c r="D78">
        <v>2.1678740206117601E-2</v>
      </c>
    </row>
    <row r="79" spans="1:4">
      <c r="A79" s="194">
        <v>2022</v>
      </c>
      <c r="B79">
        <v>1.2504630000000001</v>
      </c>
      <c r="C79">
        <v>1.065750801254393</v>
      </c>
      <c r="D79">
        <v>2.163950418175831E-2</v>
      </c>
    </row>
    <row r="80" spans="1:4">
      <c r="A80" s="194">
        <v>2023</v>
      </c>
      <c r="B80">
        <v>1.277757</v>
      </c>
      <c r="C80">
        <v>1.0890130668067819</v>
      </c>
      <c r="D80">
        <v>2.1827115236516589E-2</v>
      </c>
    </row>
    <row r="81" spans="1:4">
      <c r="A81" s="194">
        <v>2024</v>
      </c>
      <c r="B81">
        <v>1.3056877499999999</v>
      </c>
      <c r="C81">
        <v>1.1128180248040489</v>
      </c>
      <c r="D81">
        <v>2.185920327574031E-2</v>
      </c>
    </row>
    <row r="82" spans="1:4">
      <c r="A82" s="194">
        <v>2025</v>
      </c>
      <c r="B82">
        <v>1.3335444999999999</v>
      </c>
      <c r="C82">
        <v>1.1365599137146709</v>
      </c>
      <c r="D82">
        <v>2.1334924831760031E-2</v>
      </c>
    </row>
    <row r="83" spans="1:4">
      <c r="A83" s="194">
        <v>2026</v>
      </c>
      <c r="B83">
        <v>1.3615522499999999</v>
      </c>
      <c r="C83">
        <v>1.1604304976534461</v>
      </c>
      <c r="D83">
        <v>2.1002486231243012E-2</v>
      </c>
    </row>
    <row r="84" spans="1:4">
      <c r="A84" s="194">
        <v>2027</v>
      </c>
      <c r="B84">
        <v>1.3898094999999999</v>
      </c>
      <c r="C84">
        <v>1.184513726688408</v>
      </c>
      <c r="D84">
        <v>2.0753702254173719E-2</v>
      </c>
    </row>
    <row r="85" spans="1:4">
      <c r="A85" s="194">
        <v>2028</v>
      </c>
      <c r="B85">
        <v>1.4185410000000001</v>
      </c>
      <c r="C85">
        <v>1.2090011518631161</v>
      </c>
      <c r="D85">
        <v>2.0672977123843191E-2</v>
      </c>
    </row>
    <row r="86" spans="1:4">
      <c r="A86" s="194">
        <v>2029</v>
      </c>
      <c r="B86">
        <v>1.447866465642234</v>
      </c>
      <c r="C86">
        <v>1.233994805018283</v>
      </c>
      <c r="D86">
        <v>2.067297712384342E-2</v>
      </c>
    </row>
    <row r="87" spans="1:4">
      <c r="A87" s="194">
        <v>2030</v>
      </c>
      <c r="B87">
        <v>1.4777981759648351</v>
      </c>
      <c r="C87">
        <v>1.2595051513933671</v>
      </c>
      <c r="D87">
        <v>2.0672977123843191E-2</v>
      </c>
    </row>
    <row r="88" spans="1:4">
      <c r="A88" s="194">
        <v>2031</v>
      </c>
      <c r="B88">
        <v>1.5083486638502139</v>
      </c>
      <c r="C88">
        <v>1.2855428725754849</v>
      </c>
      <c r="D88">
        <v>2.067297712384342E-2</v>
      </c>
    </row>
    <row r="89" spans="1:4">
      <c r="A89" s="194">
        <v>2032</v>
      </c>
      <c r="B89">
        <v>1.5395307212727689</v>
      </c>
      <c r="C89">
        <v>1.3121188709719569</v>
      </c>
      <c r="D89">
        <v>2.0672977123843191E-2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3CB90-035B-8246-9920-878F948B4F40}">
  <dimension ref="A1:CC113"/>
  <sheetViews>
    <sheetView workbookViewId="0">
      <pane xSplit="1" ySplit="4" topLeftCell="AF5" activePane="bottomRight" state="frozen"/>
      <selection pane="topRight" activeCell="D1" sqref="D1"/>
      <selection pane="bottomLeft" activeCell="A6" sqref="A6"/>
      <selection pane="bottomRight" activeCell="AH18" sqref="AH18"/>
    </sheetView>
  </sheetViews>
  <sheetFormatPr baseColWidth="10" defaultColWidth="7.6640625" defaultRowHeight="14"/>
  <cols>
    <col min="1" max="1" width="73.5" style="288" bestFit="1" customWidth="1"/>
    <col min="2" max="2" width="6.83203125" style="288" bestFit="1" customWidth="1"/>
    <col min="3" max="3" width="6" style="288" bestFit="1" customWidth="1"/>
    <col min="4" max="77" width="6.83203125" style="288" bestFit="1" customWidth="1"/>
    <col min="78" max="16384" width="7.6640625" style="288"/>
  </cols>
  <sheetData>
    <row r="1" spans="1:81">
      <c r="A1" s="287" t="s">
        <v>566</v>
      </c>
      <c r="B1" s="287"/>
      <c r="C1" s="287"/>
      <c r="D1" s="287"/>
      <c r="E1" s="287"/>
      <c r="F1" s="287"/>
      <c r="G1" s="287"/>
      <c r="H1" s="287"/>
      <c r="I1" s="287"/>
      <c r="J1" s="287"/>
      <c r="K1" s="287"/>
      <c r="L1" s="287"/>
    </row>
    <row r="2" spans="1:81">
      <c r="A2" s="289" t="s">
        <v>567</v>
      </c>
      <c r="B2" s="289"/>
      <c r="C2" s="289"/>
      <c r="D2" s="289"/>
      <c r="E2" s="289"/>
      <c r="F2" s="289"/>
      <c r="G2" s="289"/>
      <c r="H2" s="289"/>
      <c r="I2" s="289"/>
      <c r="J2" s="289"/>
      <c r="K2" s="289"/>
      <c r="L2" s="289"/>
    </row>
    <row r="3" spans="1:81" s="294" customFormat="1">
      <c r="A3" s="290" t="s">
        <v>287</v>
      </c>
      <c r="B3" s="291">
        <v>0.1155809367415855</v>
      </c>
      <c r="C3" s="291">
        <v>0.1155809367415855</v>
      </c>
      <c r="D3" s="291">
        <v>0.1154164285595575</v>
      </c>
      <c r="E3" s="291">
        <v>0.1216125401799088</v>
      </c>
      <c r="F3" s="291">
        <v>0.12647908727099641</v>
      </c>
      <c r="G3" s="291">
        <v>0.12878451807334171</v>
      </c>
      <c r="H3" s="291">
        <v>0.1303101081421765</v>
      </c>
      <c r="I3" s="291">
        <v>0.1313264579506041</v>
      </c>
      <c r="J3" s="291">
        <v>0.1347355977692293</v>
      </c>
      <c r="K3" s="291">
        <v>0.1397640790017016</v>
      </c>
      <c r="L3" s="291">
        <v>0.1439828895272503</v>
      </c>
      <c r="M3" s="291">
        <v>0.14619456898458341</v>
      </c>
      <c r="N3" s="291">
        <v>0.14822513788905209</v>
      </c>
      <c r="O3" s="291">
        <v>0.15026209893068071</v>
      </c>
      <c r="P3" s="291">
        <v>0.1518409568091815</v>
      </c>
      <c r="Q3" s="291">
        <v>0.15365845447498611</v>
      </c>
      <c r="R3" s="291">
        <v>0.15553774280000321</v>
      </c>
      <c r="S3" s="291">
        <v>0.1582501396681969</v>
      </c>
      <c r="T3" s="291">
        <v>0.16168484803546179</v>
      </c>
      <c r="U3" s="291">
        <v>0.1666089243609887</v>
      </c>
      <c r="V3" s="291">
        <v>0.1723682399420787</v>
      </c>
      <c r="W3" s="291">
        <v>0.18026466004696939</v>
      </c>
      <c r="X3" s="291">
        <v>0.18993383285754531</v>
      </c>
      <c r="Y3" s="291">
        <v>0.19956891426993481</v>
      </c>
      <c r="Z3" s="291">
        <v>0.20907402222673929</v>
      </c>
      <c r="AA3" s="291">
        <v>0.21811463488325611</v>
      </c>
      <c r="AB3" s="291">
        <v>0.23358786823504141</v>
      </c>
      <c r="AC3" s="291">
        <v>0.25771392458897491</v>
      </c>
      <c r="AD3" s="291">
        <v>0.275620431486304</v>
      </c>
      <c r="AE3" s="291">
        <v>0.29546162523070291</v>
      </c>
      <c r="AF3" s="291">
        <v>0.31533691037328798</v>
      </c>
      <c r="AG3" s="291">
        <v>0.34064764281419369</v>
      </c>
      <c r="AH3" s="292">
        <v>0.37031142066100659</v>
      </c>
      <c r="AI3" s="291">
        <v>0.40657401476924587</v>
      </c>
      <c r="AJ3" s="291">
        <v>0.43447569347230691</v>
      </c>
      <c r="AK3" s="291">
        <v>0.45358392215570131</v>
      </c>
      <c r="AL3" s="291">
        <v>0.46961327144039988</v>
      </c>
      <c r="AM3" s="291">
        <v>0.48516747186287762</v>
      </c>
      <c r="AN3" s="291">
        <v>0.49623226128670322</v>
      </c>
      <c r="AO3" s="291">
        <v>0.50731196569723513</v>
      </c>
      <c r="AP3" s="291">
        <v>0.52370140537527587</v>
      </c>
      <c r="AQ3" s="291">
        <v>0.54456321035287569</v>
      </c>
      <c r="AR3" s="291">
        <v>0.56428721491600942</v>
      </c>
      <c r="AS3" s="291">
        <v>0.5843159113504327</v>
      </c>
      <c r="AT3" s="291">
        <v>0.59862364502672549</v>
      </c>
      <c r="AU3" s="291">
        <v>0.6128333659332329</v>
      </c>
      <c r="AV3" s="291">
        <v>0.62616736404883078</v>
      </c>
      <c r="AW3" s="291">
        <v>0.63943531008044285</v>
      </c>
      <c r="AX3" s="291">
        <v>0.65140139084381743</v>
      </c>
      <c r="AY3" s="291">
        <v>0.66290084559451767</v>
      </c>
      <c r="AZ3" s="291">
        <v>0.67108065044683163</v>
      </c>
      <c r="BA3" s="291">
        <v>0.6795949771438482</v>
      </c>
      <c r="BB3" s="291">
        <v>0.69366194032045059</v>
      </c>
      <c r="BC3" s="291">
        <v>0.71033050332114134</v>
      </c>
      <c r="BD3" s="291">
        <v>0.72177029812501559</v>
      </c>
      <c r="BE3" s="291">
        <v>0.73558157581522121</v>
      </c>
      <c r="BF3" s="291">
        <v>0.75378638244667995</v>
      </c>
      <c r="BG3" s="291">
        <v>0.77750760344715164</v>
      </c>
      <c r="BH3" s="291">
        <v>0.80275228380407149</v>
      </c>
      <c r="BI3" s="291">
        <v>0.82459421647952613</v>
      </c>
      <c r="BJ3" s="291">
        <v>0.84165483055935886</v>
      </c>
      <c r="BK3" s="291">
        <v>0.85147741466177274</v>
      </c>
      <c r="BL3" s="291">
        <v>0.85894343086456204</v>
      </c>
      <c r="BM3" s="291">
        <v>0.87638757317399019</v>
      </c>
      <c r="BN3" s="291">
        <v>0.89246166741880806</v>
      </c>
      <c r="BO3" s="291">
        <v>0.9075385882666781</v>
      </c>
      <c r="BP3" s="291">
        <v>0.9240281714268912</v>
      </c>
      <c r="BQ3" s="291">
        <v>0.9351696664966358</v>
      </c>
      <c r="BR3" s="291">
        <v>0.94602138468179731</v>
      </c>
      <c r="BS3" s="291">
        <v>0.96224036736890672</v>
      </c>
      <c r="BT3" s="293">
        <v>0.9807153483309915</v>
      </c>
      <c r="BU3" s="291">
        <v>1</v>
      </c>
      <c r="BV3" s="291">
        <v>1.0210420632455099</v>
      </c>
      <c r="BW3" s="291">
        <v>1.043176968874127</v>
      </c>
      <c r="BX3" s="291">
        <v>1.065750801254393</v>
      </c>
      <c r="BY3" s="291">
        <v>1.0890130668067819</v>
      </c>
    </row>
    <row r="4" spans="1:81" s="302" customFormat="1" ht="17" customHeight="1">
      <c r="A4" s="295"/>
      <c r="B4" s="296">
        <v>1948</v>
      </c>
      <c r="C4" s="296">
        <v>1949</v>
      </c>
      <c r="D4" s="296">
        <v>1950</v>
      </c>
      <c r="E4" s="296">
        <v>1951</v>
      </c>
      <c r="F4" s="296">
        <v>1952</v>
      </c>
      <c r="G4" s="296">
        <v>1953</v>
      </c>
      <c r="H4" s="296">
        <v>1954</v>
      </c>
      <c r="I4" s="296">
        <v>1955</v>
      </c>
      <c r="J4" s="296">
        <v>1956</v>
      </c>
      <c r="K4" s="296">
        <v>1957</v>
      </c>
      <c r="L4" s="297">
        <v>1958</v>
      </c>
      <c r="M4" s="296">
        <v>1959</v>
      </c>
      <c r="N4" s="296">
        <v>1960</v>
      </c>
      <c r="O4" s="296">
        <v>1961</v>
      </c>
      <c r="P4" s="296">
        <v>1962</v>
      </c>
      <c r="Q4" s="296">
        <v>1963</v>
      </c>
      <c r="R4" s="296">
        <v>1964</v>
      </c>
      <c r="S4" s="296">
        <v>1965</v>
      </c>
      <c r="T4" s="296">
        <v>1966</v>
      </c>
      <c r="U4" s="296">
        <v>1967</v>
      </c>
      <c r="V4" s="296">
        <v>1968</v>
      </c>
      <c r="W4" s="297">
        <v>1969</v>
      </c>
      <c r="X4" s="296">
        <v>1970</v>
      </c>
      <c r="Y4" s="296">
        <v>1971</v>
      </c>
      <c r="Z4" s="296">
        <v>1972</v>
      </c>
      <c r="AA4" s="296">
        <v>1973</v>
      </c>
      <c r="AB4" s="296">
        <v>1974</v>
      </c>
      <c r="AC4" s="296">
        <v>1975</v>
      </c>
      <c r="AD4" s="296">
        <v>1976</v>
      </c>
      <c r="AE4" s="296">
        <v>1977</v>
      </c>
      <c r="AF4" s="296">
        <v>1978</v>
      </c>
      <c r="AG4" s="296">
        <v>1979</v>
      </c>
      <c r="AH4" s="298">
        <v>1980</v>
      </c>
      <c r="AI4" s="299">
        <v>1981</v>
      </c>
      <c r="AJ4" s="298">
        <v>1982</v>
      </c>
      <c r="AK4" s="299">
        <v>1983</v>
      </c>
      <c r="AL4" s="298">
        <v>1984</v>
      </c>
      <c r="AM4" s="299">
        <v>1985</v>
      </c>
      <c r="AN4" s="298">
        <v>1986</v>
      </c>
      <c r="AO4" s="299">
        <v>1987</v>
      </c>
      <c r="AP4" s="298">
        <v>1988</v>
      </c>
      <c r="AQ4" s="299">
        <v>1989</v>
      </c>
      <c r="AR4" s="298">
        <v>1990</v>
      </c>
      <c r="AS4" s="299">
        <v>1991</v>
      </c>
      <c r="AT4" s="298">
        <v>1992</v>
      </c>
      <c r="AU4" s="299">
        <v>1993</v>
      </c>
      <c r="AV4" s="298">
        <v>1994</v>
      </c>
      <c r="AW4" s="299">
        <v>1995</v>
      </c>
      <c r="AX4" s="298">
        <v>1996</v>
      </c>
      <c r="AY4" s="299">
        <v>1997</v>
      </c>
      <c r="AZ4" s="298">
        <v>1998</v>
      </c>
      <c r="BA4" s="299">
        <v>1999</v>
      </c>
      <c r="BB4" s="298">
        <v>2000</v>
      </c>
      <c r="BC4" s="299">
        <v>2001</v>
      </c>
      <c r="BD4" s="298">
        <v>2002</v>
      </c>
      <c r="BE4" s="299">
        <v>2003</v>
      </c>
      <c r="BF4" s="298">
        <v>2004</v>
      </c>
      <c r="BG4" s="299">
        <v>2005</v>
      </c>
      <c r="BH4" s="298">
        <v>2006</v>
      </c>
      <c r="BI4" s="299">
        <v>2007</v>
      </c>
      <c r="BJ4" s="298">
        <v>2008</v>
      </c>
      <c r="BK4" s="299">
        <v>2009</v>
      </c>
      <c r="BL4" s="298">
        <v>2010</v>
      </c>
      <c r="BM4" s="299">
        <v>2011</v>
      </c>
      <c r="BN4" s="298">
        <v>2012</v>
      </c>
      <c r="BO4" s="299">
        <v>2013</v>
      </c>
      <c r="BP4" s="298">
        <v>2014</v>
      </c>
      <c r="BQ4" s="299">
        <v>2015</v>
      </c>
      <c r="BR4" s="298">
        <v>2016</v>
      </c>
      <c r="BS4" s="298">
        <v>2017</v>
      </c>
      <c r="BT4" s="300">
        <v>2018</v>
      </c>
      <c r="BU4" s="301">
        <v>2019</v>
      </c>
      <c r="BV4" s="301">
        <v>2020</v>
      </c>
      <c r="BW4" s="301">
        <v>2021</v>
      </c>
      <c r="BX4" s="301">
        <v>2022</v>
      </c>
      <c r="BY4" s="301">
        <v>2023</v>
      </c>
    </row>
    <row r="5" spans="1:81" s="305" customFormat="1" ht="15" customHeight="1">
      <c r="A5" s="303" t="s">
        <v>568</v>
      </c>
      <c r="B5" s="304"/>
      <c r="C5" s="304"/>
      <c r="D5" s="304"/>
      <c r="E5" s="304"/>
      <c r="F5" s="304"/>
      <c r="G5" s="304"/>
      <c r="H5" s="304"/>
      <c r="I5" s="304"/>
      <c r="J5" s="304"/>
      <c r="K5" s="304"/>
      <c r="L5" s="304"/>
      <c r="M5" s="304"/>
      <c r="N5" s="304"/>
      <c r="O5" s="304"/>
      <c r="P5" s="304"/>
      <c r="Q5" s="304"/>
      <c r="R5" s="304"/>
      <c r="S5" s="304"/>
      <c r="T5" s="304"/>
      <c r="U5" s="304"/>
      <c r="V5" s="304"/>
      <c r="W5" s="304"/>
      <c r="X5" s="304"/>
      <c r="Y5" s="304"/>
      <c r="Z5" s="304"/>
      <c r="AA5" s="304"/>
      <c r="AB5" s="304"/>
      <c r="AC5" s="304"/>
      <c r="AD5" s="304"/>
      <c r="AE5" s="304"/>
      <c r="AF5" s="304"/>
      <c r="AG5" s="304"/>
      <c r="AH5" s="304"/>
      <c r="AI5" s="304"/>
      <c r="AJ5" s="304"/>
      <c r="AK5" s="304"/>
      <c r="AL5" s="304"/>
      <c r="AM5" s="304"/>
      <c r="AN5" s="304"/>
      <c r="AO5" s="303"/>
      <c r="AP5" s="303"/>
      <c r="AQ5" s="303"/>
      <c r="AR5" s="303"/>
      <c r="AS5" s="303"/>
      <c r="AT5" s="303"/>
      <c r="AU5" s="303"/>
      <c r="AV5" s="303"/>
      <c r="AW5" s="303"/>
      <c r="AX5" s="303"/>
      <c r="AY5" s="303"/>
      <c r="AZ5" s="303"/>
      <c r="BA5" s="303"/>
      <c r="BB5" s="303"/>
      <c r="BC5" s="303"/>
      <c r="BD5" s="303"/>
      <c r="BE5" s="303"/>
      <c r="BF5" s="303"/>
      <c r="BG5" s="303"/>
      <c r="BH5" s="303"/>
      <c r="BI5" s="303"/>
      <c r="BJ5" s="303"/>
      <c r="BK5" s="303"/>
      <c r="BL5" s="303"/>
      <c r="BM5" s="303"/>
      <c r="BN5" s="303"/>
      <c r="BO5" s="303"/>
      <c r="BP5" s="303"/>
      <c r="BQ5" s="303"/>
      <c r="BR5" s="303"/>
      <c r="BS5" s="303"/>
      <c r="BT5" s="303"/>
      <c r="BU5" s="303"/>
      <c r="BV5" s="303"/>
      <c r="BW5" s="303"/>
    </row>
    <row r="6" spans="1:81" s="310" customFormat="1" ht="15.5" customHeight="1">
      <c r="A6" s="306" t="s">
        <v>569</v>
      </c>
      <c r="B6" s="307">
        <v>4301</v>
      </c>
      <c r="C6" s="307">
        <v>4507</v>
      </c>
      <c r="D6" s="307">
        <v>4891</v>
      </c>
      <c r="E6" s="307">
        <v>8709</v>
      </c>
      <c r="F6" s="307">
        <v>11152</v>
      </c>
      <c r="G6" s="307">
        <v>12130</v>
      </c>
      <c r="H6" s="307">
        <v>11559</v>
      </c>
      <c r="I6" s="307">
        <v>11140</v>
      </c>
      <c r="J6" s="307">
        <v>11058</v>
      </c>
      <c r="K6" s="307">
        <v>11038</v>
      </c>
      <c r="L6" s="307">
        <v>10415</v>
      </c>
      <c r="M6" s="307">
        <v>10823</v>
      </c>
      <c r="N6" s="307">
        <v>10881</v>
      </c>
      <c r="O6" s="307">
        <v>10989</v>
      </c>
      <c r="P6" s="307">
        <v>11790</v>
      </c>
      <c r="Q6" s="307">
        <v>11713</v>
      </c>
      <c r="R6" s="307">
        <v>12655</v>
      </c>
      <c r="S6" s="307">
        <v>13257</v>
      </c>
      <c r="T6" s="307">
        <v>15473</v>
      </c>
      <c r="U6" s="307">
        <v>18377</v>
      </c>
      <c r="V6" s="307">
        <v>20023</v>
      </c>
      <c r="W6" s="307">
        <v>21427</v>
      </c>
      <c r="X6" s="307">
        <v>22995</v>
      </c>
      <c r="Y6" s="307">
        <v>22643</v>
      </c>
      <c r="Z6" s="307">
        <v>22964</v>
      </c>
      <c r="AA6" s="307">
        <v>23727</v>
      </c>
      <c r="AB6" s="307">
        <v>24167</v>
      </c>
      <c r="AC6" s="307">
        <v>24963</v>
      </c>
      <c r="AD6" s="307">
        <v>25430</v>
      </c>
      <c r="AE6" s="307">
        <v>26118</v>
      </c>
      <c r="AF6" s="307">
        <v>27246</v>
      </c>
      <c r="AG6" s="307">
        <v>28703</v>
      </c>
      <c r="AH6" s="307">
        <v>31014</v>
      </c>
      <c r="AI6" s="307">
        <v>36909</v>
      </c>
      <c r="AJ6" s="307">
        <v>42875</v>
      </c>
      <c r="AK6" s="307">
        <v>45688</v>
      </c>
      <c r="AL6" s="307">
        <v>48363</v>
      </c>
      <c r="AM6" s="307">
        <v>67773</v>
      </c>
      <c r="AN6" s="307">
        <v>67794</v>
      </c>
      <c r="AO6" s="307">
        <v>74010</v>
      </c>
      <c r="AP6" s="307">
        <v>76584</v>
      </c>
      <c r="AQ6" s="307">
        <v>78477</v>
      </c>
      <c r="AR6" s="307">
        <v>78876</v>
      </c>
      <c r="AS6" s="307">
        <v>84213</v>
      </c>
      <c r="AT6" s="307">
        <v>81221</v>
      </c>
      <c r="AU6" s="307">
        <v>75974</v>
      </c>
      <c r="AV6" s="307">
        <v>71365</v>
      </c>
      <c r="AW6" s="307">
        <v>71557</v>
      </c>
      <c r="AX6" s="307">
        <v>69775</v>
      </c>
      <c r="AY6" s="307">
        <v>70338</v>
      </c>
      <c r="AZ6" s="307">
        <v>69821</v>
      </c>
      <c r="BA6" s="307">
        <v>70650</v>
      </c>
      <c r="BB6" s="307">
        <v>73838</v>
      </c>
      <c r="BC6" s="307">
        <v>76888</v>
      </c>
      <c r="BD6" s="307">
        <v>86957</v>
      </c>
      <c r="BE6" s="307">
        <v>109062</v>
      </c>
      <c r="BF6" s="307">
        <v>116111</v>
      </c>
      <c r="BG6" s="307">
        <v>121279</v>
      </c>
      <c r="BH6" s="307">
        <v>128483</v>
      </c>
      <c r="BI6" s="307">
        <v>131756</v>
      </c>
      <c r="BJ6" s="307">
        <v>139033</v>
      </c>
      <c r="BK6" s="307">
        <v>149290</v>
      </c>
      <c r="BL6" s="307">
        <v>157100</v>
      </c>
      <c r="BM6" s="307">
        <v>158389</v>
      </c>
      <c r="BN6" s="307">
        <v>158352</v>
      </c>
      <c r="BO6" s="307">
        <v>153531</v>
      </c>
      <c r="BP6" s="307">
        <v>150186</v>
      </c>
      <c r="BQ6" s="307">
        <v>145859</v>
      </c>
      <c r="BR6" s="307">
        <v>145446</v>
      </c>
      <c r="BS6" s="307">
        <v>146147</v>
      </c>
      <c r="BT6" s="307">
        <v>146641</v>
      </c>
      <c r="BU6" s="307">
        <v>161527</v>
      </c>
      <c r="BV6" s="307">
        <v>162604</v>
      </c>
      <c r="BW6" s="307">
        <v>168322</v>
      </c>
      <c r="BX6" s="307">
        <v>173284</v>
      </c>
      <c r="BY6" s="308">
        <v>177663</v>
      </c>
      <c r="BZ6" s="309"/>
    </row>
    <row r="7" spans="1:81" s="310" customFormat="1">
      <c r="A7" s="306" t="s">
        <v>570</v>
      </c>
      <c r="B7" s="311">
        <v>175</v>
      </c>
      <c r="C7" s="311">
        <v>193</v>
      </c>
      <c r="D7" s="311">
        <v>180</v>
      </c>
      <c r="E7" s="311">
        <v>342</v>
      </c>
      <c r="F7" s="311">
        <v>345</v>
      </c>
      <c r="G7" s="311">
        <v>357</v>
      </c>
      <c r="H7" s="311">
        <v>387</v>
      </c>
      <c r="I7" s="311">
        <v>424</v>
      </c>
      <c r="J7" s="311">
        <v>495</v>
      </c>
      <c r="K7" s="311">
        <v>515</v>
      </c>
      <c r="L7" s="311">
        <v>567</v>
      </c>
      <c r="M7" s="311">
        <v>640</v>
      </c>
      <c r="N7" s="311">
        <v>715</v>
      </c>
      <c r="O7" s="311">
        <v>790</v>
      </c>
      <c r="P7" s="311">
        <v>920</v>
      </c>
      <c r="Q7" s="311">
        <v>1026</v>
      </c>
      <c r="R7" s="311">
        <v>1228</v>
      </c>
      <c r="S7" s="311">
        <v>1399</v>
      </c>
      <c r="T7" s="311">
        <v>1600</v>
      </c>
      <c r="U7" s="311">
        <v>1839</v>
      </c>
      <c r="V7" s="311">
        <v>2095</v>
      </c>
      <c r="W7" s="311">
        <v>2450</v>
      </c>
      <c r="X7" s="311">
        <v>2858</v>
      </c>
      <c r="Y7" s="311">
        <v>3391</v>
      </c>
      <c r="Z7" s="311">
        <v>3901</v>
      </c>
      <c r="AA7" s="311">
        <v>4442</v>
      </c>
      <c r="AB7" s="311">
        <v>5151</v>
      </c>
      <c r="AC7" s="311">
        <v>6251</v>
      </c>
      <c r="AD7" s="311">
        <v>7326</v>
      </c>
      <c r="AE7" s="311">
        <v>8238</v>
      </c>
      <c r="AF7" s="311">
        <v>9180</v>
      </c>
      <c r="AG7" s="311">
        <v>10283</v>
      </c>
      <c r="AH7" s="311">
        <v>11965</v>
      </c>
      <c r="AI7" s="311">
        <v>13840</v>
      </c>
      <c r="AJ7" s="311">
        <v>14986</v>
      </c>
      <c r="AK7" s="311">
        <v>16155</v>
      </c>
      <c r="AL7" s="311">
        <v>16503</v>
      </c>
      <c r="AM7" s="311">
        <v>0</v>
      </c>
      <c r="AN7" s="311">
        <v>0</v>
      </c>
      <c r="AO7" s="311">
        <v>0</v>
      </c>
      <c r="AP7" s="311">
        <v>0</v>
      </c>
      <c r="AQ7" s="311">
        <v>0</v>
      </c>
      <c r="AR7" s="311">
        <v>0</v>
      </c>
      <c r="AS7" s="311">
        <v>0</v>
      </c>
      <c r="AT7" s="311"/>
      <c r="AU7" s="311"/>
      <c r="AV7" s="311"/>
      <c r="AW7" s="311"/>
      <c r="AX7" s="311"/>
      <c r="AY7" s="311"/>
      <c r="AZ7" s="311"/>
      <c r="BA7" s="311"/>
      <c r="BB7" s="311"/>
      <c r="BC7" s="311"/>
      <c r="BD7" s="311"/>
      <c r="BE7" s="311"/>
      <c r="BF7" s="311"/>
      <c r="BG7" s="311"/>
      <c r="BH7" s="311"/>
      <c r="BI7" s="311"/>
      <c r="BJ7" s="311"/>
      <c r="BK7" s="311"/>
      <c r="BL7" s="311"/>
      <c r="BM7" s="311"/>
      <c r="BN7" s="311"/>
      <c r="BO7" s="311"/>
      <c r="BP7" s="311"/>
      <c r="BQ7" s="311"/>
      <c r="BR7" s="311"/>
      <c r="BS7" s="311"/>
      <c r="BT7" s="311"/>
      <c r="BU7" s="311"/>
      <c r="BV7" s="311"/>
      <c r="BW7" s="311"/>
      <c r="BX7" s="311"/>
      <c r="BY7" s="312"/>
      <c r="BZ7" s="309"/>
    </row>
    <row r="8" spans="1:81" s="310" customFormat="1">
      <c r="A8" s="306" t="s">
        <v>571</v>
      </c>
      <c r="B8" s="311">
        <v>3858</v>
      </c>
      <c r="C8" s="311">
        <v>4191</v>
      </c>
      <c r="D8" s="311">
        <v>4332</v>
      </c>
      <c r="E8" s="311">
        <v>12116</v>
      </c>
      <c r="F8" s="311">
        <v>12948</v>
      </c>
      <c r="G8" s="311">
        <v>10628</v>
      </c>
      <c r="H8" s="311">
        <v>10295</v>
      </c>
      <c r="I8" s="311">
        <v>8036</v>
      </c>
      <c r="J8" s="311">
        <v>9009</v>
      </c>
      <c r="K8" s="311">
        <v>9526</v>
      </c>
      <c r="L8" s="311">
        <v>10108</v>
      </c>
      <c r="M8" s="311">
        <v>10276</v>
      </c>
      <c r="N8" s="311">
        <v>10317</v>
      </c>
      <c r="O8" s="311">
        <v>10702</v>
      </c>
      <c r="P8" s="311">
        <v>11503</v>
      </c>
      <c r="Q8" s="311">
        <v>11496</v>
      </c>
      <c r="R8" s="311">
        <v>11705</v>
      </c>
      <c r="S8" s="311">
        <v>12603</v>
      </c>
      <c r="T8" s="311">
        <v>15339</v>
      </c>
      <c r="U8" s="311">
        <v>19441</v>
      </c>
      <c r="V8" s="311">
        <v>20961</v>
      </c>
      <c r="W8" s="311">
        <v>22349</v>
      </c>
      <c r="X8" s="311">
        <v>21529</v>
      </c>
      <c r="Y8" s="311">
        <v>20437</v>
      </c>
      <c r="Z8" s="311">
        <v>20804</v>
      </c>
      <c r="AA8" s="311">
        <v>21735</v>
      </c>
      <c r="AB8" s="311">
        <v>23958</v>
      </c>
      <c r="AC8" s="311">
        <v>26109</v>
      </c>
      <c r="AD8" s="311">
        <v>28733</v>
      </c>
      <c r="AE8" s="311">
        <v>32111</v>
      </c>
      <c r="AF8" s="311">
        <v>34734</v>
      </c>
      <c r="AG8" s="311">
        <v>38038</v>
      </c>
      <c r="AH8" s="311">
        <v>46372</v>
      </c>
      <c r="AI8" s="311">
        <v>55551</v>
      </c>
      <c r="AJ8" s="311">
        <v>62469</v>
      </c>
      <c r="AK8" s="311">
        <v>66544</v>
      </c>
      <c r="AL8" s="311">
        <v>70953</v>
      </c>
      <c r="AM8" s="311">
        <v>77812</v>
      </c>
      <c r="AN8" s="311">
        <v>74890</v>
      </c>
      <c r="AO8" s="311">
        <v>79610</v>
      </c>
      <c r="AP8" s="311">
        <v>81629</v>
      </c>
      <c r="AQ8" s="311">
        <v>86221</v>
      </c>
      <c r="AR8" s="311">
        <v>88409</v>
      </c>
      <c r="AS8" s="311">
        <v>117234</v>
      </c>
      <c r="AT8" s="311">
        <v>93791</v>
      </c>
      <c r="AU8" s="311">
        <v>89172</v>
      </c>
      <c r="AV8" s="311">
        <v>88640</v>
      </c>
      <c r="AW8" s="311">
        <v>93751</v>
      </c>
      <c r="AX8" s="311">
        <v>93658</v>
      </c>
      <c r="AY8" s="311">
        <v>92353</v>
      </c>
      <c r="AZ8" s="311">
        <v>97215</v>
      </c>
      <c r="BA8" s="311">
        <v>104992</v>
      </c>
      <c r="BB8" s="311">
        <v>108776</v>
      </c>
      <c r="BC8" s="311">
        <v>125238</v>
      </c>
      <c r="BD8" s="311">
        <v>133851</v>
      </c>
      <c r="BE8" s="311">
        <v>178316</v>
      </c>
      <c r="BF8" s="311">
        <v>189763</v>
      </c>
      <c r="BG8" s="311">
        <v>179215</v>
      </c>
      <c r="BH8" s="311">
        <v>213532</v>
      </c>
      <c r="BI8" s="311">
        <v>240252</v>
      </c>
      <c r="BJ8" s="311">
        <v>256223</v>
      </c>
      <c r="BK8" s="311">
        <v>271564</v>
      </c>
      <c r="BL8" s="311">
        <v>293630</v>
      </c>
      <c r="BM8" s="311">
        <v>305235</v>
      </c>
      <c r="BN8" s="311">
        <v>286775</v>
      </c>
      <c r="BO8" s="311">
        <v>258353</v>
      </c>
      <c r="BP8" s="311">
        <v>262453</v>
      </c>
      <c r="BQ8" s="311">
        <v>246572</v>
      </c>
      <c r="BR8" s="311">
        <v>245150</v>
      </c>
      <c r="BS8" s="311">
        <v>258707</v>
      </c>
      <c r="BT8" s="311">
        <v>262425</v>
      </c>
      <c r="BU8" s="311">
        <v>284553</v>
      </c>
      <c r="BV8" s="311">
        <v>241938</v>
      </c>
      <c r="BW8" s="311">
        <v>250044</v>
      </c>
      <c r="BX8" s="311">
        <v>257481</v>
      </c>
      <c r="BY8" s="312">
        <v>261132</v>
      </c>
      <c r="BZ8" s="309"/>
    </row>
    <row r="9" spans="1:81" s="310" customFormat="1">
      <c r="A9" s="306" t="s">
        <v>572</v>
      </c>
      <c r="B9" s="311">
        <v>3695</v>
      </c>
      <c r="C9" s="311">
        <v>1745</v>
      </c>
      <c r="D9" s="311">
        <v>3728</v>
      </c>
      <c r="E9" s="311">
        <v>22257</v>
      </c>
      <c r="F9" s="311">
        <v>29367</v>
      </c>
      <c r="G9" s="311">
        <v>20766</v>
      </c>
      <c r="H9" s="311">
        <v>9648</v>
      </c>
      <c r="I9" s="311">
        <v>6762</v>
      </c>
      <c r="J9" s="311">
        <v>8016</v>
      </c>
      <c r="K9" s="311">
        <v>9405</v>
      </c>
      <c r="L9" s="311">
        <v>9477</v>
      </c>
      <c r="M9" s="311">
        <v>12709</v>
      </c>
      <c r="N9" s="311">
        <v>11596</v>
      </c>
      <c r="O9" s="311">
        <v>11716</v>
      </c>
      <c r="P9" s="311">
        <v>15746</v>
      </c>
      <c r="Q9" s="311">
        <v>16647</v>
      </c>
      <c r="R9" s="311">
        <v>15645</v>
      </c>
      <c r="S9" s="311">
        <v>13836</v>
      </c>
      <c r="T9" s="311">
        <v>20013</v>
      </c>
      <c r="U9" s="311">
        <v>22871</v>
      </c>
      <c r="V9" s="311">
        <v>23408</v>
      </c>
      <c r="W9" s="311">
        <v>20543</v>
      </c>
      <c r="X9" s="311">
        <v>17867</v>
      </c>
      <c r="Y9" s="311">
        <v>15702</v>
      </c>
      <c r="Z9" s="311">
        <v>17777</v>
      </c>
      <c r="AA9" s="311">
        <v>17473</v>
      </c>
      <c r="AB9" s="311">
        <v>17028</v>
      </c>
      <c r="AC9" s="311">
        <v>16698</v>
      </c>
      <c r="AD9" s="311">
        <v>20991</v>
      </c>
      <c r="AE9" s="311">
        <v>27922</v>
      </c>
      <c r="AF9" s="311">
        <v>29529</v>
      </c>
      <c r="AG9" s="311">
        <v>31428</v>
      </c>
      <c r="AH9" s="311">
        <v>35283</v>
      </c>
      <c r="AI9" s="311">
        <v>48025</v>
      </c>
      <c r="AJ9" s="311">
        <v>64462</v>
      </c>
      <c r="AK9" s="311">
        <v>80355</v>
      </c>
      <c r="AL9" s="311">
        <v>86161</v>
      </c>
      <c r="AM9" s="311">
        <v>96842</v>
      </c>
      <c r="AN9" s="311">
        <v>92506</v>
      </c>
      <c r="AO9" s="311">
        <v>80234</v>
      </c>
      <c r="AP9" s="311">
        <v>80053</v>
      </c>
      <c r="AQ9" s="311">
        <v>79390</v>
      </c>
      <c r="AR9" s="311">
        <v>81376</v>
      </c>
      <c r="AS9" s="311">
        <v>71740</v>
      </c>
      <c r="AT9" s="311">
        <v>62952</v>
      </c>
      <c r="AU9" s="311">
        <v>52789</v>
      </c>
      <c r="AV9" s="311">
        <v>44141</v>
      </c>
      <c r="AW9" s="311">
        <v>43647</v>
      </c>
      <c r="AX9" s="311">
        <v>42572</v>
      </c>
      <c r="AY9" s="311">
        <v>42963</v>
      </c>
      <c r="AZ9" s="311">
        <v>44818</v>
      </c>
      <c r="BA9" s="311">
        <v>51112</v>
      </c>
      <c r="BB9" s="311">
        <v>54973</v>
      </c>
      <c r="BC9" s="311">
        <v>62607</v>
      </c>
      <c r="BD9" s="311">
        <v>62740</v>
      </c>
      <c r="BE9" s="311">
        <v>78490</v>
      </c>
      <c r="BF9" s="311">
        <v>83073</v>
      </c>
      <c r="BG9" s="311">
        <v>96614</v>
      </c>
      <c r="BH9" s="311">
        <v>105371</v>
      </c>
      <c r="BI9" s="311">
        <v>133772</v>
      </c>
      <c r="BJ9" s="311">
        <v>165006</v>
      </c>
      <c r="BK9" s="311">
        <v>135438</v>
      </c>
      <c r="BL9" s="311">
        <v>135817</v>
      </c>
      <c r="BM9" s="311">
        <v>131898</v>
      </c>
      <c r="BN9" s="311">
        <v>118316</v>
      </c>
      <c r="BO9" s="311">
        <v>97763</v>
      </c>
      <c r="BP9" s="311">
        <v>100405</v>
      </c>
      <c r="BQ9" s="311">
        <v>102110</v>
      </c>
      <c r="BR9" s="311">
        <v>118895</v>
      </c>
      <c r="BS9" s="311">
        <v>124337</v>
      </c>
      <c r="BT9" s="311">
        <v>125609</v>
      </c>
      <c r="BU9" s="311">
        <v>144545</v>
      </c>
      <c r="BV9" s="311">
        <v>132139</v>
      </c>
      <c r="BW9" s="311">
        <v>137596</v>
      </c>
      <c r="BX9" s="311">
        <v>141495</v>
      </c>
      <c r="BY9" s="312">
        <v>150121</v>
      </c>
      <c r="BZ9" s="309"/>
    </row>
    <row r="10" spans="1:81" s="310" customFormat="1">
      <c r="A10" s="306" t="s">
        <v>573</v>
      </c>
      <c r="B10" s="311">
        <v>461</v>
      </c>
      <c r="C10" s="311">
        <v>242</v>
      </c>
      <c r="D10" s="311">
        <v>610</v>
      </c>
      <c r="E10" s="311">
        <v>1254</v>
      </c>
      <c r="F10" s="311">
        <v>1755</v>
      </c>
      <c r="G10" s="311">
        <v>2233</v>
      </c>
      <c r="H10" s="311">
        <v>2290</v>
      </c>
      <c r="I10" s="311">
        <v>2335</v>
      </c>
      <c r="J10" s="311">
        <v>3340</v>
      </c>
      <c r="K10" s="311">
        <v>4220</v>
      </c>
      <c r="L10" s="311">
        <v>3964</v>
      </c>
      <c r="M10" s="311">
        <v>5278</v>
      </c>
      <c r="N10" s="311">
        <v>5725</v>
      </c>
      <c r="O10" s="311">
        <v>6033</v>
      </c>
      <c r="P10" s="311">
        <v>6402</v>
      </c>
      <c r="Q10" s="311">
        <v>6993</v>
      </c>
      <c r="R10" s="311">
        <v>6984</v>
      </c>
      <c r="S10" s="311">
        <v>6483</v>
      </c>
      <c r="T10" s="311">
        <v>6746</v>
      </c>
      <c r="U10" s="311">
        <v>7172</v>
      </c>
      <c r="V10" s="311">
        <v>7285</v>
      </c>
      <c r="W10" s="311">
        <v>7629</v>
      </c>
      <c r="X10" s="311">
        <v>7406</v>
      </c>
      <c r="Y10" s="311">
        <v>7066</v>
      </c>
      <c r="Z10" s="311">
        <v>7519</v>
      </c>
      <c r="AA10" s="311">
        <v>7960</v>
      </c>
      <c r="AB10" s="311">
        <v>8176</v>
      </c>
      <c r="AC10" s="311">
        <v>8572</v>
      </c>
      <c r="AD10" s="311">
        <v>9451</v>
      </c>
      <c r="AE10" s="311">
        <v>10439</v>
      </c>
      <c r="AF10" s="311">
        <v>11371</v>
      </c>
      <c r="AG10" s="311">
        <v>12437</v>
      </c>
      <c r="AH10" s="311">
        <v>13561</v>
      </c>
      <c r="AI10" s="311">
        <v>16609</v>
      </c>
      <c r="AJ10" s="311">
        <v>20060</v>
      </c>
      <c r="AK10" s="311">
        <v>22798</v>
      </c>
      <c r="AL10" s="311">
        <v>26867</v>
      </c>
      <c r="AM10" s="311">
        <v>31327</v>
      </c>
      <c r="AN10" s="311">
        <v>33609</v>
      </c>
      <c r="AO10" s="311">
        <v>35644</v>
      </c>
      <c r="AP10" s="311">
        <v>36521</v>
      </c>
      <c r="AQ10" s="311">
        <v>37530</v>
      </c>
      <c r="AR10" s="311">
        <v>36459</v>
      </c>
      <c r="AS10" s="311">
        <v>36193</v>
      </c>
      <c r="AT10" s="311">
        <v>36623</v>
      </c>
      <c r="AU10" s="311">
        <v>37974</v>
      </c>
      <c r="AV10" s="311">
        <v>34567</v>
      </c>
      <c r="AW10" s="311">
        <v>34522</v>
      </c>
      <c r="AX10" s="311">
        <v>34972</v>
      </c>
      <c r="AY10" s="311">
        <v>36404</v>
      </c>
      <c r="AZ10" s="311">
        <v>37089</v>
      </c>
      <c r="BA10" s="311">
        <v>38290</v>
      </c>
      <c r="BB10" s="311">
        <v>38706</v>
      </c>
      <c r="BC10" s="311">
        <v>41594</v>
      </c>
      <c r="BD10" s="311">
        <v>48718</v>
      </c>
      <c r="BE10" s="311">
        <v>58103</v>
      </c>
      <c r="BF10" s="311">
        <v>64641</v>
      </c>
      <c r="BG10" s="311">
        <v>68825</v>
      </c>
      <c r="BH10" s="311">
        <v>72855</v>
      </c>
      <c r="BI10" s="311">
        <v>77549</v>
      </c>
      <c r="BJ10" s="311">
        <v>79567</v>
      </c>
      <c r="BK10" s="311">
        <v>80005</v>
      </c>
      <c r="BL10" s="311">
        <v>80234</v>
      </c>
      <c r="BM10" s="311">
        <v>76687</v>
      </c>
      <c r="BN10" s="311">
        <v>72034</v>
      </c>
      <c r="BO10" s="311">
        <v>63347</v>
      </c>
      <c r="BP10" s="311">
        <v>63483</v>
      </c>
      <c r="BQ10" s="311">
        <v>63869</v>
      </c>
      <c r="BR10" s="311">
        <v>69543</v>
      </c>
      <c r="BS10" s="311">
        <v>74129</v>
      </c>
      <c r="BT10" s="311">
        <v>74853</v>
      </c>
      <c r="BU10" s="311">
        <v>92634</v>
      </c>
      <c r="BV10" s="311">
        <v>89926</v>
      </c>
      <c r="BW10" s="311">
        <v>90722</v>
      </c>
      <c r="BX10" s="311">
        <v>87426</v>
      </c>
      <c r="BY10" s="312">
        <v>85640</v>
      </c>
      <c r="BZ10" s="309"/>
    </row>
    <row r="11" spans="1:81" s="310" customFormat="1">
      <c r="A11" s="306" t="s">
        <v>574</v>
      </c>
      <c r="B11" s="311">
        <v>253</v>
      </c>
      <c r="C11" s="311">
        <v>127</v>
      </c>
      <c r="D11" s="311">
        <v>388</v>
      </c>
      <c r="E11" s="311">
        <v>2471</v>
      </c>
      <c r="F11" s="311">
        <v>4037</v>
      </c>
      <c r="G11" s="311">
        <v>2336</v>
      </c>
      <c r="H11" s="311">
        <v>313</v>
      </c>
      <c r="I11" s="311">
        <v>896</v>
      </c>
      <c r="J11" s="311">
        <v>1269</v>
      </c>
      <c r="K11" s="311">
        <v>1475</v>
      </c>
      <c r="L11" s="311">
        <v>2086</v>
      </c>
      <c r="M11" s="311">
        <v>1384</v>
      </c>
      <c r="N11" s="311">
        <v>1364</v>
      </c>
      <c r="O11" s="311">
        <v>1061</v>
      </c>
      <c r="P11" s="311">
        <v>787</v>
      </c>
      <c r="Q11" s="311">
        <v>1204</v>
      </c>
      <c r="R11" s="311">
        <v>949</v>
      </c>
      <c r="S11" s="311">
        <v>1049</v>
      </c>
      <c r="T11" s="311">
        <v>2566</v>
      </c>
      <c r="U11" s="311">
        <v>1098</v>
      </c>
      <c r="V11" s="311">
        <v>1543</v>
      </c>
      <c r="W11" s="311">
        <v>1168</v>
      </c>
      <c r="X11" s="311">
        <v>960</v>
      </c>
      <c r="Y11" s="311">
        <v>1322</v>
      </c>
      <c r="Z11" s="311">
        <v>1287</v>
      </c>
      <c r="AA11" s="311">
        <v>1356</v>
      </c>
      <c r="AB11" s="311">
        <v>1563</v>
      </c>
      <c r="AC11" s="311">
        <v>1927</v>
      </c>
      <c r="AD11" s="311">
        <v>2360</v>
      </c>
      <c r="AE11" s="311">
        <v>2204</v>
      </c>
      <c r="AF11" s="311">
        <v>1641</v>
      </c>
      <c r="AG11" s="311">
        <v>2319</v>
      </c>
      <c r="AH11" s="311">
        <v>2293</v>
      </c>
      <c r="AI11" s="311">
        <v>3398</v>
      </c>
      <c r="AJ11" s="311">
        <v>4916</v>
      </c>
      <c r="AK11" s="311">
        <v>4512</v>
      </c>
      <c r="AL11" s="311">
        <v>4510</v>
      </c>
      <c r="AM11" s="311">
        <v>5517</v>
      </c>
      <c r="AN11" s="311">
        <v>5281</v>
      </c>
      <c r="AO11" s="311">
        <v>5093</v>
      </c>
      <c r="AP11" s="311">
        <v>5349</v>
      </c>
      <c r="AQ11" s="311">
        <v>5738</v>
      </c>
      <c r="AR11" s="311">
        <v>5130</v>
      </c>
      <c r="AS11" s="311">
        <v>5188</v>
      </c>
      <c r="AT11" s="311">
        <v>5254</v>
      </c>
      <c r="AU11" s="311">
        <v>4554</v>
      </c>
      <c r="AV11" s="311">
        <v>6009</v>
      </c>
      <c r="AW11" s="311">
        <v>5426</v>
      </c>
      <c r="AX11" s="311">
        <v>6893</v>
      </c>
      <c r="AY11" s="311">
        <v>5718</v>
      </c>
      <c r="AZ11" s="311">
        <v>5466</v>
      </c>
      <c r="BA11" s="311">
        <v>5405</v>
      </c>
      <c r="BB11" s="311">
        <v>5106</v>
      </c>
      <c r="BC11" s="311">
        <v>5423</v>
      </c>
      <c r="BD11" s="311">
        <v>6631</v>
      </c>
      <c r="BE11" s="311">
        <v>6670</v>
      </c>
      <c r="BF11" s="311">
        <v>6137</v>
      </c>
      <c r="BG11" s="311">
        <v>7260</v>
      </c>
      <c r="BH11" s="311">
        <v>9530</v>
      </c>
      <c r="BI11" s="311">
        <v>13961</v>
      </c>
      <c r="BJ11" s="311">
        <v>22064</v>
      </c>
      <c r="BK11" s="311">
        <v>26815</v>
      </c>
      <c r="BL11" s="311">
        <v>22577</v>
      </c>
      <c r="BM11" s="311">
        <v>15991</v>
      </c>
      <c r="BN11" s="311">
        <v>11367</v>
      </c>
      <c r="BO11" s="311">
        <v>8068</v>
      </c>
      <c r="BP11" s="311">
        <v>8392</v>
      </c>
      <c r="BQ11" s="311">
        <v>5652</v>
      </c>
      <c r="BR11" s="311">
        <v>6927</v>
      </c>
      <c r="BS11" s="311">
        <v>6894</v>
      </c>
      <c r="BT11" s="311">
        <v>7080</v>
      </c>
      <c r="BU11" s="311">
        <v>9801</v>
      </c>
      <c r="BV11" s="311">
        <v>9850</v>
      </c>
      <c r="BW11" s="311">
        <v>9853</v>
      </c>
      <c r="BX11" s="311">
        <v>10485</v>
      </c>
      <c r="BY11" s="312">
        <v>10202</v>
      </c>
      <c r="BZ11" s="309"/>
    </row>
    <row r="12" spans="1:81" s="310" customFormat="1">
      <c r="A12" s="306" t="s">
        <v>575</v>
      </c>
      <c r="B12" s="311">
        <v>0</v>
      </c>
      <c r="C12" s="311">
        <v>0</v>
      </c>
      <c r="D12" s="311">
        <v>0</v>
      </c>
      <c r="E12" s="311">
        <v>0</v>
      </c>
      <c r="F12" s="311">
        <v>0</v>
      </c>
      <c r="G12" s="311">
        <v>0</v>
      </c>
      <c r="H12" s="311">
        <v>0</v>
      </c>
      <c r="I12" s="311">
        <v>75</v>
      </c>
      <c r="J12" s="311">
        <v>0</v>
      </c>
      <c r="K12" s="311">
        <v>75</v>
      </c>
      <c r="L12" s="311">
        <v>55</v>
      </c>
      <c r="M12" s="311">
        <v>57</v>
      </c>
      <c r="N12" s="311">
        <v>30</v>
      </c>
      <c r="O12" s="311">
        <v>30</v>
      </c>
      <c r="P12" s="311">
        <v>440</v>
      </c>
      <c r="Q12" s="311">
        <v>590</v>
      </c>
      <c r="R12" s="311">
        <v>644</v>
      </c>
      <c r="S12" s="311">
        <v>631</v>
      </c>
      <c r="T12" s="311">
        <v>666</v>
      </c>
      <c r="U12" s="311">
        <v>507</v>
      </c>
      <c r="V12" s="311">
        <v>612</v>
      </c>
      <c r="W12" s="311">
        <v>512</v>
      </c>
      <c r="X12" s="311">
        <v>604</v>
      </c>
      <c r="Y12" s="311">
        <v>717</v>
      </c>
      <c r="Z12" s="311">
        <v>860</v>
      </c>
      <c r="AA12" s="311">
        <v>967</v>
      </c>
      <c r="AB12" s="311">
        <v>1099</v>
      </c>
      <c r="AC12" s="311">
        <v>1157</v>
      </c>
      <c r="AD12" s="311">
        <v>1229</v>
      </c>
      <c r="AE12" s="311">
        <v>1258</v>
      </c>
      <c r="AF12" s="311">
        <v>1346</v>
      </c>
      <c r="AG12" s="311">
        <v>1563</v>
      </c>
      <c r="AH12" s="311">
        <v>1526</v>
      </c>
      <c r="AI12" s="311">
        <v>2004</v>
      </c>
      <c r="AJ12" s="311">
        <v>2203</v>
      </c>
      <c r="AK12" s="311">
        <v>2712</v>
      </c>
      <c r="AL12" s="311">
        <v>2669</v>
      </c>
      <c r="AM12" s="311">
        <v>2890</v>
      </c>
      <c r="AN12" s="311">
        <v>2803</v>
      </c>
      <c r="AO12" s="311">
        <v>3075</v>
      </c>
      <c r="AP12" s="311">
        <v>3199</v>
      </c>
      <c r="AQ12" s="311">
        <v>3276</v>
      </c>
      <c r="AR12" s="311">
        <v>3143</v>
      </c>
      <c r="AS12" s="311">
        <v>3296</v>
      </c>
      <c r="AT12" s="311">
        <v>3738</v>
      </c>
      <c r="AU12" s="311">
        <v>3941</v>
      </c>
      <c r="AV12" s="311">
        <v>3501</v>
      </c>
      <c r="AW12" s="311">
        <v>3393</v>
      </c>
      <c r="AX12" s="311">
        <v>4260</v>
      </c>
      <c r="AY12" s="311">
        <v>4131</v>
      </c>
      <c r="AZ12" s="311">
        <v>3828</v>
      </c>
      <c r="BA12" s="311">
        <v>3592</v>
      </c>
      <c r="BB12" s="311">
        <v>3543</v>
      </c>
      <c r="BC12" s="311">
        <v>3683</v>
      </c>
      <c r="BD12" s="311">
        <v>4048</v>
      </c>
      <c r="BE12" s="311">
        <v>4183</v>
      </c>
      <c r="BF12" s="311">
        <v>3829</v>
      </c>
      <c r="BG12" s="311">
        <v>4098</v>
      </c>
      <c r="BH12" s="311">
        <v>4426</v>
      </c>
      <c r="BI12" s="311">
        <v>4024</v>
      </c>
      <c r="BJ12" s="311">
        <v>2846</v>
      </c>
      <c r="BK12" s="311">
        <v>3848</v>
      </c>
      <c r="BL12" s="311">
        <v>2267</v>
      </c>
      <c r="BM12" s="311">
        <v>1833</v>
      </c>
      <c r="BN12" s="311">
        <v>1690</v>
      </c>
      <c r="BO12" s="311">
        <v>1489</v>
      </c>
      <c r="BP12" s="311">
        <v>1417</v>
      </c>
      <c r="BQ12" s="311">
        <v>1140</v>
      </c>
      <c r="BR12" s="311">
        <v>1253</v>
      </c>
      <c r="BS12" s="311">
        <v>1335</v>
      </c>
      <c r="BT12" s="311">
        <v>1276</v>
      </c>
      <c r="BU12" s="311">
        <v>1583</v>
      </c>
      <c r="BV12" s="311">
        <v>1379</v>
      </c>
      <c r="BW12" s="311">
        <v>1381</v>
      </c>
      <c r="BX12" s="311">
        <v>1471</v>
      </c>
      <c r="BY12" s="312">
        <v>1415</v>
      </c>
      <c r="BZ12" s="309"/>
    </row>
    <row r="13" spans="1:81" s="310" customFormat="1">
      <c r="A13" s="306" t="s">
        <v>576</v>
      </c>
      <c r="B13" s="311">
        <v>0</v>
      </c>
      <c r="C13" s="311">
        <v>0</v>
      </c>
      <c r="D13" s="311">
        <v>168</v>
      </c>
      <c r="E13" s="311">
        <v>574</v>
      </c>
      <c r="F13" s="311">
        <v>775</v>
      </c>
      <c r="G13" s="311">
        <v>360</v>
      </c>
      <c r="H13" s="311">
        <v>100</v>
      </c>
      <c r="I13" s="311">
        <v>1119</v>
      </c>
      <c r="J13" s="311">
        <v>0</v>
      </c>
      <c r="K13" s="311">
        <v>0</v>
      </c>
      <c r="L13" s="311">
        <v>75</v>
      </c>
      <c r="M13" s="311">
        <v>0</v>
      </c>
      <c r="N13" s="311">
        <v>0</v>
      </c>
      <c r="O13" s="311">
        <v>0</v>
      </c>
      <c r="P13" s="311">
        <v>325</v>
      </c>
      <c r="Q13" s="311">
        <v>1</v>
      </c>
      <c r="R13" s="311">
        <v>0</v>
      </c>
      <c r="S13" s="311">
        <v>0</v>
      </c>
      <c r="T13" s="311">
        <v>1383</v>
      </c>
      <c r="U13" s="311">
        <v>1014</v>
      </c>
      <c r="V13" s="311">
        <v>516</v>
      </c>
      <c r="W13" s="311">
        <v>961</v>
      </c>
      <c r="X13" s="311">
        <v>5</v>
      </c>
      <c r="Y13" s="311">
        <v>0</v>
      </c>
      <c r="Z13" s="311">
        <v>0</v>
      </c>
      <c r="AA13" s="311">
        <v>0</v>
      </c>
      <c r="AB13" s="311">
        <v>0</v>
      </c>
      <c r="AC13" s="311">
        <v>158</v>
      </c>
      <c r="AD13" s="311">
        <v>135</v>
      </c>
      <c r="AE13" s="311">
        <v>220</v>
      </c>
      <c r="AF13" s="311">
        <v>423</v>
      </c>
      <c r="AG13" s="311">
        <v>726</v>
      </c>
      <c r="AH13" s="311">
        <v>1336</v>
      </c>
      <c r="AI13" s="311">
        <v>2677</v>
      </c>
      <c r="AJ13" s="311">
        <v>2494</v>
      </c>
      <c r="AK13" s="311">
        <v>1075</v>
      </c>
      <c r="AL13" s="311">
        <v>2774</v>
      </c>
      <c r="AM13" s="311">
        <v>5088</v>
      </c>
      <c r="AN13" s="311">
        <v>5235</v>
      </c>
      <c r="AO13" s="311">
        <v>2612</v>
      </c>
      <c r="AP13" s="311">
        <v>1246</v>
      </c>
      <c r="AQ13" s="311">
        <v>897</v>
      </c>
      <c r="AR13" s="311">
        <v>466</v>
      </c>
      <c r="AS13" s="311">
        <v>2701</v>
      </c>
      <c r="AT13" s="311">
        <v>4587</v>
      </c>
      <c r="AU13" s="311">
        <v>4503</v>
      </c>
      <c r="AV13" s="311">
        <v>4054</v>
      </c>
      <c r="AW13" s="311">
        <v>5260</v>
      </c>
      <c r="AX13" s="311">
        <v>3061</v>
      </c>
      <c r="AY13" s="311">
        <v>7534</v>
      </c>
      <c r="AZ13" s="311">
        <v>2591</v>
      </c>
      <c r="BA13" s="311">
        <v>5381</v>
      </c>
      <c r="BB13" s="311">
        <v>7314</v>
      </c>
      <c r="BC13" s="311">
        <v>5333</v>
      </c>
      <c r="BD13" s="311">
        <v>4389</v>
      </c>
      <c r="BE13" s="311">
        <v>4154</v>
      </c>
      <c r="BF13" s="311">
        <v>7977</v>
      </c>
      <c r="BG13" s="311">
        <v>7880</v>
      </c>
      <c r="BH13" s="311">
        <v>4754</v>
      </c>
      <c r="BI13" s="311">
        <v>2836</v>
      </c>
      <c r="BJ13" s="311">
        <v>10296</v>
      </c>
      <c r="BK13" s="311">
        <v>-1217</v>
      </c>
      <c r="BL13" s="311">
        <v>5639</v>
      </c>
      <c r="BM13" s="311">
        <v>2832</v>
      </c>
      <c r="BN13" s="311">
        <v>7311</v>
      </c>
      <c r="BO13" s="311">
        <v>4482</v>
      </c>
      <c r="BP13" s="311">
        <v>11290</v>
      </c>
      <c r="BQ13" s="311">
        <v>7478</v>
      </c>
      <c r="BR13" s="311">
        <v>9305</v>
      </c>
      <c r="BS13" s="311">
        <v>15134</v>
      </c>
      <c r="BT13" s="311">
        <v>1928</v>
      </c>
      <c r="BU13" s="311">
        <v>1557</v>
      </c>
      <c r="BV13" s="311">
        <v>242</v>
      </c>
      <c r="BW13" s="311">
        <v>273</v>
      </c>
      <c r="BX13" s="311">
        <v>239</v>
      </c>
      <c r="BY13" s="312">
        <v>235</v>
      </c>
      <c r="BZ13" s="309"/>
    </row>
    <row r="14" spans="1:81" s="314" customFormat="1">
      <c r="A14" s="306" t="s">
        <v>577</v>
      </c>
      <c r="B14" s="311">
        <v>-943</v>
      </c>
      <c r="C14" s="311">
        <v>-572</v>
      </c>
      <c r="D14" s="311">
        <v>-212</v>
      </c>
      <c r="E14" s="311">
        <v>-189</v>
      </c>
      <c r="F14" s="311">
        <v>-183</v>
      </c>
      <c r="G14" s="311">
        <v>-206</v>
      </c>
      <c r="H14" s="311">
        <v>-273</v>
      </c>
      <c r="I14" s="311">
        <v>-362</v>
      </c>
      <c r="J14" s="311">
        <v>-396</v>
      </c>
      <c r="K14" s="311">
        <v>-339</v>
      </c>
      <c r="L14" s="311">
        <v>224</v>
      </c>
      <c r="M14" s="311">
        <v>234</v>
      </c>
      <c r="N14" s="311">
        <v>279</v>
      </c>
      <c r="O14" s="311">
        <v>65</v>
      </c>
      <c r="P14" s="311">
        <v>101</v>
      </c>
      <c r="Q14" s="311">
        <v>-109</v>
      </c>
      <c r="R14" s="311">
        <v>-183</v>
      </c>
      <c r="S14" s="311">
        <v>-200</v>
      </c>
      <c r="T14" s="311">
        <v>-231</v>
      </c>
      <c r="U14" s="311">
        <v>-143</v>
      </c>
      <c r="V14" s="311">
        <v>-157</v>
      </c>
      <c r="W14" s="311">
        <v>-133</v>
      </c>
      <c r="X14" s="311">
        <v>-140</v>
      </c>
      <c r="Y14" s="311">
        <v>-119</v>
      </c>
      <c r="Z14" s="311">
        <v>-106</v>
      </c>
      <c r="AA14" s="311">
        <v>-105</v>
      </c>
      <c r="AB14" s="311">
        <v>-152</v>
      </c>
      <c r="AC14" s="311">
        <v>-174</v>
      </c>
      <c r="AD14" s="311">
        <v>-147</v>
      </c>
      <c r="AE14" s="311">
        <v>-172</v>
      </c>
      <c r="AF14" s="311">
        <v>-148</v>
      </c>
      <c r="AG14" s="311">
        <v>-492</v>
      </c>
      <c r="AH14" s="311">
        <v>-727</v>
      </c>
      <c r="AI14" s="311">
        <v>-649</v>
      </c>
      <c r="AJ14" s="311">
        <v>-714</v>
      </c>
      <c r="AK14" s="311">
        <v>-365</v>
      </c>
      <c r="AL14" s="311">
        <v>-650</v>
      </c>
      <c r="AM14" s="311">
        <v>-447</v>
      </c>
      <c r="AN14" s="311">
        <v>-729</v>
      </c>
      <c r="AO14" s="311">
        <v>-809</v>
      </c>
      <c r="AP14" s="311">
        <v>-827</v>
      </c>
      <c r="AQ14" s="311">
        <v>-693</v>
      </c>
      <c r="AR14" s="311">
        <v>-859</v>
      </c>
      <c r="AS14" s="311">
        <v>-44358</v>
      </c>
      <c r="AT14" s="311">
        <v>-6283</v>
      </c>
      <c r="AU14" s="311">
        <v>-1504</v>
      </c>
      <c r="AV14" s="311">
        <v>-914</v>
      </c>
      <c r="AW14" s="311">
        <v>-1828</v>
      </c>
      <c r="AX14" s="311">
        <v>-622</v>
      </c>
      <c r="AY14" s="311">
        <v>-1436</v>
      </c>
      <c r="AZ14" s="311">
        <v>-2245</v>
      </c>
      <c r="BA14" s="311">
        <v>-827</v>
      </c>
      <c r="BB14" s="311">
        <v>-1721</v>
      </c>
      <c r="BC14" s="311">
        <v>-1338</v>
      </c>
      <c r="BD14" s="311">
        <v>-1702</v>
      </c>
      <c r="BE14" s="311">
        <v>-1178</v>
      </c>
      <c r="BF14" s="311">
        <v>-521</v>
      </c>
      <c r="BG14" s="311">
        <v>-1259</v>
      </c>
      <c r="BH14" s="311">
        <v>-2489</v>
      </c>
      <c r="BI14" s="311">
        <v>-1905</v>
      </c>
      <c r="BJ14" s="311">
        <v>-1549</v>
      </c>
      <c r="BK14" s="311">
        <v>-1219</v>
      </c>
      <c r="BL14" s="311">
        <v>-1590</v>
      </c>
      <c r="BM14" s="311">
        <v>-2086</v>
      </c>
      <c r="BN14" s="311">
        <v>-456</v>
      </c>
      <c r="BO14" s="311">
        <v>-1672</v>
      </c>
      <c r="BP14" s="311">
        <v>-1886</v>
      </c>
      <c r="BQ14" s="311">
        <v>-1837</v>
      </c>
      <c r="BR14" s="311">
        <v>-794</v>
      </c>
      <c r="BS14" s="311">
        <v>-444</v>
      </c>
      <c r="BT14" s="311">
        <v>-1168</v>
      </c>
      <c r="BU14" s="311">
        <v>-1134</v>
      </c>
      <c r="BV14" s="311">
        <v>-928</v>
      </c>
      <c r="BW14" s="311">
        <v>-1178</v>
      </c>
      <c r="BX14" s="311">
        <v>-1146</v>
      </c>
      <c r="BY14" s="312">
        <v>-1428</v>
      </c>
      <c r="BZ14" s="313"/>
    </row>
    <row r="15" spans="1:81" s="310" customFormat="1">
      <c r="A15" s="310" t="s">
        <v>578</v>
      </c>
      <c r="B15" s="311"/>
      <c r="C15" s="311"/>
      <c r="D15" s="311"/>
      <c r="E15" s="311"/>
      <c r="F15" s="311"/>
      <c r="G15" s="311"/>
      <c r="H15" s="311"/>
      <c r="I15" s="311"/>
      <c r="J15" s="311"/>
      <c r="K15" s="311"/>
      <c r="L15" s="311"/>
      <c r="M15" s="311"/>
      <c r="N15" s="311"/>
      <c r="O15" s="311"/>
      <c r="P15" s="311"/>
      <c r="Q15" s="311"/>
      <c r="R15" s="311"/>
      <c r="S15" s="311"/>
      <c r="T15" s="311"/>
      <c r="U15" s="311"/>
      <c r="V15" s="311"/>
      <c r="W15" s="311"/>
      <c r="X15" s="311"/>
      <c r="Y15" s="311"/>
      <c r="Z15" s="311"/>
      <c r="AA15" s="311"/>
      <c r="AB15" s="311"/>
      <c r="AC15" s="311"/>
      <c r="AD15" s="311"/>
      <c r="AE15" s="311"/>
      <c r="AF15" s="311"/>
      <c r="AG15" s="311"/>
      <c r="AH15" s="311"/>
      <c r="AI15" s="311"/>
      <c r="AJ15" s="311"/>
      <c r="AK15" s="311"/>
      <c r="AL15" s="311"/>
      <c r="AM15" s="311"/>
      <c r="AN15" s="311"/>
      <c r="AO15" s="311"/>
      <c r="AP15" s="311"/>
      <c r="AQ15" s="311"/>
      <c r="AR15" s="311"/>
      <c r="AS15" s="311"/>
      <c r="AT15" s="311"/>
      <c r="AU15" s="311"/>
      <c r="AV15" s="311"/>
      <c r="AW15" s="311"/>
      <c r="AX15" s="311"/>
      <c r="AY15" s="311"/>
      <c r="AZ15" s="311"/>
      <c r="BA15" s="311"/>
      <c r="BB15" s="311"/>
      <c r="BC15" s="311"/>
      <c r="BD15" s="311"/>
      <c r="BE15" s="311"/>
      <c r="BF15" s="311"/>
      <c r="BG15" s="311"/>
      <c r="BH15" s="311"/>
      <c r="BI15" s="311"/>
      <c r="BJ15" s="311"/>
      <c r="BK15" s="311"/>
      <c r="BL15" s="311"/>
      <c r="BM15" s="311"/>
      <c r="BN15" s="311"/>
      <c r="BO15" s="311"/>
      <c r="BP15" s="311"/>
      <c r="BQ15" s="311"/>
      <c r="BR15" s="311"/>
      <c r="BS15" s="311"/>
      <c r="BT15" s="311"/>
      <c r="BU15" s="311"/>
      <c r="BV15" s="311">
        <v>53000</v>
      </c>
      <c r="BW15" s="311">
        <v>45800</v>
      </c>
      <c r="BX15" s="311">
        <v>45800</v>
      </c>
      <c r="BY15" s="312">
        <v>45800</v>
      </c>
      <c r="BZ15" s="309"/>
      <c r="CA15" s="309"/>
      <c r="CB15" s="309"/>
      <c r="CC15" s="309"/>
    </row>
    <row r="16" spans="1:81" s="310" customFormat="1">
      <c r="A16" s="310" t="s">
        <v>579</v>
      </c>
      <c r="B16" s="315"/>
      <c r="C16" s="315"/>
      <c r="D16" s="315"/>
      <c r="E16" s="315"/>
      <c r="F16" s="315"/>
      <c r="G16" s="315"/>
      <c r="H16" s="315"/>
      <c r="I16" s="315"/>
      <c r="J16" s="315"/>
      <c r="K16" s="315"/>
      <c r="L16" s="315"/>
      <c r="M16" s="315"/>
      <c r="N16" s="315"/>
      <c r="O16" s="315"/>
      <c r="P16" s="315"/>
      <c r="Q16" s="315"/>
      <c r="R16" s="315"/>
      <c r="S16" s="315"/>
      <c r="T16" s="315"/>
      <c r="U16" s="315"/>
      <c r="V16" s="315"/>
      <c r="W16" s="315"/>
      <c r="X16" s="315"/>
      <c r="Y16" s="315"/>
      <c r="Z16" s="315"/>
      <c r="AA16" s="315"/>
      <c r="AB16" s="315"/>
      <c r="AC16" s="315"/>
      <c r="AD16" s="315"/>
      <c r="AE16" s="315"/>
      <c r="AF16" s="315"/>
      <c r="AG16" s="315"/>
      <c r="AH16" s="315"/>
      <c r="AI16" s="315"/>
      <c r="AJ16" s="315"/>
      <c r="AK16" s="315"/>
      <c r="AL16" s="315"/>
      <c r="AM16" s="315"/>
      <c r="AN16" s="315"/>
      <c r="AO16" s="315"/>
      <c r="AP16" s="315"/>
      <c r="AQ16" s="315"/>
      <c r="AR16" s="315">
        <v>2028</v>
      </c>
      <c r="AS16" s="315">
        <v>35843</v>
      </c>
      <c r="AT16" s="315">
        <v>12597</v>
      </c>
      <c r="AU16" s="315"/>
      <c r="AV16" s="315"/>
      <c r="AW16" s="315"/>
      <c r="AX16" s="315"/>
      <c r="AY16" s="315"/>
      <c r="AZ16" s="315"/>
      <c r="BA16" s="315"/>
      <c r="BB16" s="315"/>
      <c r="BC16" s="311">
        <v>28774</v>
      </c>
      <c r="BD16" s="311">
        <v>16870</v>
      </c>
      <c r="BE16" s="311">
        <v>72536</v>
      </c>
      <c r="BF16" s="311">
        <v>91089</v>
      </c>
      <c r="BG16" s="311">
        <v>78842</v>
      </c>
      <c r="BH16" s="311">
        <v>123916</v>
      </c>
      <c r="BI16" s="311">
        <v>169409</v>
      </c>
      <c r="BJ16" s="311">
        <v>186908</v>
      </c>
      <c r="BK16" s="311">
        <v>153124</v>
      </c>
      <c r="BL16" s="311">
        <v>163045</v>
      </c>
      <c r="BM16" s="311">
        <v>158788</v>
      </c>
      <c r="BN16" s="311">
        <v>115083</v>
      </c>
      <c r="BO16" s="311">
        <v>82086</v>
      </c>
      <c r="BP16" s="311">
        <v>85154</v>
      </c>
      <c r="BQ16" s="311">
        <v>63095</v>
      </c>
      <c r="BR16" s="311">
        <v>58942</v>
      </c>
      <c r="BS16" s="311">
        <v>82490</v>
      </c>
      <c r="BT16" s="311">
        <v>88117</v>
      </c>
      <c r="BU16" s="311">
        <v>69000</v>
      </c>
      <c r="BV16" s="315">
        <v>20000</v>
      </c>
      <c r="BW16" s="315">
        <v>20000</v>
      </c>
      <c r="BX16" s="315">
        <v>20000</v>
      </c>
      <c r="BY16" s="316">
        <v>20000</v>
      </c>
      <c r="BZ16" s="309"/>
      <c r="CA16" s="309"/>
      <c r="CB16" s="309"/>
      <c r="CC16" s="309"/>
    </row>
    <row r="17" spans="1:81" s="314" customFormat="1">
      <c r="A17" s="317" t="s">
        <v>580</v>
      </c>
      <c r="B17" s="318">
        <v>11800</v>
      </c>
      <c r="C17" s="318">
        <v>10433</v>
      </c>
      <c r="D17" s="318">
        <v>14086</v>
      </c>
      <c r="E17" s="318">
        <v>47534</v>
      </c>
      <c r="F17" s="318">
        <v>60196</v>
      </c>
      <c r="G17" s="318">
        <v>48603</v>
      </c>
      <c r="H17" s="318">
        <v>34319</v>
      </c>
      <c r="I17" s="318">
        <v>30425</v>
      </c>
      <c r="J17" s="318">
        <v>32791</v>
      </c>
      <c r="K17" s="318">
        <v>35916</v>
      </c>
      <c r="L17" s="318">
        <v>36971</v>
      </c>
      <c r="M17" s="318">
        <v>41402</v>
      </c>
      <c r="N17" s="318">
        <v>40907</v>
      </c>
      <c r="O17" s="318">
        <v>41386</v>
      </c>
      <c r="P17" s="318">
        <v>48014</v>
      </c>
      <c r="Q17" s="318">
        <v>49560</v>
      </c>
      <c r="R17" s="318">
        <v>49627</v>
      </c>
      <c r="S17" s="318">
        <v>49058</v>
      </c>
      <c r="T17" s="318">
        <v>63555</v>
      </c>
      <c r="U17" s="318">
        <v>72177</v>
      </c>
      <c r="V17" s="318">
        <v>76286</v>
      </c>
      <c r="W17" s="318">
        <v>76905</v>
      </c>
      <c r="X17" s="318">
        <v>74083</v>
      </c>
      <c r="Y17" s="318">
        <v>71159</v>
      </c>
      <c r="Z17" s="318">
        <v>75006</v>
      </c>
      <c r="AA17" s="318">
        <v>77555</v>
      </c>
      <c r="AB17" s="318">
        <v>80991</v>
      </c>
      <c r="AC17" s="318">
        <v>85661</v>
      </c>
      <c r="AD17" s="318">
        <v>95508</v>
      </c>
      <c r="AE17" s="318">
        <v>108338</v>
      </c>
      <c r="AF17" s="318">
        <v>115322</v>
      </c>
      <c r="AG17" s="318">
        <v>125004</v>
      </c>
      <c r="AH17" s="318">
        <v>142621</v>
      </c>
      <c r="AI17" s="318">
        <v>178365</v>
      </c>
      <c r="AJ17" s="318">
        <v>213751</v>
      </c>
      <c r="AK17" s="318">
        <v>239474</v>
      </c>
      <c r="AL17" s="318">
        <v>258150</v>
      </c>
      <c r="AM17" s="318">
        <v>286802</v>
      </c>
      <c r="AN17" s="318">
        <v>281390</v>
      </c>
      <c r="AO17" s="318">
        <v>279469</v>
      </c>
      <c r="AP17" s="318">
        <v>283755</v>
      </c>
      <c r="AQ17" s="318">
        <v>290837</v>
      </c>
      <c r="AR17" s="318">
        <v>292999</v>
      </c>
      <c r="AS17" s="318">
        <v>276208</v>
      </c>
      <c r="AT17" s="318">
        <v>281883</v>
      </c>
      <c r="AU17" s="318">
        <v>267402</v>
      </c>
      <c r="AV17" s="318">
        <v>251364</v>
      </c>
      <c r="AW17" s="318">
        <v>255727</v>
      </c>
      <c r="AX17" s="318">
        <v>254569</v>
      </c>
      <c r="AY17" s="318">
        <v>258006</v>
      </c>
      <c r="AZ17" s="318">
        <v>258583</v>
      </c>
      <c r="BA17" s="318">
        <v>278595</v>
      </c>
      <c r="BB17" s="318">
        <v>290534</v>
      </c>
      <c r="BC17" s="318">
        <v>319428</v>
      </c>
      <c r="BD17" s="318">
        <v>345632</v>
      </c>
      <c r="BE17" s="318">
        <v>437801</v>
      </c>
      <c r="BF17" s="318">
        <v>471011</v>
      </c>
      <c r="BG17" s="318">
        <v>483913</v>
      </c>
      <c r="BH17" s="318">
        <v>536462</v>
      </c>
      <c r="BI17" s="318">
        <v>602246</v>
      </c>
      <c r="BJ17" s="318">
        <v>673487</v>
      </c>
      <c r="BK17" s="318">
        <v>664524</v>
      </c>
      <c r="BL17" s="318">
        <v>695673</v>
      </c>
      <c r="BM17" s="318">
        <v>690781</v>
      </c>
      <c r="BN17" s="318">
        <v>655388</v>
      </c>
      <c r="BO17" s="318">
        <v>585361</v>
      </c>
      <c r="BP17" s="318">
        <v>595740</v>
      </c>
      <c r="BQ17" s="318">
        <v>570844</v>
      </c>
      <c r="BR17" s="318">
        <v>595724</v>
      </c>
      <c r="BS17" s="318">
        <v>626239</v>
      </c>
      <c r="BT17" s="318">
        <v>618643</v>
      </c>
      <c r="BU17" s="318">
        <v>695066</v>
      </c>
      <c r="BV17" s="318">
        <v>710149</v>
      </c>
      <c r="BW17" s="318">
        <v>722813</v>
      </c>
      <c r="BX17" s="318">
        <v>736536</v>
      </c>
      <c r="BY17" s="319">
        <v>750780</v>
      </c>
      <c r="BZ17" s="313"/>
    </row>
    <row r="18" spans="1:81" s="314" customFormat="1">
      <c r="A18" s="320" t="s">
        <v>581</v>
      </c>
      <c r="B18" s="325">
        <f t="shared" ref="B18:BB18" si="0">SUM(B6:B15)-B16</f>
        <v>11800</v>
      </c>
      <c r="C18" s="325">
        <f t="shared" si="0"/>
        <v>10433</v>
      </c>
      <c r="D18" s="325">
        <f t="shared" si="0"/>
        <v>14085</v>
      </c>
      <c r="E18" s="325">
        <f t="shared" si="0"/>
        <v>47534</v>
      </c>
      <c r="F18" s="325">
        <f t="shared" si="0"/>
        <v>60196</v>
      </c>
      <c r="G18" s="325">
        <f t="shared" si="0"/>
        <v>48604</v>
      </c>
      <c r="H18" s="325">
        <f t="shared" si="0"/>
        <v>34319</v>
      </c>
      <c r="I18" s="325">
        <f t="shared" si="0"/>
        <v>30425</v>
      </c>
      <c r="J18" s="325">
        <f t="shared" si="0"/>
        <v>32791</v>
      </c>
      <c r="K18" s="325">
        <f t="shared" si="0"/>
        <v>35915</v>
      </c>
      <c r="L18" s="325">
        <f t="shared" si="0"/>
        <v>36971</v>
      </c>
      <c r="M18" s="325">
        <f t="shared" si="0"/>
        <v>41401</v>
      </c>
      <c r="N18" s="325">
        <f t="shared" si="0"/>
        <v>40907</v>
      </c>
      <c r="O18" s="325">
        <f t="shared" si="0"/>
        <v>41386</v>
      </c>
      <c r="P18" s="325">
        <f t="shared" si="0"/>
        <v>48014</v>
      </c>
      <c r="Q18" s="325">
        <f t="shared" si="0"/>
        <v>49561</v>
      </c>
      <c r="R18" s="325">
        <f t="shared" si="0"/>
        <v>49627</v>
      </c>
      <c r="S18" s="325">
        <f t="shared" si="0"/>
        <v>49058</v>
      </c>
      <c r="T18" s="325">
        <f t="shared" si="0"/>
        <v>63555</v>
      </c>
      <c r="U18" s="325">
        <f t="shared" si="0"/>
        <v>72176</v>
      </c>
      <c r="V18" s="325">
        <f t="shared" si="0"/>
        <v>76286</v>
      </c>
      <c r="W18" s="325">
        <f t="shared" si="0"/>
        <v>76906</v>
      </c>
      <c r="X18" s="325">
        <f t="shared" si="0"/>
        <v>74084</v>
      </c>
      <c r="Y18" s="325">
        <f t="shared" si="0"/>
        <v>71159</v>
      </c>
      <c r="Z18" s="325">
        <f t="shared" si="0"/>
        <v>75006</v>
      </c>
      <c r="AA18" s="325">
        <f t="shared" si="0"/>
        <v>77555</v>
      </c>
      <c r="AB18" s="325">
        <f t="shared" si="0"/>
        <v>80990</v>
      </c>
      <c r="AC18" s="325">
        <f t="shared" si="0"/>
        <v>85661</v>
      </c>
      <c r="AD18" s="325">
        <f t="shared" si="0"/>
        <v>95508</v>
      </c>
      <c r="AE18" s="325">
        <f t="shared" si="0"/>
        <v>108338</v>
      </c>
      <c r="AF18" s="325">
        <f t="shared" si="0"/>
        <v>115322</v>
      </c>
      <c r="AG18" s="325">
        <f t="shared" si="0"/>
        <v>125005</v>
      </c>
      <c r="AH18" s="325">
        <f t="shared" si="0"/>
        <v>142623</v>
      </c>
      <c r="AI18" s="325">
        <f t="shared" si="0"/>
        <v>178364</v>
      </c>
      <c r="AJ18" s="325">
        <f t="shared" si="0"/>
        <v>213751</v>
      </c>
      <c r="AK18" s="325">
        <f t="shared" si="0"/>
        <v>239474</v>
      </c>
      <c r="AL18" s="325">
        <f t="shared" si="0"/>
        <v>258150</v>
      </c>
      <c r="AM18" s="325">
        <f t="shared" si="0"/>
        <v>286802</v>
      </c>
      <c r="AN18" s="325">
        <f t="shared" si="0"/>
        <v>281389</v>
      </c>
      <c r="AO18" s="325">
        <f t="shared" si="0"/>
        <v>279469</v>
      </c>
      <c r="AP18" s="325">
        <f t="shared" si="0"/>
        <v>283754</v>
      </c>
      <c r="AQ18" s="325">
        <f t="shared" si="0"/>
        <v>290836</v>
      </c>
      <c r="AR18" s="325">
        <f t="shared" si="0"/>
        <v>290972</v>
      </c>
      <c r="AS18" s="325">
        <f t="shared" si="0"/>
        <v>240364</v>
      </c>
      <c r="AT18" s="325">
        <f t="shared" si="0"/>
        <v>269286</v>
      </c>
      <c r="AU18" s="325">
        <f t="shared" si="0"/>
        <v>267403</v>
      </c>
      <c r="AV18" s="325">
        <f t="shared" si="0"/>
        <v>251363</v>
      </c>
      <c r="AW18" s="325">
        <f t="shared" si="0"/>
        <v>255728</v>
      </c>
      <c r="AX18" s="325">
        <f t="shared" si="0"/>
        <v>254569</v>
      </c>
      <c r="AY18" s="325">
        <f t="shared" si="0"/>
        <v>258005</v>
      </c>
      <c r="AZ18" s="325">
        <f t="shared" si="0"/>
        <v>258583</v>
      </c>
      <c r="BA18" s="325">
        <f t="shared" si="0"/>
        <v>278595</v>
      </c>
      <c r="BB18" s="325">
        <f t="shared" si="0"/>
        <v>290535</v>
      </c>
      <c r="BC18" s="325">
        <f t="shared" ref="BC18:BU18" si="1">SUM(BC6:BC15)-BC16</f>
        <v>290654</v>
      </c>
      <c r="BD18" s="325">
        <f t="shared" si="1"/>
        <v>328762</v>
      </c>
      <c r="BE18" s="325">
        <f t="shared" si="1"/>
        <v>365264</v>
      </c>
      <c r="BF18" s="325">
        <f t="shared" si="1"/>
        <v>379921</v>
      </c>
      <c r="BG18" s="325">
        <f t="shared" si="1"/>
        <v>405070</v>
      </c>
      <c r="BH18" s="325">
        <f t="shared" si="1"/>
        <v>412546</v>
      </c>
      <c r="BI18" s="325">
        <f t="shared" si="1"/>
        <v>432836</v>
      </c>
      <c r="BJ18" s="325">
        <f t="shared" si="1"/>
        <v>486578</v>
      </c>
      <c r="BK18" s="325">
        <f t="shared" si="1"/>
        <v>511400</v>
      </c>
      <c r="BL18" s="325">
        <f t="shared" si="1"/>
        <v>532629</v>
      </c>
      <c r="BM18" s="325">
        <f t="shared" si="1"/>
        <v>531991</v>
      </c>
      <c r="BN18" s="325">
        <f t="shared" si="1"/>
        <v>540306</v>
      </c>
      <c r="BO18" s="325">
        <f t="shared" si="1"/>
        <v>503275</v>
      </c>
      <c r="BP18" s="325">
        <f t="shared" si="1"/>
        <v>510586</v>
      </c>
      <c r="BQ18" s="325">
        <f t="shared" si="1"/>
        <v>507748</v>
      </c>
      <c r="BR18" s="325">
        <f t="shared" si="1"/>
        <v>536783</v>
      </c>
      <c r="BS18" s="325">
        <f t="shared" si="1"/>
        <v>543749</v>
      </c>
      <c r="BT18" s="325">
        <f t="shared" si="1"/>
        <v>530527</v>
      </c>
      <c r="BU18" s="325">
        <f t="shared" si="1"/>
        <v>626066</v>
      </c>
      <c r="BV18" s="325">
        <f>SUM(BV6:BV15)</f>
        <v>690150</v>
      </c>
      <c r="BW18" s="325">
        <f>SUM(BW6:BW15)</f>
        <v>702813</v>
      </c>
      <c r="BX18" s="325">
        <f>SUM(BX6:BX15)</f>
        <v>716535</v>
      </c>
      <c r="BY18" s="325">
        <f>SUM(BY6:BY15)</f>
        <v>730780</v>
      </c>
      <c r="BZ18" s="313"/>
    </row>
    <row r="19" spans="1:81" s="305" customFormat="1" ht="15" customHeight="1">
      <c r="A19" s="323" t="s">
        <v>582</v>
      </c>
    </row>
    <row r="20" spans="1:81" s="328" customFormat="1" ht="15.5" customHeight="1">
      <c r="A20" s="326" t="s">
        <v>569</v>
      </c>
      <c r="B20" s="327">
        <f t="shared" ref="B20:BM23" si="2">B6/B$3</f>
        <v>37212.018878304523</v>
      </c>
      <c r="C20" s="327">
        <f t="shared" si="2"/>
        <v>38994.319712745521</v>
      </c>
      <c r="D20" s="327">
        <f t="shared" si="2"/>
        <v>42376.982731501979</v>
      </c>
      <c r="E20" s="327">
        <f t="shared" si="2"/>
        <v>71612.680625832247</v>
      </c>
      <c r="F20" s="327">
        <f t="shared" si="2"/>
        <v>88172.679299191339</v>
      </c>
      <c r="G20" s="327">
        <f t="shared" si="2"/>
        <v>94188.340193904878</v>
      </c>
      <c r="H20" s="327">
        <f t="shared" si="2"/>
        <v>88703.786412243673</v>
      </c>
      <c r="I20" s="327">
        <f t="shared" si="2"/>
        <v>84826.775760525692</v>
      </c>
      <c r="J20" s="327">
        <f t="shared" si="2"/>
        <v>82071.851708705653</v>
      </c>
      <c r="K20" s="327">
        <f t="shared" si="2"/>
        <v>78975.943453007087</v>
      </c>
      <c r="L20" s="327">
        <f t="shared" si="2"/>
        <v>72334.98392896782</v>
      </c>
      <c r="M20" s="327">
        <f t="shared" si="2"/>
        <v>74031.477880285092</v>
      </c>
      <c r="N20" s="327">
        <f t="shared" si="2"/>
        <v>73408.600963114164</v>
      </c>
      <c r="O20" s="327">
        <f t="shared" si="2"/>
        <v>73132.214165792218</v>
      </c>
      <c r="P20" s="327">
        <f t="shared" si="2"/>
        <v>77647.034421789707</v>
      </c>
      <c r="Q20" s="327">
        <f t="shared" si="2"/>
        <v>76227.501051084342</v>
      </c>
      <c r="R20" s="327">
        <f t="shared" si="2"/>
        <v>81362.888339406578</v>
      </c>
      <c r="S20" s="327">
        <f t="shared" si="2"/>
        <v>83772.437912509617</v>
      </c>
      <c r="T20" s="327">
        <f t="shared" si="2"/>
        <v>95698.515896841243</v>
      </c>
      <c r="U20" s="327">
        <f t="shared" si="2"/>
        <v>110300.21393201525</v>
      </c>
      <c r="V20" s="327">
        <f t="shared" si="2"/>
        <v>116164.09152131724</v>
      </c>
      <c r="W20" s="327">
        <f t="shared" si="2"/>
        <v>118864.11898159642</v>
      </c>
      <c r="X20" s="327">
        <f t="shared" si="2"/>
        <v>121068.47765898965</v>
      </c>
      <c r="Y20" s="327">
        <f t="shared" si="2"/>
        <v>113459.55397328723</v>
      </c>
      <c r="Z20" s="327">
        <f t="shared" si="2"/>
        <v>109836.69685703806</v>
      </c>
      <c r="AA20" s="327">
        <f t="shared" si="2"/>
        <v>108782.24660486291</v>
      </c>
      <c r="AB20" s="327">
        <f t="shared" si="2"/>
        <v>103459.9963713981</v>
      </c>
      <c r="AC20" s="327">
        <f t="shared" si="2"/>
        <v>96863.217770685893</v>
      </c>
      <c r="AD20" s="327">
        <f t="shared" si="2"/>
        <v>92264.567843779951</v>
      </c>
      <c r="AE20" s="327">
        <f t="shared" si="2"/>
        <v>88397.266411861419</v>
      </c>
      <c r="AF20" s="327">
        <f t="shared" si="2"/>
        <v>86402.825370955979</v>
      </c>
      <c r="AG20" s="327">
        <f t="shared" si="2"/>
        <v>84260.086941673202</v>
      </c>
      <c r="AH20" s="327">
        <f t="shared" si="2"/>
        <v>83751.130182914567</v>
      </c>
      <c r="AI20" s="327">
        <f t="shared" si="2"/>
        <v>90780.518821272868</v>
      </c>
      <c r="AJ20" s="327">
        <f t="shared" si="2"/>
        <v>98682.160231669695</v>
      </c>
      <c r="AK20" s="327">
        <f t="shared" si="2"/>
        <v>100726.67431169821</v>
      </c>
      <c r="AL20" s="327">
        <f t="shared" si="2"/>
        <v>102984.73859493108</v>
      </c>
      <c r="AM20" s="327">
        <f t="shared" si="2"/>
        <v>139689.90901177854</v>
      </c>
      <c r="AN20" s="327">
        <f t="shared" si="2"/>
        <v>136617.47792095147</v>
      </c>
      <c r="AO20" s="327">
        <f t="shared" si="2"/>
        <v>145886.56488376489</v>
      </c>
      <c r="AP20" s="327">
        <f t="shared" si="2"/>
        <v>146236.00245090263</v>
      </c>
      <c r="AQ20" s="327">
        <f t="shared" si="2"/>
        <v>144109.99220668449</v>
      </c>
      <c r="AR20" s="327">
        <f t="shared" si="2"/>
        <v>139779.88144165237</v>
      </c>
      <c r="AS20" s="327">
        <f t="shared" si="2"/>
        <v>144122.3803154229</v>
      </c>
      <c r="AT20" s="327">
        <f t="shared" si="2"/>
        <v>135679.57208969569</v>
      </c>
      <c r="AU20" s="327">
        <f t="shared" si="2"/>
        <v>123971.70947816382</v>
      </c>
      <c r="AV20" s="327">
        <f t="shared" si="2"/>
        <v>113971.12672648762</v>
      </c>
      <c r="AW20" s="327">
        <f t="shared" si="2"/>
        <v>111906.55078306189</v>
      </c>
      <c r="AX20" s="327">
        <f t="shared" si="2"/>
        <v>107115.2149515897</v>
      </c>
      <c r="AY20" s="327">
        <f t="shared" si="2"/>
        <v>106106.36638563628</v>
      </c>
      <c r="AZ20" s="327">
        <f t="shared" si="2"/>
        <v>104042.6362368077</v>
      </c>
      <c r="BA20" s="327">
        <f t="shared" si="2"/>
        <v>103958.97906268029</v>
      </c>
      <c r="BB20" s="327">
        <f t="shared" si="2"/>
        <v>106446.6647339612</v>
      </c>
      <c r="BC20" s="327">
        <f t="shared" si="2"/>
        <v>108242.5710855878</v>
      </c>
      <c r="BD20" s="327">
        <f t="shared" si="2"/>
        <v>120477.38764797225</v>
      </c>
      <c r="BE20" s="327">
        <f t="shared" si="2"/>
        <v>148266.35628975634</v>
      </c>
      <c r="BF20" s="327">
        <f t="shared" si="2"/>
        <v>154037.00929581764</v>
      </c>
      <c r="BG20" s="327">
        <f t="shared" si="2"/>
        <v>155984.32666420029</v>
      </c>
      <c r="BH20" s="327">
        <f t="shared" si="2"/>
        <v>160053.11052015514</v>
      </c>
      <c r="BI20" s="327">
        <f t="shared" si="2"/>
        <v>159782.83301878019</v>
      </c>
      <c r="BJ20" s="327">
        <f t="shared" si="2"/>
        <v>165190.04579062355</v>
      </c>
      <c r="BK20" s="327">
        <f t="shared" si="2"/>
        <v>175330.54597731354</v>
      </c>
      <c r="BL20" s="327">
        <f t="shared" si="2"/>
        <v>182899.12275348839</v>
      </c>
      <c r="BM20" s="327">
        <f t="shared" si="2"/>
        <v>180729.39969512195</v>
      </c>
      <c r="BN20" s="327">
        <f t="shared" ref="BN20:BY31" si="3">BN6/BN$3</f>
        <v>177432.83076570471</v>
      </c>
      <c r="BO20" s="327">
        <f t="shared" si="3"/>
        <v>169172.97179972392</v>
      </c>
      <c r="BP20" s="327">
        <f t="shared" si="3"/>
        <v>162534.00561162725</v>
      </c>
      <c r="BQ20" s="327">
        <f t="shared" si="3"/>
        <v>155970.62781818182</v>
      </c>
      <c r="BR20" s="327">
        <f t="shared" si="3"/>
        <v>153744.93891480271</v>
      </c>
      <c r="BS20" s="327">
        <f t="shared" si="3"/>
        <v>151882.00885774076</v>
      </c>
      <c r="BT20" s="327">
        <f t="shared" si="3"/>
        <v>149524.52844707458</v>
      </c>
      <c r="BU20" s="327">
        <f t="shared" si="3"/>
        <v>161527</v>
      </c>
      <c r="BV20" s="327">
        <f t="shared" si="3"/>
        <v>159252.98854304088</v>
      </c>
      <c r="BW20" s="327">
        <f t="shared" si="3"/>
        <v>161355.17272938401</v>
      </c>
      <c r="BX20" s="327">
        <f t="shared" si="3"/>
        <v>162593.35652954146</v>
      </c>
      <c r="BY20" s="327">
        <f t="shared" si="3"/>
        <v>163141.29317194122</v>
      </c>
    </row>
    <row r="21" spans="1:81" s="328" customFormat="1">
      <c r="A21" s="326" t="s">
        <v>570</v>
      </c>
      <c r="B21" s="327">
        <f t="shared" si="2"/>
        <v>1514.0905146950224</v>
      </c>
      <c r="C21" s="327">
        <f t="shared" si="2"/>
        <v>1669.8255390636532</v>
      </c>
      <c r="D21" s="327">
        <f t="shared" si="2"/>
        <v>1559.5700044306595</v>
      </c>
      <c r="E21" s="327">
        <f t="shared" si="2"/>
        <v>2812.2099866844214</v>
      </c>
      <c r="F21" s="327">
        <f t="shared" si="2"/>
        <v>2727.7236691374651</v>
      </c>
      <c r="G21" s="327">
        <f t="shared" si="2"/>
        <v>2772.0723371165741</v>
      </c>
      <c r="H21" s="327">
        <f t="shared" si="2"/>
        <v>2969.838683410183</v>
      </c>
      <c r="I21" s="327">
        <f t="shared" si="2"/>
        <v>3228.5954149428089</v>
      </c>
      <c r="J21" s="327">
        <f t="shared" si="2"/>
        <v>3673.8620542421145</v>
      </c>
      <c r="K21" s="327">
        <f t="shared" si="2"/>
        <v>3684.7808369540357</v>
      </c>
      <c r="L21" s="327">
        <f t="shared" si="2"/>
        <v>3937.9679200887908</v>
      </c>
      <c r="M21" s="327">
        <f t="shared" si="2"/>
        <v>4377.7276026408999</v>
      </c>
      <c r="N21" s="327">
        <f t="shared" si="2"/>
        <v>4823.743193514073</v>
      </c>
      <c r="O21" s="327">
        <f t="shared" si="2"/>
        <v>5257.4801338589368</v>
      </c>
      <c r="P21" s="327">
        <f t="shared" si="2"/>
        <v>6058.9713034814695</v>
      </c>
      <c r="Q21" s="327">
        <f t="shared" si="2"/>
        <v>6677.1464252038368</v>
      </c>
      <c r="R21" s="327">
        <f t="shared" si="2"/>
        <v>7895.1897969807405</v>
      </c>
      <c r="S21" s="327">
        <f t="shared" si="2"/>
        <v>8840.4345356868798</v>
      </c>
      <c r="T21" s="327">
        <f t="shared" si="2"/>
        <v>9895.7943149322036</v>
      </c>
      <c r="U21" s="327">
        <f t="shared" si="2"/>
        <v>11037.824096477991</v>
      </c>
      <c r="V21" s="327">
        <f t="shared" si="2"/>
        <v>12154.211243927464</v>
      </c>
      <c r="W21" s="327">
        <f t="shared" si="2"/>
        <v>13591.12761958796</v>
      </c>
      <c r="X21" s="327">
        <f t="shared" si="2"/>
        <v>15047.345472902476</v>
      </c>
      <c r="Y21" s="327">
        <f t="shared" si="2"/>
        <v>16991.624233688864</v>
      </c>
      <c r="Z21" s="327">
        <f t="shared" si="2"/>
        <v>18658.463440136973</v>
      </c>
      <c r="AA21" s="327">
        <f t="shared" si="2"/>
        <v>20365.437662527966</v>
      </c>
      <c r="AB21" s="327">
        <f t="shared" si="2"/>
        <v>22051.658927838442</v>
      </c>
      <c r="AC21" s="327">
        <f t="shared" si="2"/>
        <v>24255.577225676305</v>
      </c>
      <c r="AD21" s="327">
        <f t="shared" si="2"/>
        <v>26580.032403599369</v>
      </c>
      <c r="AE21" s="327">
        <f t="shared" si="2"/>
        <v>27881.793426024749</v>
      </c>
      <c r="AF21" s="327">
        <f t="shared" si="2"/>
        <v>29111.720505959624</v>
      </c>
      <c r="AG21" s="327">
        <f t="shared" si="2"/>
        <v>30186.617218451924</v>
      </c>
      <c r="AH21" s="327">
        <f t="shared" si="2"/>
        <v>32310.642698090305</v>
      </c>
      <c r="AI21" s="327">
        <f t="shared" si="2"/>
        <v>34040.542428307905</v>
      </c>
      <c r="AJ21" s="327">
        <f t="shared" si="2"/>
        <v>34492.148180333577</v>
      </c>
      <c r="AK21" s="327">
        <f t="shared" si="2"/>
        <v>35616.341785709257</v>
      </c>
      <c r="AL21" s="327">
        <f t="shared" si="2"/>
        <v>35141.68147203746</v>
      </c>
      <c r="AM21" s="327">
        <f t="shared" si="2"/>
        <v>0</v>
      </c>
      <c r="AN21" s="327">
        <f t="shared" si="2"/>
        <v>0</v>
      </c>
      <c r="AO21" s="327">
        <f t="shared" si="2"/>
        <v>0</v>
      </c>
      <c r="AP21" s="327">
        <f t="shared" si="2"/>
        <v>0</v>
      </c>
      <c r="AQ21" s="327">
        <f t="shared" si="2"/>
        <v>0</v>
      </c>
      <c r="AR21" s="327">
        <f t="shared" si="2"/>
        <v>0</v>
      </c>
      <c r="AS21" s="327">
        <f t="shared" si="2"/>
        <v>0</v>
      </c>
      <c r="AT21" s="327">
        <f t="shared" si="2"/>
        <v>0</v>
      </c>
      <c r="AU21" s="327">
        <f t="shared" si="2"/>
        <v>0</v>
      </c>
      <c r="AV21" s="327">
        <f t="shared" si="2"/>
        <v>0</v>
      </c>
      <c r="AW21" s="327">
        <f t="shared" si="2"/>
        <v>0</v>
      </c>
      <c r="AX21" s="327">
        <f t="shared" si="2"/>
        <v>0</v>
      </c>
      <c r="AY21" s="327">
        <f t="shared" si="2"/>
        <v>0</v>
      </c>
      <c r="AZ21" s="327">
        <f t="shared" si="2"/>
        <v>0</v>
      </c>
      <c r="BA21" s="327">
        <f t="shared" si="2"/>
        <v>0</v>
      </c>
      <c r="BB21" s="327">
        <f t="shared" si="2"/>
        <v>0</v>
      </c>
      <c r="BC21" s="327">
        <f t="shared" si="2"/>
        <v>0</v>
      </c>
      <c r="BD21" s="327">
        <f t="shared" si="2"/>
        <v>0</v>
      </c>
      <c r="BE21" s="327">
        <f t="shared" si="2"/>
        <v>0</v>
      </c>
      <c r="BF21" s="327">
        <f t="shared" si="2"/>
        <v>0</v>
      </c>
      <c r="BG21" s="327">
        <f t="shared" si="2"/>
        <v>0</v>
      </c>
      <c r="BH21" s="327">
        <f t="shared" si="2"/>
        <v>0</v>
      </c>
      <c r="BI21" s="327">
        <f t="shared" si="2"/>
        <v>0</v>
      </c>
      <c r="BJ21" s="327">
        <f t="shared" si="2"/>
        <v>0</v>
      </c>
      <c r="BK21" s="327">
        <f t="shared" si="2"/>
        <v>0</v>
      </c>
      <c r="BL21" s="327">
        <f t="shared" si="2"/>
        <v>0</v>
      </c>
      <c r="BM21" s="327">
        <f t="shared" si="2"/>
        <v>0</v>
      </c>
      <c r="BN21" s="327">
        <f t="shared" si="3"/>
        <v>0</v>
      </c>
      <c r="BO21" s="327">
        <f t="shared" si="3"/>
        <v>0</v>
      </c>
      <c r="BP21" s="327">
        <f t="shared" si="3"/>
        <v>0</v>
      </c>
      <c r="BQ21" s="327">
        <f t="shared" si="3"/>
        <v>0</v>
      </c>
      <c r="BR21" s="327">
        <f t="shared" si="3"/>
        <v>0</v>
      </c>
      <c r="BS21" s="327">
        <f t="shared" si="3"/>
        <v>0</v>
      </c>
      <c r="BT21" s="327">
        <f t="shared" si="3"/>
        <v>0</v>
      </c>
      <c r="BU21" s="327">
        <f t="shared" si="3"/>
        <v>0</v>
      </c>
      <c r="BV21" s="327">
        <f t="shared" si="3"/>
        <v>0</v>
      </c>
      <c r="BW21" s="327">
        <f t="shared" si="3"/>
        <v>0</v>
      </c>
      <c r="BX21" s="327">
        <f t="shared" si="3"/>
        <v>0</v>
      </c>
      <c r="BY21" s="327">
        <f t="shared" si="3"/>
        <v>0</v>
      </c>
    </row>
    <row r="22" spans="1:81" s="328" customFormat="1">
      <c r="A22" s="326" t="s">
        <v>571</v>
      </c>
      <c r="B22" s="327">
        <f t="shared" si="2"/>
        <v>33379.206889676549</v>
      </c>
      <c r="C22" s="327">
        <f t="shared" si="2"/>
        <v>36260.304840496217</v>
      </c>
      <c r="D22" s="327">
        <f t="shared" si="2"/>
        <v>37533.651439964538</v>
      </c>
      <c r="E22" s="327">
        <f t="shared" si="2"/>
        <v>99627.88362183758</v>
      </c>
      <c r="F22" s="327">
        <f t="shared" si="2"/>
        <v>102372.65526954173</v>
      </c>
      <c r="G22" s="327">
        <f t="shared" si="2"/>
        <v>82525.447615896206</v>
      </c>
      <c r="H22" s="327">
        <f t="shared" si="2"/>
        <v>79003.84818012359</v>
      </c>
      <c r="I22" s="327">
        <f t="shared" si="2"/>
        <v>61191.020647359466</v>
      </c>
      <c r="J22" s="327">
        <f t="shared" si="2"/>
        <v>66864.289387206474</v>
      </c>
      <c r="K22" s="327">
        <f t="shared" si="2"/>
        <v>68157.713112279889</v>
      </c>
      <c r="L22" s="327">
        <f t="shared" si="2"/>
        <v>70202.7861309656</v>
      </c>
      <c r="M22" s="327">
        <f t="shared" si="2"/>
        <v>70289.888819902946</v>
      </c>
      <c r="N22" s="327">
        <f t="shared" si="2"/>
        <v>69603.578360118452</v>
      </c>
      <c r="O22" s="327">
        <f t="shared" si="2"/>
        <v>71222.218218428272</v>
      </c>
      <c r="P22" s="327">
        <f t="shared" si="2"/>
        <v>75756.89880863842</v>
      </c>
      <c r="Q22" s="327">
        <f t="shared" si="2"/>
        <v>74815.278074213755</v>
      </c>
      <c r="R22" s="327">
        <f t="shared" si="2"/>
        <v>75255.04606975535</v>
      </c>
      <c r="S22" s="327">
        <f t="shared" si="2"/>
        <v>79639.740138142777</v>
      </c>
      <c r="T22" s="327">
        <f t="shared" si="2"/>
        <v>94869.743122965665</v>
      </c>
      <c r="U22" s="327">
        <f t="shared" si="2"/>
        <v>116686.42645983068</v>
      </c>
      <c r="V22" s="327">
        <f t="shared" si="2"/>
        <v>121605.92930022128</v>
      </c>
      <c r="W22" s="327">
        <f t="shared" si="2"/>
        <v>123978.82088578421</v>
      </c>
      <c r="X22" s="327">
        <f t="shared" si="2"/>
        <v>113350.00024006907</v>
      </c>
      <c r="Y22" s="327">
        <f t="shared" si="2"/>
        <v>102405.72824060729</v>
      </c>
      <c r="Z22" s="327">
        <f t="shared" si="2"/>
        <v>99505.42768741594</v>
      </c>
      <c r="AA22" s="327">
        <f t="shared" si="2"/>
        <v>99649.434397803998</v>
      </c>
      <c r="AB22" s="327">
        <f t="shared" si="2"/>
        <v>102565.2581233068</v>
      </c>
      <c r="AC22" s="327">
        <f t="shared" si="2"/>
        <v>101310.00892420135</v>
      </c>
      <c r="AD22" s="327">
        <f t="shared" si="2"/>
        <v>104248.43994712266</v>
      </c>
      <c r="AE22" s="327">
        <f t="shared" si="2"/>
        <v>108680.78037182333</v>
      </c>
      <c r="AF22" s="327">
        <f t="shared" si="2"/>
        <v>110148.85621503285</v>
      </c>
      <c r="AG22" s="327">
        <f t="shared" si="2"/>
        <v>111663.76988772482</v>
      </c>
      <c r="AH22" s="327">
        <f t="shared" si="2"/>
        <v>125224.33123241484</v>
      </c>
      <c r="AI22" s="327">
        <f t="shared" si="2"/>
        <v>136631.94887535641</v>
      </c>
      <c r="AJ22" s="327">
        <f t="shared" si="2"/>
        <v>143780.1951606338</v>
      </c>
      <c r="AK22" s="327">
        <f t="shared" si="2"/>
        <v>146707.14006736223</v>
      </c>
      <c r="AL22" s="327">
        <f t="shared" si="2"/>
        <v>151088.14915381896</v>
      </c>
      <c r="AM22" s="327">
        <f t="shared" si="2"/>
        <v>160381.73313892717</v>
      </c>
      <c r="AN22" s="327">
        <f t="shared" si="2"/>
        <v>150917.23340561194</v>
      </c>
      <c r="AO22" s="327">
        <f t="shared" si="2"/>
        <v>156925.13755433756</v>
      </c>
      <c r="AP22" s="327">
        <f t="shared" si="2"/>
        <v>155869.35448742207</v>
      </c>
      <c r="AQ22" s="327">
        <f t="shared" si="2"/>
        <v>158330.56357980738</v>
      </c>
      <c r="AR22" s="327">
        <f t="shared" si="2"/>
        <v>156673.76056563522</v>
      </c>
      <c r="AS22" s="327">
        <f t="shared" si="2"/>
        <v>200634.61857312161</v>
      </c>
      <c r="AT22" s="327">
        <f t="shared" si="2"/>
        <v>156677.74031179925</v>
      </c>
      <c r="AU22" s="327">
        <f t="shared" si="2"/>
        <v>145507.74314353362</v>
      </c>
      <c r="AV22" s="327">
        <f t="shared" si="2"/>
        <v>141559.59746424525</v>
      </c>
      <c r="AW22" s="327">
        <f t="shared" si="2"/>
        <v>146615.30028456802</v>
      </c>
      <c r="AX22" s="327">
        <f t="shared" si="2"/>
        <v>143779.24474290202</v>
      </c>
      <c r="AY22" s="327">
        <f t="shared" si="2"/>
        <v>139316.46129848258</v>
      </c>
      <c r="AZ22" s="327">
        <f t="shared" si="2"/>
        <v>144863.363196764</v>
      </c>
      <c r="BA22" s="327">
        <f t="shared" si="2"/>
        <v>154492.01882164087</v>
      </c>
      <c r="BB22" s="327">
        <f t="shared" si="2"/>
        <v>156814.13910319027</v>
      </c>
      <c r="BC22" s="327">
        <f t="shared" si="2"/>
        <v>176309.47765082776</v>
      </c>
      <c r="BD22" s="327">
        <f t="shared" si="2"/>
        <v>185448.19639671026</v>
      </c>
      <c r="BE22" s="327">
        <f t="shared" si="2"/>
        <v>242414.98953039732</v>
      </c>
      <c r="BF22" s="327">
        <f t="shared" si="2"/>
        <v>251746.38918795157</v>
      </c>
      <c r="BG22" s="327">
        <f t="shared" si="2"/>
        <v>230499.3535824393</v>
      </c>
      <c r="BH22" s="327">
        <f t="shared" si="2"/>
        <v>265999.86609582411</v>
      </c>
      <c r="BI22" s="327">
        <f t="shared" si="2"/>
        <v>291357.85238188755</v>
      </c>
      <c r="BJ22" s="327">
        <f t="shared" si="2"/>
        <v>304427.64741184423</v>
      </c>
      <c r="BK22" s="327">
        <f t="shared" si="2"/>
        <v>318932.71074943512</v>
      </c>
      <c r="BL22" s="327">
        <f t="shared" si="2"/>
        <v>341850.21905860468</v>
      </c>
      <c r="BM22" s="327">
        <f t="shared" si="2"/>
        <v>348287.68611419067</v>
      </c>
      <c r="BN22" s="327">
        <f t="shared" si="3"/>
        <v>321330.32764243562</v>
      </c>
      <c r="BO22" s="327">
        <f t="shared" si="3"/>
        <v>284674.39659335295</v>
      </c>
      <c r="BP22" s="327">
        <f t="shared" si="3"/>
        <v>284031.3835829465</v>
      </c>
      <c r="BQ22" s="327">
        <f t="shared" si="3"/>
        <v>263665.52384415583</v>
      </c>
      <c r="BR22" s="327">
        <f t="shared" si="3"/>
        <v>259137.90530481335</v>
      </c>
      <c r="BS22" s="327">
        <f t="shared" si="3"/>
        <v>268859.01773939619</v>
      </c>
      <c r="BT22" s="327">
        <f t="shared" si="3"/>
        <v>267585.289091888</v>
      </c>
      <c r="BU22" s="327">
        <f t="shared" si="3"/>
        <v>284553</v>
      </c>
      <c r="BV22" s="327">
        <f t="shared" si="3"/>
        <v>236952.04018428957</v>
      </c>
      <c r="BW22" s="327">
        <f t="shared" si="3"/>
        <v>239694.70900979132</v>
      </c>
      <c r="BX22" s="327">
        <f t="shared" si="3"/>
        <v>241595.87747618282</v>
      </c>
      <c r="BY22" s="327">
        <f t="shared" si="3"/>
        <v>239787.75641847402</v>
      </c>
    </row>
    <row r="23" spans="1:81" s="328" customFormat="1">
      <c r="A23" s="326" t="s">
        <v>572</v>
      </c>
      <c r="B23" s="327">
        <f t="shared" si="2"/>
        <v>31968.939724560612</v>
      </c>
      <c r="C23" s="327">
        <f t="shared" si="2"/>
        <v>15097.645417958936</v>
      </c>
      <c r="D23" s="327">
        <f t="shared" si="2"/>
        <v>32300.42764731944</v>
      </c>
      <c r="E23" s="327">
        <f t="shared" si="2"/>
        <v>183015.66571238355</v>
      </c>
      <c r="F23" s="327">
        <f t="shared" si="2"/>
        <v>232188.58258423171</v>
      </c>
      <c r="G23" s="327">
        <f t="shared" si="2"/>
        <v>161246.09006320106</v>
      </c>
      <c r="H23" s="327">
        <f t="shared" si="2"/>
        <v>74038.769037574792</v>
      </c>
      <c r="I23" s="327">
        <f t="shared" si="2"/>
        <v>51490.005178875646</v>
      </c>
      <c r="J23" s="327">
        <f t="shared" si="2"/>
        <v>59494.299448090482</v>
      </c>
      <c r="K23" s="327">
        <f t="shared" si="2"/>
        <v>67291.968488451865</v>
      </c>
      <c r="L23" s="327">
        <f t="shared" si="2"/>
        <v>65820.320950055509</v>
      </c>
      <c r="M23" s="327">
        <f t="shared" si="2"/>
        <v>86932.093909317497</v>
      </c>
      <c r="N23" s="327">
        <f t="shared" si="2"/>
        <v>78232.344156628242</v>
      </c>
      <c r="O23" s="327">
        <f t="shared" si="2"/>
        <v>77970.426896571269</v>
      </c>
      <c r="P23" s="327">
        <f t="shared" si="2"/>
        <v>103700.61102676003</v>
      </c>
      <c r="Q23" s="327">
        <f t="shared" si="2"/>
        <v>108337.6769399301</v>
      </c>
      <c r="R23" s="327">
        <f t="shared" si="2"/>
        <v>100586.51821967727</v>
      </c>
      <c r="S23" s="327">
        <f t="shared" si="2"/>
        <v>87431.202455871098</v>
      </c>
      <c r="T23" s="327">
        <f t="shared" si="2"/>
        <v>123777.83226546136</v>
      </c>
      <c r="U23" s="327">
        <f t="shared" si="2"/>
        <v>137273.55895081465</v>
      </c>
      <c r="V23" s="327">
        <f t="shared" si="2"/>
        <v>135802.28009444108</v>
      </c>
      <c r="W23" s="327">
        <f t="shared" si="2"/>
        <v>113960.21824048794</v>
      </c>
      <c r="X23" s="327">
        <f t="shared" si="2"/>
        <v>94069.601667021881</v>
      </c>
      <c r="Y23" s="327">
        <f t="shared" si="2"/>
        <v>78679.588238685508</v>
      </c>
      <c r="Z23" s="327">
        <f t="shared" si="2"/>
        <v>85027.301864987181</v>
      </c>
      <c r="AA23" s="327">
        <f t="shared" si="2"/>
        <v>80109.250850371711</v>
      </c>
      <c r="AB23" s="327">
        <f t="shared" si="2"/>
        <v>72897.621476069296</v>
      </c>
      <c r="AC23" s="327">
        <f t="shared" si="2"/>
        <v>64792.773718499906</v>
      </c>
      <c r="AD23" s="327">
        <f t="shared" si="2"/>
        <v>76159.08547419525</v>
      </c>
      <c r="AE23" s="327">
        <f t="shared" si="2"/>
        <v>94502.966258978267</v>
      </c>
      <c r="AF23" s="327">
        <f t="shared" si="2"/>
        <v>93642.700960836795</v>
      </c>
      <c r="AG23" s="327">
        <f t="shared" si="2"/>
        <v>92259.555182486351</v>
      </c>
      <c r="AH23" s="327">
        <f t="shared" si="2"/>
        <v>95279.265049454261</v>
      </c>
      <c r="AI23" s="327">
        <f t="shared" si="2"/>
        <v>118121.17414158145</v>
      </c>
      <c r="AJ23" s="327">
        <f t="shared" si="2"/>
        <v>148367.33324440566</v>
      </c>
      <c r="AK23" s="327">
        <f t="shared" si="2"/>
        <v>177155.75018202831</v>
      </c>
      <c r="AL23" s="327">
        <f t="shared" si="2"/>
        <v>183472.24245968732</v>
      </c>
      <c r="AM23" s="327">
        <f t="shared" si="2"/>
        <v>199605.30253225705</v>
      </c>
      <c r="AN23" s="327">
        <f t="shared" si="2"/>
        <v>186416.73912965067</v>
      </c>
      <c r="AO23" s="327">
        <f t="shared" si="2"/>
        <v>158155.14993762993</v>
      </c>
      <c r="AP23" s="327">
        <f t="shared" si="2"/>
        <v>152860.00606134583</v>
      </c>
      <c r="AQ23" s="327">
        <f t="shared" si="2"/>
        <v>145786.56525209529</v>
      </c>
      <c r="AR23" s="327">
        <f t="shared" si="2"/>
        <v>144210.24940661166</v>
      </c>
      <c r="AS23" s="327">
        <f t="shared" si="2"/>
        <v>122776.05077397123</v>
      </c>
      <c r="AT23" s="327">
        <f t="shared" si="2"/>
        <v>105161.23197437267</v>
      </c>
      <c r="AU23" s="327">
        <f t="shared" si="2"/>
        <v>86139.239366662136</v>
      </c>
      <c r="AV23" s="327">
        <f t="shared" si="2"/>
        <v>70493.932667748755</v>
      </c>
      <c r="AW23" s="327">
        <f t="shared" si="2"/>
        <v>68258.664030469445</v>
      </c>
      <c r="AX23" s="327">
        <f t="shared" si="2"/>
        <v>65354.481274368714</v>
      </c>
      <c r="AY23" s="327">
        <f t="shared" si="2"/>
        <v>64810.597671615513</v>
      </c>
      <c r="AZ23" s="327">
        <f t="shared" si="2"/>
        <v>66784.819336034241</v>
      </c>
      <c r="BA23" s="327">
        <f t="shared" si="2"/>
        <v>75209.502305049042</v>
      </c>
      <c r="BB23" s="327">
        <f t="shared" si="2"/>
        <v>79250.419843712574</v>
      </c>
      <c r="BC23" s="327">
        <f t="shared" si="2"/>
        <v>88137.84528086822</v>
      </c>
      <c r="BD23" s="327">
        <f t="shared" si="2"/>
        <v>86925.161873498146</v>
      </c>
      <c r="BE23" s="327">
        <f t="shared" si="2"/>
        <v>106704.68453891341</v>
      </c>
      <c r="BF23" s="327">
        <f t="shared" si="2"/>
        <v>110207.6157576066</v>
      </c>
      <c r="BG23" s="327">
        <f t="shared" si="2"/>
        <v>124261.16422740166</v>
      </c>
      <c r="BH23" s="327">
        <f t="shared" si="2"/>
        <v>131262.1615981824</v>
      </c>
      <c r="BI23" s="327">
        <f t="shared" si="2"/>
        <v>162227.6718979649</v>
      </c>
      <c r="BJ23" s="327">
        <f t="shared" si="2"/>
        <v>196049.48965876899</v>
      </c>
      <c r="BK23" s="327">
        <f t="shared" si="2"/>
        <v>159062.35170524073</v>
      </c>
      <c r="BL23" s="327">
        <f t="shared" si="2"/>
        <v>158121.0067155349</v>
      </c>
      <c r="BM23" s="327">
        <f t="shared" ref="BM23" si="4">BM9/BM$3</f>
        <v>150501.90582039912</v>
      </c>
      <c r="BN23" s="327">
        <f t="shared" si="3"/>
        <v>132572.64072998837</v>
      </c>
      <c r="BO23" s="327">
        <f t="shared" si="3"/>
        <v>107723.24313693268</v>
      </c>
      <c r="BP23" s="327">
        <f t="shared" si="3"/>
        <v>108660.10702352706</v>
      </c>
      <c r="BQ23" s="327">
        <f t="shared" si="3"/>
        <v>109188.7425974026</v>
      </c>
      <c r="BR23" s="327">
        <f t="shared" si="3"/>
        <v>125678.9771618021</v>
      </c>
      <c r="BS23" s="327">
        <f t="shared" si="3"/>
        <v>129216.15452486134</v>
      </c>
      <c r="BT23" s="327">
        <f t="shared" si="3"/>
        <v>128078.95809295212</v>
      </c>
      <c r="BU23" s="327">
        <f t="shared" si="3"/>
        <v>144545</v>
      </c>
      <c r="BV23" s="327">
        <f t="shared" si="3"/>
        <v>129415.82404546553</v>
      </c>
      <c r="BW23" s="327">
        <f t="shared" si="3"/>
        <v>131900.91816204845</v>
      </c>
      <c r="BX23" s="327">
        <f t="shared" si="3"/>
        <v>132765.55817125336</v>
      </c>
      <c r="BY23" s="327">
        <f t="shared" si="3"/>
        <v>137850.50388806328</v>
      </c>
    </row>
    <row r="24" spans="1:81" s="328" customFormat="1">
      <c r="A24" s="326" t="s">
        <v>573</v>
      </c>
      <c r="B24" s="327">
        <f t="shared" ref="B24:BM27" si="5">B10/B$3</f>
        <v>3988.5470129966016</v>
      </c>
      <c r="C24" s="327">
        <f t="shared" si="5"/>
        <v>2093.7708831782593</v>
      </c>
      <c r="D24" s="327">
        <f t="shared" si="5"/>
        <v>5285.2094594594573</v>
      </c>
      <c r="E24" s="327">
        <f t="shared" si="5"/>
        <v>10311.436617842879</v>
      </c>
      <c r="F24" s="327">
        <f t="shared" si="5"/>
        <v>13875.811708221019</v>
      </c>
      <c r="G24" s="327">
        <f t="shared" si="5"/>
        <v>17339.040696866414</v>
      </c>
      <c r="H24" s="327">
        <f t="shared" si="5"/>
        <v>17573.464043951728</v>
      </c>
      <c r="I24" s="327">
        <f t="shared" si="5"/>
        <v>17780.118617668533</v>
      </c>
      <c r="J24" s="327">
        <f t="shared" si="5"/>
        <v>24789.291436704367</v>
      </c>
      <c r="K24" s="327">
        <f t="shared" si="5"/>
        <v>30193.738120283557</v>
      </c>
      <c r="L24" s="327">
        <f t="shared" si="5"/>
        <v>27531.049092119869</v>
      </c>
      <c r="M24" s="327">
        <f t="shared" si="5"/>
        <v>36102.57232302917</v>
      </c>
      <c r="N24" s="327">
        <f t="shared" si="5"/>
        <v>38623.678017997299</v>
      </c>
      <c r="O24" s="327">
        <f t="shared" si="5"/>
        <v>40149.845123507548</v>
      </c>
      <c r="P24" s="327">
        <f t="shared" si="5"/>
        <v>42162.537266183012</v>
      </c>
      <c r="Q24" s="327">
        <f t="shared" si="5"/>
        <v>45510.024319152464</v>
      </c>
      <c r="R24" s="327">
        <f t="shared" si="5"/>
        <v>44902.284643414896</v>
      </c>
      <c r="S24" s="327">
        <f t="shared" si="5"/>
        <v>40966.788488104386</v>
      </c>
      <c r="T24" s="327">
        <f t="shared" si="5"/>
        <v>41723.142780332899</v>
      </c>
      <c r="U24" s="327">
        <f t="shared" si="5"/>
        <v>43046.913768319821</v>
      </c>
      <c r="V24" s="327">
        <f t="shared" si="5"/>
        <v>42264.166545112923</v>
      </c>
      <c r="W24" s="327">
        <f t="shared" si="5"/>
        <v>42321.107187688387</v>
      </c>
      <c r="X24" s="327">
        <f t="shared" si="5"/>
        <v>38992.526442377792</v>
      </c>
      <c r="Y24" s="327">
        <f t="shared" si="5"/>
        <v>35406.31578745076</v>
      </c>
      <c r="Z24" s="327">
        <f t="shared" si="5"/>
        <v>35963.33929925401</v>
      </c>
      <c r="AA24" s="327">
        <f t="shared" si="5"/>
        <v>36494.570867564747</v>
      </c>
      <c r="AB24" s="327">
        <f t="shared" si="5"/>
        <v>35001.817781791317</v>
      </c>
      <c r="AC24" s="327">
        <f t="shared" si="5"/>
        <v>33261.687406574514</v>
      </c>
      <c r="AD24" s="327">
        <f t="shared" si="5"/>
        <v>34289.910762546773</v>
      </c>
      <c r="AE24" s="327">
        <f t="shared" si="5"/>
        <v>35331.153383621306</v>
      </c>
      <c r="AF24" s="327">
        <f t="shared" si="5"/>
        <v>36059.844648504019</v>
      </c>
      <c r="AG24" s="327">
        <f t="shared" si="5"/>
        <v>36509.866609538716</v>
      </c>
      <c r="AH24" s="327">
        <f t="shared" si="5"/>
        <v>36620.528677710208</v>
      </c>
      <c r="AI24" s="327">
        <f t="shared" si="5"/>
        <v>40851.110490734543</v>
      </c>
      <c r="AJ24" s="327">
        <f t="shared" si="5"/>
        <v>46170.592052415028</v>
      </c>
      <c r="AK24" s="327">
        <f t="shared" si="5"/>
        <v>50261.922626468564</v>
      </c>
      <c r="AL24" s="327">
        <f t="shared" si="5"/>
        <v>57210.904448235502</v>
      </c>
      <c r="AM24" s="327">
        <f t="shared" si="5"/>
        <v>64569.456562524698</v>
      </c>
      <c r="AN24" s="327">
        <f t="shared" si="5"/>
        <v>67728.36556989199</v>
      </c>
      <c r="AO24" s="327">
        <f t="shared" si="5"/>
        <v>70260.515048195055</v>
      </c>
      <c r="AP24" s="327">
        <f t="shared" si="5"/>
        <v>69736.303216199405</v>
      </c>
      <c r="AQ24" s="327">
        <f t="shared" si="5"/>
        <v>68917.619270829266</v>
      </c>
      <c r="AR24" s="327">
        <f t="shared" si="5"/>
        <v>64610.714253780658</v>
      </c>
      <c r="AS24" s="327">
        <f t="shared" si="5"/>
        <v>61940.808553977433</v>
      </c>
      <c r="AT24" s="327">
        <f t="shared" si="5"/>
        <v>61178.672617191674</v>
      </c>
      <c r="AU24" s="327">
        <f t="shared" si="5"/>
        <v>61964.641794874464</v>
      </c>
      <c r="AV24" s="327">
        <f t="shared" si="5"/>
        <v>55204.090766545189</v>
      </c>
      <c r="AW24" s="327">
        <f t="shared" si="5"/>
        <v>53988.260353744037</v>
      </c>
      <c r="AX24" s="327">
        <f t="shared" si="5"/>
        <v>53687.327800601866</v>
      </c>
      <c r="AY24" s="327">
        <f t="shared" si="5"/>
        <v>54916.206913797709</v>
      </c>
      <c r="AZ24" s="327">
        <f t="shared" si="5"/>
        <v>55267.574732343572</v>
      </c>
      <c r="BA24" s="327">
        <f t="shared" si="5"/>
        <v>56342.382283227569</v>
      </c>
      <c r="BB24" s="327">
        <f t="shared" si="5"/>
        <v>55799.515225123949</v>
      </c>
      <c r="BC24" s="327">
        <f t="shared" si="5"/>
        <v>58555.840986030838</v>
      </c>
      <c r="BD24" s="327">
        <f t="shared" si="5"/>
        <v>67497.928532883059</v>
      </c>
      <c r="BE24" s="327">
        <f t="shared" si="5"/>
        <v>78989.199716708958</v>
      </c>
      <c r="BF24" s="327">
        <f t="shared" si="5"/>
        <v>85755.064704385877</v>
      </c>
      <c r="BG24" s="327">
        <f t="shared" si="5"/>
        <v>88520.034652854869</v>
      </c>
      <c r="BH24" s="327">
        <f t="shared" si="5"/>
        <v>90756.515390720189</v>
      </c>
      <c r="BI24" s="327">
        <f t="shared" si="5"/>
        <v>94045.044762844831</v>
      </c>
      <c r="BJ24" s="327">
        <f t="shared" si="5"/>
        <v>94536.37894185225</v>
      </c>
      <c r="BK24" s="327">
        <f t="shared" si="5"/>
        <v>93960.213885156205</v>
      </c>
      <c r="BL24" s="327">
        <f t="shared" si="5"/>
        <v>93410.109579906988</v>
      </c>
      <c r="BM24" s="327">
        <f t="shared" si="5"/>
        <v>87503.522810421287</v>
      </c>
      <c r="BN24" s="327">
        <f t="shared" si="3"/>
        <v>80713.83077811946</v>
      </c>
      <c r="BO24" s="327">
        <f t="shared" si="3"/>
        <v>69800.888710404484</v>
      </c>
      <c r="BP24" s="327">
        <f t="shared" si="3"/>
        <v>68702.45081594112</v>
      </c>
      <c r="BQ24" s="327">
        <f t="shared" si="3"/>
        <v>68296.697688311688</v>
      </c>
      <c r="BR24" s="327">
        <f t="shared" si="3"/>
        <v>73511.023245411532</v>
      </c>
      <c r="BS24" s="327">
        <f t="shared" si="3"/>
        <v>77037.923697478996</v>
      </c>
      <c r="BT24" s="327">
        <f t="shared" si="3"/>
        <v>76324.899092674445</v>
      </c>
      <c r="BU24" s="327">
        <f t="shared" si="3"/>
        <v>92634</v>
      </c>
      <c r="BV24" s="327">
        <f t="shared" si="3"/>
        <v>88072.767261085173</v>
      </c>
      <c r="BW24" s="327">
        <f t="shared" si="3"/>
        <v>86967.027366328679</v>
      </c>
      <c r="BX24" s="327">
        <f t="shared" si="3"/>
        <v>82032.309895614657</v>
      </c>
      <c r="BY24" s="327">
        <f t="shared" si="3"/>
        <v>78640.011410620355</v>
      </c>
    </row>
    <row r="25" spans="1:81" s="328" customFormat="1">
      <c r="A25" s="326" t="s">
        <v>574</v>
      </c>
      <c r="B25" s="327">
        <f t="shared" si="5"/>
        <v>2188.9422869590894</v>
      </c>
      <c r="C25" s="327">
        <f t="shared" si="5"/>
        <v>1098.7971163786733</v>
      </c>
      <c r="D25" s="327">
        <f t="shared" si="5"/>
        <v>3361.7397873283107</v>
      </c>
      <c r="E25" s="327">
        <f t="shared" si="5"/>
        <v>20318.628295605864</v>
      </c>
      <c r="F25" s="327">
        <f t="shared" si="5"/>
        <v>31918.320151617238</v>
      </c>
      <c r="G25" s="327">
        <f t="shared" si="5"/>
        <v>18138.826273121336</v>
      </c>
      <c r="H25" s="327">
        <f t="shared" si="5"/>
        <v>2401.9625527322669</v>
      </c>
      <c r="I25" s="327">
        <f t="shared" si="5"/>
        <v>6822.6921976149924</v>
      </c>
      <c r="J25" s="327">
        <f t="shared" si="5"/>
        <v>9418.446357238874</v>
      </c>
      <c r="K25" s="327">
        <f t="shared" si="5"/>
        <v>10553.498513606219</v>
      </c>
      <c r="L25" s="327">
        <f t="shared" si="5"/>
        <v>14487.832594894564</v>
      </c>
      <c r="M25" s="327">
        <f t="shared" si="5"/>
        <v>9466.8359407109456</v>
      </c>
      <c r="N25" s="327">
        <f t="shared" si="5"/>
        <v>9202.2177845499245</v>
      </c>
      <c r="O25" s="327">
        <f t="shared" si="5"/>
        <v>7060.995470916876</v>
      </c>
      <c r="P25" s="327">
        <f t="shared" si="5"/>
        <v>5183.0547998259963</v>
      </c>
      <c r="Q25" s="327">
        <f t="shared" si="5"/>
        <v>7835.5597426368613</v>
      </c>
      <c r="R25" s="327">
        <f t="shared" si="5"/>
        <v>6101.4129619989599</v>
      </c>
      <c r="S25" s="327">
        <f t="shared" si="5"/>
        <v>6628.7461243284743</v>
      </c>
      <c r="T25" s="327">
        <f t="shared" si="5"/>
        <v>15870.380132572522</v>
      </c>
      <c r="U25" s="327">
        <f t="shared" si="5"/>
        <v>6590.2832288922427</v>
      </c>
      <c r="V25" s="327">
        <f t="shared" si="5"/>
        <v>8951.76513096901</v>
      </c>
      <c r="W25" s="327">
        <f t="shared" si="5"/>
        <v>6479.3620651749952</v>
      </c>
      <c r="X25" s="327">
        <f t="shared" si="5"/>
        <v>5054.3917613668218</v>
      </c>
      <c r="Y25" s="327">
        <f t="shared" si="5"/>
        <v>6624.2781589314891</v>
      </c>
      <c r="Z25" s="327">
        <f t="shared" si="5"/>
        <v>6155.7145468998424</v>
      </c>
      <c r="AA25" s="327">
        <f t="shared" si="5"/>
        <v>6216.9143337208288</v>
      </c>
      <c r="AB25" s="327">
        <f t="shared" si="5"/>
        <v>6691.2721615630908</v>
      </c>
      <c r="AC25" s="327">
        <f t="shared" si="5"/>
        <v>7477.2832049077324</v>
      </c>
      <c r="AD25" s="327">
        <f t="shared" si="5"/>
        <v>8562.5002009957025</v>
      </c>
      <c r="AE25" s="327">
        <f t="shared" si="5"/>
        <v>7459.513560446534</v>
      </c>
      <c r="AF25" s="327">
        <f t="shared" si="5"/>
        <v>5203.9578812940899</v>
      </c>
      <c r="AG25" s="327">
        <f t="shared" si="5"/>
        <v>6807.620862548868</v>
      </c>
      <c r="AH25" s="327">
        <f t="shared" si="5"/>
        <v>6192.0855584388692</v>
      </c>
      <c r="AI25" s="327">
        <f t="shared" si="5"/>
        <v>8357.6418476438048</v>
      </c>
      <c r="AJ25" s="327">
        <f t="shared" si="5"/>
        <v>11314.787164988647</v>
      </c>
      <c r="AK25" s="327">
        <f t="shared" si="5"/>
        <v>9947.4425340216749</v>
      </c>
      <c r="AL25" s="327">
        <f t="shared" si="5"/>
        <v>9603.6468180869506</v>
      </c>
      <c r="AM25" s="327">
        <f t="shared" si="5"/>
        <v>11371.331179348446</v>
      </c>
      <c r="AN25" s="327">
        <f t="shared" si="5"/>
        <v>10642.194012752525</v>
      </c>
      <c r="AO25" s="327">
        <f t="shared" si="5"/>
        <v>10039.18760914761</v>
      </c>
      <c r="AP25" s="327">
        <f t="shared" si="5"/>
        <v>10213.835489265097</v>
      </c>
      <c r="AQ25" s="327">
        <f t="shared" si="5"/>
        <v>10536.885141913624</v>
      </c>
      <c r="AR25" s="327">
        <f t="shared" si="5"/>
        <v>9091.1150640965134</v>
      </c>
      <c r="AS25" s="327">
        <f t="shared" si="5"/>
        <v>8878.7587317446723</v>
      </c>
      <c r="AT25" s="327">
        <f t="shared" si="5"/>
        <v>8776.7999871863321</v>
      </c>
      <c r="AU25" s="327">
        <f t="shared" si="5"/>
        <v>7431.0575323605181</v>
      </c>
      <c r="AV25" s="327">
        <f t="shared" si="5"/>
        <v>9596.4758705172571</v>
      </c>
      <c r="AW25" s="327">
        <f t="shared" si="5"/>
        <v>8485.612093141046</v>
      </c>
      <c r="AX25" s="327">
        <f t="shared" si="5"/>
        <v>10581.801170351957</v>
      </c>
      <c r="AY25" s="327">
        <f t="shared" si="5"/>
        <v>8625.7244020738199</v>
      </c>
      <c r="AZ25" s="327">
        <f t="shared" si="5"/>
        <v>8145.0716785836757</v>
      </c>
      <c r="BA25" s="327">
        <f t="shared" si="5"/>
        <v>7953.266551079787</v>
      </c>
      <c r="BB25" s="327">
        <f t="shared" si="5"/>
        <v>7360.9343445327049</v>
      </c>
      <c r="BC25" s="327">
        <f t="shared" si="5"/>
        <v>7634.4743392615574</v>
      </c>
      <c r="BD25" s="327">
        <f t="shared" si="5"/>
        <v>9187.1333819439951</v>
      </c>
      <c r="BE25" s="327">
        <f t="shared" si="5"/>
        <v>9067.6550627411452</v>
      </c>
      <c r="BF25" s="327">
        <f t="shared" si="5"/>
        <v>8141.5639004782743</v>
      </c>
      <c r="BG25" s="327">
        <f t="shared" si="5"/>
        <v>9337.5292637809853</v>
      </c>
      <c r="BH25" s="327">
        <f t="shared" si="5"/>
        <v>11871.6572874005</v>
      </c>
      <c r="BI25" s="327">
        <f t="shared" si="5"/>
        <v>16930.751781893727</v>
      </c>
      <c r="BJ25" s="327">
        <f t="shared" si="5"/>
        <v>26215.022119384019</v>
      </c>
      <c r="BK25" s="327">
        <f t="shared" si="5"/>
        <v>31492.320921573195</v>
      </c>
      <c r="BL25" s="327">
        <f t="shared" si="5"/>
        <v>26284.618042046513</v>
      </c>
      <c r="BM25" s="327">
        <f t="shared" si="5"/>
        <v>18246.493320399113</v>
      </c>
      <c r="BN25" s="327">
        <f t="shared" si="3"/>
        <v>12736.681490058638</v>
      </c>
      <c r="BO25" s="327">
        <f t="shared" si="3"/>
        <v>8889.9801113792819</v>
      </c>
      <c r="BP25" s="327">
        <f t="shared" si="3"/>
        <v>9081.9741859612477</v>
      </c>
      <c r="BQ25" s="327">
        <f t="shared" si="3"/>
        <v>6043.8230649350653</v>
      </c>
      <c r="BR25" s="327">
        <f t="shared" si="3"/>
        <v>7322.2446259287872</v>
      </c>
      <c r="BS25" s="327">
        <f t="shared" si="3"/>
        <v>7164.5300215896641</v>
      </c>
      <c r="BT25" s="327">
        <f t="shared" si="3"/>
        <v>7219.2201458343034</v>
      </c>
      <c r="BU25" s="327">
        <f t="shared" si="3"/>
        <v>9801</v>
      </c>
      <c r="BV25" s="327">
        <f t="shared" si="3"/>
        <v>9647.0070671628782</v>
      </c>
      <c r="BW25" s="327">
        <f t="shared" si="3"/>
        <v>9445.1855188425779</v>
      </c>
      <c r="BX25" s="327">
        <f t="shared" si="3"/>
        <v>9838.1347568860492</v>
      </c>
      <c r="BY25" s="327">
        <f t="shared" si="3"/>
        <v>9368.1153247448492</v>
      </c>
    </row>
    <row r="26" spans="1:81" s="328" customFormat="1">
      <c r="A26" s="326" t="s">
        <v>575</v>
      </c>
      <c r="B26" s="327">
        <f t="shared" si="5"/>
        <v>0</v>
      </c>
      <c r="C26" s="327">
        <f t="shared" si="5"/>
        <v>0</v>
      </c>
      <c r="D26" s="327">
        <f t="shared" si="5"/>
        <v>0</v>
      </c>
      <c r="E26" s="327">
        <f t="shared" si="5"/>
        <v>0</v>
      </c>
      <c r="F26" s="327">
        <f t="shared" si="5"/>
        <v>0</v>
      </c>
      <c r="G26" s="327">
        <f t="shared" si="5"/>
        <v>0</v>
      </c>
      <c r="H26" s="327">
        <f t="shared" si="5"/>
        <v>0</v>
      </c>
      <c r="I26" s="327">
        <f t="shared" si="5"/>
        <v>571.09588707714784</v>
      </c>
      <c r="J26" s="327">
        <f t="shared" si="5"/>
        <v>0</v>
      </c>
      <c r="K26" s="327">
        <f t="shared" si="5"/>
        <v>536.61856848845184</v>
      </c>
      <c r="L26" s="327">
        <f t="shared" si="5"/>
        <v>381.98983351831305</v>
      </c>
      <c r="M26" s="327">
        <f t="shared" si="5"/>
        <v>389.89136461020513</v>
      </c>
      <c r="N26" s="327">
        <f t="shared" si="5"/>
        <v>202.39481930828279</v>
      </c>
      <c r="O26" s="327">
        <f t="shared" si="5"/>
        <v>199.65114432375708</v>
      </c>
      <c r="P26" s="327">
        <f t="shared" si="5"/>
        <v>2897.7688842737466</v>
      </c>
      <c r="Q26" s="327">
        <f t="shared" si="5"/>
        <v>3839.6845914914852</v>
      </c>
      <c r="R26" s="327">
        <f t="shared" si="5"/>
        <v>4140.4741280583039</v>
      </c>
      <c r="S26" s="327">
        <f t="shared" si="5"/>
        <v>3987.3582501918659</v>
      </c>
      <c r="T26" s="327">
        <f t="shared" si="5"/>
        <v>4119.1243835905298</v>
      </c>
      <c r="U26" s="327">
        <f t="shared" si="5"/>
        <v>3043.0542778218278</v>
      </c>
      <c r="V26" s="327">
        <f t="shared" si="5"/>
        <v>3550.5380817582854</v>
      </c>
      <c r="W26" s="327">
        <f t="shared" si="5"/>
        <v>2840.2683025424635</v>
      </c>
      <c r="X26" s="327">
        <f t="shared" si="5"/>
        <v>3180.0548165266255</v>
      </c>
      <c r="Y26" s="327">
        <f t="shared" si="5"/>
        <v>3592.7439031421163</v>
      </c>
      <c r="Z26" s="327">
        <f t="shared" si="5"/>
        <v>4113.3756879051007</v>
      </c>
      <c r="AA26" s="327">
        <f t="shared" si="5"/>
        <v>4433.4484960973759</v>
      </c>
      <c r="AB26" s="327">
        <f t="shared" si="5"/>
        <v>4704.8676299154431</v>
      </c>
      <c r="AC26" s="327">
        <f t="shared" si="5"/>
        <v>4489.4741401547726</v>
      </c>
      <c r="AD26" s="327">
        <f t="shared" si="5"/>
        <v>4459.0308250100497</v>
      </c>
      <c r="AE26" s="327">
        <f t="shared" si="5"/>
        <v>4257.7441284218421</v>
      </c>
      <c r="AF26" s="327">
        <f t="shared" si="5"/>
        <v>4268.4505229871083</v>
      </c>
      <c r="AG26" s="327">
        <f t="shared" si="5"/>
        <v>4588.3188478498842</v>
      </c>
      <c r="AH26" s="327">
        <f t="shared" si="5"/>
        <v>4120.8558927944678</v>
      </c>
      <c r="AI26" s="327">
        <f t="shared" si="5"/>
        <v>4928.9918371625035</v>
      </c>
      <c r="AJ26" s="327">
        <f t="shared" si="5"/>
        <v>5070.4792767432855</v>
      </c>
      <c r="AK26" s="327">
        <f t="shared" si="5"/>
        <v>5979.0479060874968</v>
      </c>
      <c r="AL26" s="327">
        <f t="shared" si="5"/>
        <v>5683.3998575330534</v>
      </c>
      <c r="AM26" s="327">
        <f t="shared" si="5"/>
        <v>5956.7060192708004</v>
      </c>
      <c r="AN26" s="327">
        <f t="shared" si="5"/>
        <v>5648.5646312716017</v>
      </c>
      <c r="AO26" s="327">
        <f t="shared" si="5"/>
        <v>6061.3591003591009</v>
      </c>
      <c r="AP26" s="327">
        <f t="shared" si="5"/>
        <v>6108.4426491230224</v>
      </c>
      <c r="AQ26" s="327">
        <f t="shared" si="5"/>
        <v>6015.8305550556006</v>
      </c>
      <c r="AR26" s="327">
        <f t="shared" si="5"/>
        <v>5569.8586055468504</v>
      </c>
      <c r="AS26" s="327">
        <f t="shared" si="5"/>
        <v>5640.7842675077945</v>
      </c>
      <c r="AT26" s="327">
        <f t="shared" si="5"/>
        <v>6244.3240106780568</v>
      </c>
      <c r="AU26" s="327">
        <f t="shared" si="5"/>
        <v>6430.785624732719</v>
      </c>
      <c r="AV26" s="327">
        <f t="shared" si="5"/>
        <v>5591.1569350442533</v>
      </c>
      <c r="AW26" s="327">
        <f t="shared" si="5"/>
        <v>5306.2443479593749</v>
      </c>
      <c r="AX26" s="327">
        <f t="shared" si="5"/>
        <v>6539.7465524008903</v>
      </c>
      <c r="AY26" s="327">
        <f t="shared" si="5"/>
        <v>6231.7012075842858</v>
      </c>
      <c r="AZ26" s="327">
        <f t="shared" si="5"/>
        <v>5704.2324159565151</v>
      </c>
      <c r="BA26" s="327">
        <f t="shared" si="5"/>
        <v>5285.5011011061224</v>
      </c>
      <c r="BB26" s="327">
        <f t="shared" si="5"/>
        <v>5107.67535892663</v>
      </c>
      <c r="BC26" s="327">
        <f t="shared" si="5"/>
        <v>5184.9103801402025</v>
      </c>
      <c r="BD26" s="327">
        <f t="shared" si="5"/>
        <v>5608.4325034096355</v>
      </c>
      <c r="BE26" s="327">
        <f t="shared" si="5"/>
        <v>5686.6568406965835</v>
      </c>
      <c r="BF26" s="327">
        <f t="shared" si="5"/>
        <v>5079.6884756283707</v>
      </c>
      <c r="BG26" s="327">
        <f t="shared" si="5"/>
        <v>5270.6880059193491</v>
      </c>
      <c r="BH26" s="327">
        <f t="shared" si="5"/>
        <v>5513.5314957014289</v>
      </c>
      <c r="BI26" s="327">
        <f t="shared" si="5"/>
        <v>4879.9760167853565</v>
      </c>
      <c r="BJ26" s="327">
        <f t="shared" si="5"/>
        <v>3381.4336907073475</v>
      </c>
      <c r="BK26" s="327">
        <f t="shared" si="5"/>
        <v>4519.2038376361606</v>
      </c>
      <c r="BL26" s="327">
        <f t="shared" si="5"/>
        <v>2639.2890597209303</v>
      </c>
      <c r="BM26" s="327">
        <f t="shared" si="5"/>
        <v>2091.5403824833702</v>
      </c>
      <c r="BN26" s="327">
        <f t="shared" si="3"/>
        <v>1893.6387541302979</v>
      </c>
      <c r="BO26" s="327">
        <f t="shared" si="3"/>
        <v>1640.7015847600089</v>
      </c>
      <c r="BP26" s="327">
        <f t="shared" si="3"/>
        <v>1533.5030292548961</v>
      </c>
      <c r="BQ26" s="327">
        <f t="shared" si="3"/>
        <v>1219.0301298701299</v>
      </c>
      <c r="BR26" s="327">
        <f t="shared" si="3"/>
        <v>1324.4943722085709</v>
      </c>
      <c r="BS26" s="327">
        <f t="shared" si="3"/>
        <v>1387.3872322051352</v>
      </c>
      <c r="BT26" s="327">
        <f t="shared" si="3"/>
        <v>1301.0910884300242</v>
      </c>
      <c r="BU26" s="327">
        <f t="shared" si="3"/>
        <v>1583</v>
      </c>
      <c r="BV26" s="327">
        <f t="shared" si="3"/>
        <v>1350.5809894028027</v>
      </c>
      <c r="BW26" s="327">
        <f t="shared" si="3"/>
        <v>1323.8405766286005</v>
      </c>
      <c r="BX26" s="327">
        <f t="shared" si="3"/>
        <v>1380.2476134839656</v>
      </c>
      <c r="BY26" s="327">
        <f t="shared" si="3"/>
        <v>1299.3416177723939</v>
      </c>
    </row>
    <row r="27" spans="1:81" s="328" customFormat="1">
      <c r="A27" s="326" t="s">
        <v>576</v>
      </c>
      <c r="B27" s="327">
        <f t="shared" si="5"/>
        <v>0</v>
      </c>
      <c r="C27" s="327">
        <f t="shared" si="5"/>
        <v>0</v>
      </c>
      <c r="D27" s="327">
        <f t="shared" si="5"/>
        <v>1455.5986708019491</v>
      </c>
      <c r="E27" s="327">
        <f t="shared" si="5"/>
        <v>4719.9079893475382</v>
      </c>
      <c r="F27" s="327">
        <f t="shared" si="5"/>
        <v>6127.49519878706</v>
      </c>
      <c r="G27" s="327">
        <f t="shared" si="5"/>
        <v>2795.3670626385619</v>
      </c>
      <c r="H27" s="327">
        <f t="shared" si="5"/>
        <v>767.40017659177852</v>
      </c>
      <c r="I27" s="327">
        <f t="shared" si="5"/>
        <v>8520.7506351910451</v>
      </c>
      <c r="J27" s="327">
        <f t="shared" si="5"/>
        <v>0</v>
      </c>
      <c r="K27" s="327">
        <f t="shared" si="5"/>
        <v>0</v>
      </c>
      <c r="L27" s="327">
        <f t="shared" si="5"/>
        <v>520.89522752497237</v>
      </c>
      <c r="M27" s="327">
        <f t="shared" si="5"/>
        <v>0</v>
      </c>
      <c r="N27" s="327">
        <f t="shared" si="5"/>
        <v>0</v>
      </c>
      <c r="O27" s="327">
        <f t="shared" si="5"/>
        <v>0</v>
      </c>
      <c r="P27" s="327">
        <f t="shared" si="5"/>
        <v>2140.3974713385628</v>
      </c>
      <c r="Q27" s="327">
        <f t="shared" si="5"/>
        <v>6.5079399855787887</v>
      </c>
      <c r="R27" s="327">
        <f t="shared" si="5"/>
        <v>0</v>
      </c>
      <c r="S27" s="327">
        <f t="shared" si="5"/>
        <v>0</v>
      </c>
      <c r="T27" s="327">
        <f t="shared" si="5"/>
        <v>8553.677210969523</v>
      </c>
      <c r="U27" s="327">
        <f t="shared" si="5"/>
        <v>6086.1085556436556</v>
      </c>
      <c r="V27" s="327">
        <f t="shared" si="5"/>
        <v>2993.5909316785546</v>
      </c>
      <c r="W27" s="327">
        <f t="shared" si="5"/>
        <v>5331.0504662955227</v>
      </c>
      <c r="X27" s="327">
        <f t="shared" si="5"/>
        <v>26.324957090452198</v>
      </c>
      <c r="Y27" s="327">
        <f t="shared" si="5"/>
        <v>0</v>
      </c>
      <c r="Z27" s="327">
        <f t="shared" si="5"/>
        <v>0</v>
      </c>
      <c r="AA27" s="327">
        <f t="shared" si="5"/>
        <v>0</v>
      </c>
      <c r="AB27" s="327">
        <f t="shared" si="5"/>
        <v>0</v>
      </c>
      <c r="AC27" s="327">
        <f t="shared" si="5"/>
        <v>613.08289900125669</v>
      </c>
      <c r="AD27" s="327">
        <f t="shared" si="5"/>
        <v>489.80403692136429</v>
      </c>
      <c r="AE27" s="327">
        <f t="shared" si="5"/>
        <v>744.59754233132367</v>
      </c>
      <c r="AF27" s="327">
        <f t="shared" si="5"/>
        <v>1341.4224154706885</v>
      </c>
      <c r="AG27" s="327">
        <f t="shared" si="5"/>
        <v>2131.2344744331517</v>
      </c>
      <c r="AH27" s="327">
        <f t="shared" si="5"/>
        <v>3607.774228554003</v>
      </c>
      <c r="AI27" s="327">
        <f t="shared" si="5"/>
        <v>6584.2870000419271</v>
      </c>
      <c r="AJ27" s="327">
        <f t="shared" si="5"/>
        <v>5740.2520727179999</v>
      </c>
      <c r="AK27" s="327">
        <f t="shared" si="5"/>
        <v>2370.0134583495792</v>
      </c>
      <c r="AL27" s="327">
        <f t="shared" si="5"/>
        <v>5906.9880872224394</v>
      </c>
      <c r="AM27" s="327">
        <f t="shared" si="5"/>
        <v>10487.100424238697</v>
      </c>
      <c r="AN27" s="327">
        <f t="shared" si="5"/>
        <v>10549.495485089845</v>
      </c>
      <c r="AO27" s="327">
        <f t="shared" si="5"/>
        <v>5148.7056813456811</v>
      </c>
      <c r="AP27" s="327">
        <f t="shared" si="5"/>
        <v>2379.2183622404768</v>
      </c>
      <c r="AQ27" s="327">
        <f t="shared" si="5"/>
        <v>1647.1916995985573</v>
      </c>
      <c r="AR27" s="327">
        <f t="shared" si="5"/>
        <v>825.82058866841624</v>
      </c>
      <c r="AS27" s="327">
        <f t="shared" si="5"/>
        <v>4622.4994862070853</v>
      </c>
      <c r="AT27" s="327">
        <f t="shared" si="5"/>
        <v>7662.5773774693007</v>
      </c>
      <c r="AU27" s="327">
        <f t="shared" si="5"/>
        <v>7347.8375204697877</v>
      </c>
      <c r="AV27" s="327">
        <f t="shared" si="5"/>
        <v>6474.3074020763797</v>
      </c>
      <c r="AW27" s="327">
        <f t="shared" si="5"/>
        <v>8226.0080372137672</v>
      </c>
      <c r="AX27" s="327">
        <f t="shared" si="5"/>
        <v>4699.099576736884</v>
      </c>
      <c r="AY27" s="327">
        <f t="shared" si="5"/>
        <v>11365.198958591143</v>
      </c>
      <c r="AZ27" s="327">
        <f t="shared" si="5"/>
        <v>3860.9368311764188</v>
      </c>
      <c r="BA27" s="327">
        <f t="shared" si="5"/>
        <v>7917.951398956583</v>
      </c>
      <c r="BB27" s="327">
        <f t="shared" si="5"/>
        <v>10544.041088114414</v>
      </c>
      <c r="BC27" s="327">
        <f t="shared" si="5"/>
        <v>7507.7727551690732</v>
      </c>
      <c r="BD27" s="327">
        <f t="shared" si="5"/>
        <v>6080.8819805990343</v>
      </c>
      <c r="BE27" s="327">
        <f t="shared" si="5"/>
        <v>5647.2322534672739</v>
      </c>
      <c r="BF27" s="327">
        <f t="shared" si="5"/>
        <v>10582.573771242496</v>
      </c>
      <c r="BG27" s="327">
        <f t="shared" si="5"/>
        <v>10134.949118263659</v>
      </c>
      <c r="BH27" s="327">
        <f t="shared" si="5"/>
        <v>5922.1257863905539</v>
      </c>
      <c r="BI27" s="327">
        <f t="shared" si="5"/>
        <v>3439.2673915515088</v>
      </c>
      <c r="BJ27" s="327">
        <f t="shared" si="5"/>
        <v>12233.043316768393</v>
      </c>
      <c r="BK27" s="327">
        <f t="shared" si="5"/>
        <v>-1429.2804237014573</v>
      </c>
      <c r="BL27" s="327">
        <f t="shared" si="5"/>
        <v>6565.0423501395353</v>
      </c>
      <c r="BM27" s="327">
        <f t="shared" ref="BM27" si="6">BM13/BM$3</f>
        <v>3231.4470066518847</v>
      </c>
      <c r="BN27" s="327">
        <f t="shared" si="3"/>
        <v>8191.9484801459221</v>
      </c>
      <c r="BO27" s="327">
        <f t="shared" si="3"/>
        <v>4938.632977094936</v>
      </c>
      <c r="BP27" s="327">
        <f t="shared" si="3"/>
        <v>12218.242202037951</v>
      </c>
      <c r="BQ27" s="327">
        <f t="shared" si="3"/>
        <v>7996.4099220779226</v>
      </c>
      <c r="BR27" s="327">
        <f t="shared" si="3"/>
        <v>9835.9298750205526</v>
      </c>
      <c r="BS27" s="327">
        <f t="shared" si="3"/>
        <v>15727.878930481285</v>
      </c>
      <c r="BT27" s="327">
        <f t="shared" si="3"/>
        <v>1965.9119267187198</v>
      </c>
      <c r="BU27" s="327">
        <f t="shared" si="3"/>
        <v>1557</v>
      </c>
      <c r="BV27" s="327">
        <f t="shared" si="3"/>
        <v>237.01276246227576</v>
      </c>
      <c r="BW27" s="327">
        <f t="shared" si="3"/>
        <v>261.70056293961471</v>
      </c>
      <c r="BX27" s="327">
        <f t="shared" si="3"/>
        <v>224.2550507292099</v>
      </c>
      <c r="BY27" s="327">
        <f t="shared" si="3"/>
        <v>215.79171743923149</v>
      </c>
    </row>
    <row r="28" spans="1:81" s="329" customFormat="1">
      <c r="A28" s="326" t="s">
        <v>577</v>
      </c>
      <c r="B28" s="327">
        <f t="shared" ref="B28:BM31" si="7">B14/B$3</f>
        <v>-8158.7848877566057</v>
      </c>
      <c r="C28" s="327">
        <f t="shared" si="7"/>
        <v>-4948.9129966031587</v>
      </c>
      <c r="D28" s="327">
        <f t="shared" si="7"/>
        <v>-1836.8268941072213</v>
      </c>
      <c r="E28" s="327">
        <f t="shared" si="7"/>
        <v>-1554.1160452729698</v>
      </c>
      <c r="F28" s="327">
        <f t="shared" si="7"/>
        <v>-1446.8795114555251</v>
      </c>
      <c r="G28" s="327">
        <f t="shared" si="7"/>
        <v>-1599.5711525098438</v>
      </c>
      <c r="H28" s="327">
        <f t="shared" si="7"/>
        <v>-2095.0024820955555</v>
      </c>
      <c r="I28" s="327">
        <f t="shared" si="7"/>
        <v>-2756.4894816257001</v>
      </c>
      <c r="J28" s="327">
        <f t="shared" si="7"/>
        <v>-2939.0896433936914</v>
      </c>
      <c r="K28" s="327">
        <f t="shared" si="7"/>
        <v>-2425.5159295678022</v>
      </c>
      <c r="L28" s="327">
        <f t="shared" si="7"/>
        <v>1555.7404128745841</v>
      </c>
      <c r="M28" s="327">
        <f t="shared" si="7"/>
        <v>1600.606654715579</v>
      </c>
      <c r="N28" s="327">
        <f t="shared" si="7"/>
        <v>1882.27181956703</v>
      </c>
      <c r="O28" s="327">
        <f t="shared" si="7"/>
        <v>432.57747936814036</v>
      </c>
      <c r="P28" s="327">
        <f t="shared" si="7"/>
        <v>665.16967570829183</v>
      </c>
      <c r="Q28" s="327">
        <f t="shared" si="7"/>
        <v>-709.36545842808789</v>
      </c>
      <c r="R28" s="327">
        <f t="shared" si="7"/>
        <v>-1176.5633003643939</v>
      </c>
      <c r="S28" s="327">
        <f t="shared" si="7"/>
        <v>-1263.8219493476597</v>
      </c>
      <c r="T28" s="327">
        <f t="shared" si="7"/>
        <v>-1428.7053042183368</v>
      </c>
      <c r="U28" s="327">
        <f t="shared" si="7"/>
        <v>-858.29736041128479</v>
      </c>
      <c r="V28" s="327">
        <f t="shared" si="7"/>
        <v>-910.84065169289352</v>
      </c>
      <c r="W28" s="327">
        <f t="shared" si="7"/>
        <v>-737.80407077763209</v>
      </c>
      <c r="X28" s="327">
        <f t="shared" si="7"/>
        <v>-737.09879853266159</v>
      </c>
      <c r="Y28" s="327">
        <f t="shared" si="7"/>
        <v>-596.28525031228992</v>
      </c>
      <c r="Z28" s="327">
        <f t="shared" si="7"/>
        <v>-506.99746850923333</v>
      </c>
      <c r="AA28" s="327">
        <f t="shared" si="7"/>
        <v>-481.3982338058164</v>
      </c>
      <c r="AB28" s="327">
        <f t="shared" si="7"/>
        <v>-650.71872588457438</v>
      </c>
      <c r="AC28" s="327">
        <f t="shared" si="7"/>
        <v>-675.16724320391563</v>
      </c>
      <c r="AD28" s="327">
        <f t="shared" si="7"/>
        <v>-533.34217353659665</v>
      </c>
      <c r="AE28" s="327">
        <f t="shared" si="7"/>
        <v>-582.13989673176218</v>
      </c>
      <c r="AF28" s="327">
        <f t="shared" si="7"/>
        <v>-469.33928484553644</v>
      </c>
      <c r="AG28" s="327">
        <f t="shared" si="7"/>
        <v>-1444.3076603596564</v>
      </c>
      <c r="AH28" s="327">
        <f t="shared" si="7"/>
        <v>-1963.2124731727249</v>
      </c>
      <c r="AI28" s="327">
        <f t="shared" si="7"/>
        <v>-1596.2653205181959</v>
      </c>
      <c r="AJ28" s="327">
        <f t="shared" si="7"/>
        <v>-1643.3600561029077</v>
      </c>
      <c r="AK28" s="327">
        <f t="shared" si="7"/>
        <v>-804.70224399776407</v>
      </c>
      <c r="AL28" s="327">
        <f t="shared" si="7"/>
        <v>-1384.1176123628643</v>
      </c>
      <c r="AM28" s="327">
        <f t="shared" si="7"/>
        <v>-921.33134623323463</v>
      </c>
      <c r="AN28" s="327">
        <f t="shared" si="7"/>
        <v>-1469.0701449150902</v>
      </c>
      <c r="AO28" s="327">
        <f t="shared" si="7"/>
        <v>-1594.6795161595162</v>
      </c>
      <c r="AP28" s="327">
        <f t="shared" si="7"/>
        <v>-1579.1441296732539</v>
      </c>
      <c r="AQ28" s="327">
        <f t="shared" si="7"/>
        <v>-1272.5795404925309</v>
      </c>
      <c r="AR28" s="327">
        <f t="shared" si="7"/>
        <v>-1522.2744327600205</v>
      </c>
      <c r="AS28" s="327">
        <f t="shared" si="7"/>
        <v>-75914.413998213218</v>
      </c>
      <c r="AT28" s="327">
        <f t="shared" si="7"/>
        <v>-10495.743113721303</v>
      </c>
      <c r="AU28" s="327">
        <f t="shared" si="7"/>
        <v>-2454.174468307031</v>
      </c>
      <c r="AV28" s="327">
        <f t="shared" si="7"/>
        <v>-1459.6736471380884</v>
      </c>
      <c r="AW28" s="327">
        <f t="shared" si="7"/>
        <v>-2858.7723749100314</v>
      </c>
      <c r="AX28" s="327">
        <f t="shared" si="7"/>
        <v>-954.86440272144455</v>
      </c>
      <c r="AY28" s="327">
        <f t="shared" si="7"/>
        <v>-2166.2364885236102</v>
      </c>
      <c r="AZ28" s="327">
        <f t="shared" si="7"/>
        <v>-3345.3505156275801</v>
      </c>
      <c r="BA28" s="327">
        <f t="shared" si="7"/>
        <v>-1216.9012835787203</v>
      </c>
      <c r="BB28" s="327">
        <f t="shared" si="7"/>
        <v>-2481.0356456993313</v>
      </c>
      <c r="BC28" s="327">
        <f t="shared" si="7"/>
        <v>-1883.6302168415939</v>
      </c>
      <c r="BD28" s="327">
        <f t="shared" si="7"/>
        <v>-2358.0909389335966</v>
      </c>
      <c r="BE28" s="327">
        <f t="shared" si="7"/>
        <v>-1601.4539226250479</v>
      </c>
      <c r="BF28" s="327">
        <f t="shared" si="7"/>
        <v>-691.17725145008649</v>
      </c>
      <c r="BG28" s="327">
        <f t="shared" si="7"/>
        <v>-1619.2767690220744</v>
      </c>
      <c r="BH28" s="327">
        <f t="shared" si="7"/>
        <v>-3100.5828948940025</v>
      </c>
      <c r="BI28" s="327">
        <f t="shared" si="7"/>
        <v>-2310.2272147057915</v>
      </c>
      <c r="BJ28" s="327">
        <f t="shared" si="7"/>
        <v>-1840.4219209085318</v>
      </c>
      <c r="BK28" s="327">
        <f t="shared" si="7"/>
        <v>-1431.6292822449273</v>
      </c>
      <c r="BL28" s="327">
        <f t="shared" si="7"/>
        <v>-1851.1114269767443</v>
      </c>
      <c r="BM28" s="327">
        <f t="shared" si="7"/>
        <v>-2380.22544345898</v>
      </c>
      <c r="BN28" s="327">
        <f t="shared" si="3"/>
        <v>-510.94631472391472</v>
      </c>
      <c r="BO28" s="327">
        <f t="shared" si="3"/>
        <v>-1842.345903101904</v>
      </c>
      <c r="BP28" s="327">
        <f t="shared" si="3"/>
        <v>-2041.0633120499181</v>
      </c>
      <c r="BQ28" s="327">
        <f t="shared" si="3"/>
        <v>-1964.3494285714287</v>
      </c>
      <c r="BR28" s="327">
        <f t="shared" si="3"/>
        <v>-839.30449444022759</v>
      </c>
      <c r="BS28" s="327">
        <f t="shared" si="3"/>
        <v>-461.42316936260676</v>
      </c>
      <c r="BT28" s="327">
        <f t="shared" si="3"/>
        <v>-1190.9673912901787</v>
      </c>
      <c r="BU28" s="327">
        <f t="shared" si="3"/>
        <v>-1134</v>
      </c>
      <c r="BV28" s="327">
        <f t="shared" si="3"/>
        <v>-908.875386632198</v>
      </c>
      <c r="BW28" s="327">
        <f t="shared" si="3"/>
        <v>-1129.2427221350408</v>
      </c>
      <c r="BX28" s="327">
        <f t="shared" si="3"/>
        <v>-1075.2982767183034</v>
      </c>
      <c r="BY28" s="327">
        <f t="shared" si="3"/>
        <v>-1311.2790319286066</v>
      </c>
    </row>
    <row r="29" spans="1:81" s="310" customFormat="1">
      <c r="A29" s="310" t="s">
        <v>578</v>
      </c>
      <c r="B29" s="327">
        <f t="shared" si="7"/>
        <v>0</v>
      </c>
      <c r="C29" s="327">
        <f t="shared" si="7"/>
        <v>0</v>
      </c>
      <c r="D29" s="327">
        <f t="shared" si="7"/>
        <v>0</v>
      </c>
      <c r="E29" s="327">
        <f t="shared" si="7"/>
        <v>0</v>
      </c>
      <c r="F29" s="327">
        <f t="shared" si="7"/>
        <v>0</v>
      </c>
      <c r="G29" s="327">
        <f t="shared" si="7"/>
        <v>0</v>
      </c>
      <c r="H29" s="327">
        <f t="shared" si="7"/>
        <v>0</v>
      </c>
      <c r="I29" s="327">
        <f t="shared" si="7"/>
        <v>0</v>
      </c>
      <c r="J29" s="327">
        <f t="shared" si="7"/>
        <v>0</v>
      </c>
      <c r="K29" s="327">
        <f t="shared" si="7"/>
        <v>0</v>
      </c>
      <c r="L29" s="327">
        <f t="shared" si="7"/>
        <v>0</v>
      </c>
      <c r="M29" s="327">
        <f t="shared" si="7"/>
        <v>0</v>
      </c>
      <c r="N29" s="327">
        <f t="shared" si="7"/>
        <v>0</v>
      </c>
      <c r="O29" s="327">
        <f t="shared" si="7"/>
        <v>0</v>
      </c>
      <c r="P29" s="327">
        <f t="shared" si="7"/>
        <v>0</v>
      </c>
      <c r="Q29" s="327">
        <f t="shared" si="7"/>
        <v>0</v>
      </c>
      <c r="R29" s="327">
        <f t="shared" si="7"/>
        <v>0</v>
      </c>
      <c r="S29" s="327">
        <f t="shared" si="7"/>
        <v>0</v>
      </c>
      <c r="T29" s="327">
        <f t="shared" si="7"/>
        <v>0</v>
      </c>
      <c r="U29" s="327">
        <f t="shared" si="7"/>
        <v>0</v>
      </c>
      <c r="V29" s="327">
        <f t="shared" si="7"/>
        <v>0</v>
      </c>
      <c r="W29" s="327">
        <f t="shared" si="7"/>
        <v>0</v>
      </c>
      <c r="X29" s="327">
        <f t="shared" si="7"/>
        <v>0</v>
      </c>
      <c r="Y29" s="327">
        <f t="shared" si="7"/>
        <v>0</v>
      </c>
      <c r="Z29" s="327">
        <f t="shared" si="7"/>
        <v>0</v>
      </c>
      <c r="AA29" s="327">
        <f t="shared" si="7"/>
        <v>0</v>
      </c>
      <c r="AB29" s="327">
        <f t="shared" si="7"/>
        <v>0</v>
      </c>
      <c r="AC29" s="327">
        <f t="shared" si="7"/>
        <v>0</v>
      </c>
      <c r="AD29" s="327">
        <f t="shared" si="7"/>
        <v>0</v>
      </c>
      <c r="AE29" s="327">
        <f t="shared" si="7"/>
        <v>0</v>
      </c>
      <c r="AF29" s="327">
        <f t="shared" si="7"/>
        <v>0</v>
      </c>
      <c r="AG29" s="327">
        <f t="shared" si="7"/>
        <v>0</v>
      </c>
      <c r="AH29" s="327">
        <f t="shared" si="7"/>
        <v>0</v>
      </c>
      <c r="AI29" s="327">
        <f t="shared" si="7"/>
        <v>0</v>
      </c>
      <c r="AJ29" s="327">
        <f t="shared" si="7"/>
        <v>0</v>
      </c>
      <c r="AK29" s="327">
        <f t="shared" si="7"/>
        <v>0</v>
      </c>
      <c r="AL29" s="327">
        <f t="shared" si="7"/>
        <v>0</v>
      </c>
      <c r="AM29" s="327">
        <f t="shared" si="7"/>
        <v>0</v>
      </c>
      <c r="AN29" s="327">
        <f t="shared" si="7"/>
        <v>0</v>
      </c>
      <c r="AO29" s="327">
        <f t="shared" si="7"/>
        <v>0</v>
      </c>
      <c r="AP29" s="327">
        <f t="shared" si="7"/>
        <v>0</v>
      </c>
      <c r="AQ29" s="327">
        <f t="shared" si="7"/>
        <v>0</v>
      </c>
      <c r="AR29" s="327">
        <f t="shared" si="7"/>
        <v>0</v>
      </c>
      <c r="AS29" s="327">
        <f t="shared" si="7"/>
        <v>0</v>
      </c>
      <c r="AT29" s="327">
        <f t="shared" si="7"/>
        <v>0</v>
      </c>
      <c r="AU29" s="327">
        <f t="shared" si="7"/>
        <v>0</v>
      </c>
      <c r="AV29" s="327">
        <f t="shared" si="7"/>
        <v>0</v>
      </c>
      <c r="AW29" s="327">
        <f t="shared" si="7"/>
        <v>0</v>
      </c>
      <c r="AX29" s="327">
        <f t="shared" si="7"/>
        <v>0</v>
      </c>
      <c r="AY29" s="327">
        <f t="shared" si="7"/>
        <v>0</v>
      </c>
      <c r="AZ29" s="327">
        <f t="shared" si="7"/>
        <v>0</v>
      </c>
      <c r="BA29" s="327">
        <f t="shared" si="7"/>
        <v>0</v>
      </c>
      <c r="BB29" s="327">
        <f t="shared" si="7"/>
        <v>0</v>
      </c>
      <c r="BC29" s="327">
        <f t="shared" si="7"/>
        <v>0</v>
      </c>
      <c r="BD29" s="327">
        <f t="shared" si="7"/>
        <v>0</v>
      </c>
      <c r="BE29" s="327">
        <f t="shared" si="7"/>
        <v>0</v>
      </c>
      <c r="BF29" s="327">
        <f t="shared" si="7"/>
        <v>0</v>
      </c>
      <c r="BG29" s="327">
        <f t="shared" si="7"/>
        <v>0</v>
      </c>
      <c r="BH29" s="327">
        <f t="shared" si="7"/>
        <v>0</v>
      </c>
      <c r="BI29" s="327">
        <f t="shared" si="7"/>
        <v>0</v>
      </c>
      <c r="BJ29" s="327">
        <f t="shared" si="7"/>
        <v>0</v>
      </c>
      <c r="BK29" s="327">
        <f t="shared" si="7"/>
        <v>0</v>
      </c>
      <c r="BL29" s="327">
        <f t="shared" si="7"/>
        <v>0</v>
      </c>
      <c r="BM29" s="327">
        <f t="shared" si="7"/>
        <v>0</v>
      </c>
      <c r="BN29" s="327">
        <f t="shared" si="3"/>
        <v>0</v>
      </c>
      <c r="BO29" s="327">
        <f t="shared" si="3"/>
        <v>0</v>
      </c>
      <c r="BP29" s="327">
        <f t="shared" si="3"/>
        <v>0</v>
      </c>
      <c r="BQ29" s="327">
        <f t="shared" si="3"/>
        <v>0</v>
      </c>
      <c r="BR29" s="327">
        <f t="shared" si="3"/>
        <v>0</v>
      </c>
      <c r="BS29" s="327">
        <f t="shared" si="3"/>
        <v>0</v>
      </c>
      <c r="BT29" s="327">
        <f t="shared" si="3"/>
        <v>0</v>
      </c>
      <c r="BU29" s="327">
        <f t="shared" si="3"/>
        <v>0</v>
      </c>
      <c r="BV29" s="327">
        <f t="shared" si="3"/>
        <v>51907.753762399239</v>
      </c>
      <c r="BW29" s="327">
        <f t="shared" si="3"/>
        <v>43904.343526133169</v>
      </c>
      <c r="BX29" s="327">
        <f t="shared" si="3"/>
        <v>42974.398842668677</v>
      </c>
      <c r="BY29" s="327">
        <f t="shared" si="3"/>
        <v>42056.428334965116</v>
      </c>
      <c r="BZ29" s="309"/>
      <c r="CA29" s="309"/>
      <c r="CB29" s="309"/>
      <c r="CC29" s="309"/>
    </row>
    <row r="30" spans="1:81" s="310" customFormat="1">
      <c r="A30" s="310" t="s">
        <v>579</v>
      </c>
      <c r="B30" s="327">
        <f t="shared" si="7"/>
        <v>0</v>
      </c>
      <c r="C30" s="327">
        <f t="shared" si="7"/>
        <v>0</v>
      </c>
      <c r="D30" s="327">
        <f t="shared" si="7"/>
        <v>0</v>
      </c>
      <c r="E30" s="327">
        <f t="shared" si="7"/>
        <v>0</v>
      </c>
      <c r="F30" s="327">
        <f t="shared" si="7"/>
        <v>0</v>
      </c>
      <c r="G30" s="327">
        <f t="shared" si="7"/>
        <v>0</v>
      </c>
      <c r="H30" s="327">
        <f t="shared" si="7"/>
        <v>0</v>
      </c>
      <c r="I30" s="327">
        <f t="shared" si="7"/>
        <v>0</v>
      </c>
      <c r="J30" s="327">
        <f t="shared" si="7"/>
        <v>0</v>
      </c>
      <c r="K30" s="327">
        <f t="shared" si="7"/>
        <v>0</v>
      </c>
      <c r="L30" s="327">
        <f t="shared" si="7"/>
        <v>0</v>
      </c>
      <c r="M30" s="327">
        <f t="shared" si="7"/>
        <v>0</v>
      </c>
      <c r="N30" s="327">
        <f t="shared" si="7"/>
        <v>0</v>
      </c>
      <c r="O30" s="327">
        <f t="shared" si="7"/>
        <v>0</v>
      </c>
      <c r="P30" s="327">
        <f t="shared" si="7"/>
        <v>0</v>
      </c>
      <c r="Q30" s="327">
        <f t="shared" si="7"/>
        <v>0</v>
      </c>
      <c r="R30" s="327">
        <f t="shared" si="7"/>
        <v>0</v>
      </c>
      <c r="S30" s="327">
        <f t="shared" si="7"/>
        <v>0</v>
      </c>
      <c r="T30" s="327">
        <f t="shared" si="7"/>
        <v>0</v>
      </c>
      <c r="U30" s="327">
        <f t="shared" si="7"/>
        <v>0</v>
      </c>
      <c r="V30" s="327">
        <f t="shared" si="7"/>
        <v>0</v>
      </c>
      <c r="W30" s="327">
        <f t="shared" si="7"/>
        <v>0</v>
      </c>
      <c r="X30" s="327">
        <f t="shared" si="7"/>
        <v>0</v>
      </c>
      <c r="Y30" s="327">
        <f t="shared" si="7"/>
        <v>0</v>
      </c>
      <c r="Z30" s="327">
        <f t="shared" si="7"/>
        <v>0</v>
      </c>
      <c r="AA30" s="327">
        <f t="shared" si="7"/>
        <v>0</v>
      </c>
      <c r="AB30" s="327">
        <f t="shared" si="7"/>
        <v>0</v>
      </c>
      <c r="AC30" s="327">
        <f t="shared" si="7"/>
        <v>0</v>
      </c>
      <c r="AD30" s="327">
        <f t="shared" si="7"/>
        <v>0</v>
      </c>
      <c r="AE30" s="327">
        <f t="shared" si="7"/>
        <v>0</v>
      </c>
      <c r="AF30" s="327">
        <f t="shared" si="7"/>
        <v>0</v>
      </c>
      <c r="AG30" s="327">
        <f t="shared" si="7"/>
        <v>0</v>
      </c>
      <c r="AH30" s="327">
        <f t="shared" si="7"/>
        <v>0</v>
      </c>
      <c r="AI30" s="327">
        <f t="shared" si="7"/>
        <v>0</v>
      </c>
      <c r="AJ30" s="327">
        <f t="shared" si="7"/>
        <v>0</v>
      </c>
      <c r="AK30" s="327">
        <f t="shared" si="7"/>
        <v>0</v>
      </c>
      <c r="AL30" s="327">
        <f t="shared" si="7"/>
        <v>0</v>
      </c>
      <c r="AM30" s="327">
        <f t="shared" si="7"/>
        <v>0</v>
      </c>
      <c r="AN30" s="327">
        <f t="shared" si="7"/>
        <v>0</v>
      </c>
      <c r="AO30" s="327">
        <f t="shared" si="7"/>
        <v>0</v>
      </c>
      <c r="AP30" s="327">
        <f t="shared" si="7"/>
        <v>0</v>
      </c>
      <c r="AQ30" s="327">
        <f t="shared" si="7"/>
        <v>0</v>
      </c>
      <c r="AR30" s="327">
        <f t="shared" si="7"/>
        <v>3593.9144931749961</v>
      </c>
      <c r="AS30" s="327">
        <f t="shared" si="7"/>
        <v>61341.817506153486</v>
      </c>
      <c r="AT30" s="327">
        <f t="shared" si="7"/>
        <v>21043.271686065138</v>
      </c>
      <c r="AU30" s="327">
        <f t="shared" si="7"/>
        <v>0</v>
      </c>
      <c r="AV30" s="327">
        <f t="shared" si="7"/>
        <v>0</v>
      </c>
      <c r="AW30" s="327">
        <f t="shared" si="7"/>
        <v>0</v>
      </c>
      <c r="AX30" s="327">
        <f t="shared" si="7"/>
        <v>0</v>
      </c>
      <c r="AY30" s="327">
        <f t="shared" si="7"/>
        <v>0</v>
      </c>
      <c r="AZ30" s="327">
        <f t="shared" si="7"/>
        <v>0</v>
      </c>
      <c r="BA30" s="327">
        <f t="shared" si="7"/>
        <v>0</v>
      </c>
      <c r="BB30" s="327">
        <f t="shared" si="7"/>
        <v>0</v>
      </c>
      <c r="BC30" s="327">
        <f t="shared" si="7"/>
        <v>40507.904229745909</v>
      </c>
      <c r="BD30" s="327">
        <f t="shared" si="7"/>
        <v>23373.087038666145</v>
      </c>
      <c r="BE30" s="327">
        <f t="shared" si="7"/>
        <v>98610.408940178662</v>
      </c>
      <c r="BF30" s="327">
        <f t="shared" si="7"/>
        <v>120841.92832502291</v>
      </c>
      <c r="BG30" s="327">
        <f t="shared" si="7"/>
        <v>101403.50994697251</v>
      </c>
      <c r="BH30" s="327">
        <f t="shared" si="7"/>
        <v>154363.93330802943</v>
      </c>
      <c r="BI30" s="327">
        <f t="shared" si="7"/>
        <v>205445.29250188629</v>
      </c>
      <c r="BJ30" s="327">
        <f t="shared" si="7"/>
        <v>222072.0338238682</v>
      </c>
      <c r="BK30" s="327">
        <f t="shared" si="7"/>
        <v>179833.30780514539</v>
      </c>
      <c r="BL30" s="327">
        <f t="shared" si="7"/>
        <v>189820.4167367442</v>
      </c>
      <c r="BM30" s="327">
        <f t="shared" si="7"/>
        <v>181184.67771618624</v>
      </c>
      <c r="BN30" s="327">
        <f t="shared" si="3"/>
        <v>128950.07617844797</v>
      </c>
      <c r="BO30" s="327">
        <f t="shared" si="3"/>
        <v>90449.046532310342</v>
      </c>
      <c r="BP30" s="327">
        <f t="shared" si="3"/>
        <v>92155.198978949484</v>
      </c>
      <c r="BQ30" s="327">
        <f t="shared" si="3"/>
        <v>67469.040389610396</v>
      </c>
      <c r="BR30" s="327">
        <f t="shared" si="3"/>
        <v>62305.14548022153</v>
      </c>
      <c r="BS30" s="327">
        <f t="shared" si="3"/>
        <v>85727.020812435658</v>
      </c>
      <c r="BT30" s="327">
        <f t="shared" si="3"/>
        <v>89849.720563627299</v>
      </c>
      <c r="BU30" s="327">
        <f t="shared" si="3"/>
        <v>69000</v>
      </c>
      <c r="BV30" s="327">
        <f t="shared" si="3"/>
        <v>19587.831608452543</v>
      </c>
      <c r="BW30" s="327">
        <f t="shared" si="3"/>
        <v>19172.202413158589</v>
      </c>
      <c r="BX30" s="327">
        <f t="shared" si="3"/>
        <v>18766.113031733046</v>
      </c>
      <c r="BY30" s="327">
        <f t="shared" si="3"/>
        <v>18365.2525480197</v>
      </c>
      <c r="BZ30" s="309"/>
      <c r="CA30" s="309"/>
      <c r="CB30" s="309"/>
      <c r="CC30" s="309"/>
    </row>
    <row r="31" spans="1:81" s="314" customFormat="1" ht="15" thickBot="1">
      <c r="A31" s="317" t="s">
        <v>580</v>
      </c>
      <c r="B31" s="330">
        <f t="shared" si="7"/>
        <v>102092.9604194358</v>
      </c>
      <c r="C31" s="330">
        <f t="shared" si="7"/>
        <v>90265.750513218096</v>
      </c>
      <c r="D31" s="330">
        <f t="shared" si="7"/>
        <v>122045.01712450151</v>
      </c>
      <c r="E31" s="330">
        <f t="shared" si="7"/>
        <v>390864.2968042611</v>
      </c>
      <c r="F31" s="330">
        <f t="shared" si="7"/>
        <v>475936.38836927206</v>
      </c>
      <c r="G31" s="330">
        <f t="shared" si="7"/>
        <v>377397.84818172787</v>
      </c>
      <c r="H31" s="330">
        <f t="shared" si="7"/>
        <v>263364.06660453248</v>
      </c>
      <c r="I31" s="330">
        <f t="shared" si="7"/>
        <v>231674.56485762962</v>
      </c>
      <c r="J31" s="330">
        <f t="shared" si="7"/>
        <v>243372.95074879428</v>
      </c>
      <c r="K31" s="330">
        <f t="shared" si="7"/>
        <v>256975.9000777498</v>
      </c>
      <c r="L31" s="330">
        <f t="shared" si="7"/>
        <v>256773.56609101003</v>
      </c>
      <c r="M31" s="330">
        <f t="shared" si="7"/>
        <v>283197.93469459144</v>
      </c>
      <c r="N31" s="330">
        <f t="shared" si="7"/>
        <v>275978.82911479747</v>
      </c>
      <c r="O31" s="330">
        <f t="shared" si="7"/>
        <v>275425.40863276704</v>
      </c>
      <c r="P31" s="330">
        <f t="shared" si="7"/>
        <v>316212.44365799922</v>
      </c>
      <c r="Q31" s="330">
        <f t="shared" si="7"/>
        <v>322533.50568528473</v>
      </c>
      <c r="R31" s="330">
        <f t="shared" si="7"/>
        <v>319067.25085892773</v>
      </c>
      <c r="S31" s="330">
        <f t="shared" si="7"/>
        <v>310002.88595548744</v>
      </c>
      <c r="T31" s="330">
        <f t="shared" si="7"/>
        <v>393079.50480344763</v>
      </c>
      <c r="U31" s="330">
        <f t="shared" si="7"/>
        <v>433212.08798884827</v>
      </c>
      <c r="V31" s="330">
        <f t="shared" si="7"/>
        <v>442575.73219773296</v>
      </c>
      <c r="W31" s="330">
        <f t="shared" si="7"/>
        <v>426622.72227935184</v>
      </c>
      <c r="X31" s="330">
        <f t="shared" si="7"/>
        <v>390046.35922639404</v>
      </c>
      <c r="Y31" s="330">
        <f t="shared" si="7"/>
        <v>356563.54728548095</v>
      </c>
      <c r="Z31" s="330">
        <f t="shared" si="7"/>
        <v>358753.32191512786</v>
      </c>
      <c r="AA31" s="330">
        <f t="shared" si="7"/>
        <v>355569.9049791437</v>
      </c>
      <c r="AB31" s="330">
        <f t="shared" si="7"/>
        <v>346726.05479024717</v>
      </c>
      <c r="AC31" s="330">
        <f t="shared" si="7"/>
        <v>332387.93804649782</v>
      </c>
      <c r="AD31" s="330">
        <f t="shared" si="7"/>
        <v>346520.02932063455</v>
      </c>
      <c r="AE31" s="330">
        <f t="shared" si="7"/>
        <v>366673.67518677702</v>
      </c>
      <c r="AF31" s="330">
        <f t="shared" si="7"/>
        <v>365710.43923619564</v>
      </c>
      <c r="AG31" s="330">
        <f t="shared" si="7"/>
        <v>366959.82677967171</v>
      </c>
      <c r="AH31" s="330">
        <f t="shared" si="7"/>
        <v>385138.00018757524</v>
      </c>
      <c r="AI31" s="330">
        <f t="shared" si="7"/>
        <v>438702.40969834826</v>
      </c>
      <c r="AJ31" s="330">
        <f t="shared" si="7"/>
        <v>491974.58732780477</v>
      </c>
      <c r="AK31" s="330">
        <f t="shared" si="7"/>
        <v>527959.6306277276</v>
      </c>
      <c r="AL31" s="330">
        <f t="shared" si="7"/>
        <v>549707.63327918993</v>
      </c>
      <c r="AM31" s="330">
        <f t="shared" si="7"/>
        <v>591140.20752211218</v>
      </c>
      <c r="AN31" s="330">
        <f t="shared" si="7"/>
        <v>567053.01519568893</v>
      </c>
      <c r="AO31" s="330">
        <f t="shared" si="7"/>
        <v>550881.94029862026</v>
      </c>
      <c r="AP31" s="330">
        <f t="shared" si="7"/>
        <v>541825.92807186721</v>
      </c>
      <c r="AQ31" s="330">
        <f t="shared" si="7"/>
        <v>534073.90449960495</v>
      </c>
      <c r="AR31" s="330">
        <f t="shared" si="7"/>
        <v>519237.35334604565</v>
      </c>
      <c r="AS31" s="330">
        <f t="shared" si="7"/>
        <v>472703.19810673327</v>
      </c>
      <c r="AT31" s="330">
        <f t="shared" si="7"/>
        <v>470885.17525467166</v>
      </c>
      <c r="AU31" s="330">
        <f t="shared" si="7"/>
        <v>436337.20822755102</v>
      </c>
      <c r="AV31" s="330">
        <f t="shared" si="7"/>
        <v>401432.61120264605</v>
      </c>
      <c r="AW31" s="330">
        <f t="shared" si="7"/>
        <v>399926.30367539258</v>
      </c>
      <c r="AX31" s="330">
        <f t="shared" si="7"/>
        <v>390802.0516662306</v>
      </c>
      <c r="AY31" s="330">
        <f t="shared" si="7"/>
        <v>389207.52887048927</v>
      </c>
      <c r="AZ31" s="330">
        <f t="shared" si="7"/>
        <v>385323.28391203855</v>
      </c>
      <c r="BA31" s="330">
        <f t="shared" si="7"/>
        <v>409942.70024016156</v>
      </c>
      <c r="BB31" s="330">
        <f t="shared" si="7"/>
        <v>418840.91242743144</v>
      </c>
      <c r="BC31" s="330">
        <f t="shared" si="7"/>
        <v>449689.26226104383</v>
      </c>
      <c r="BD31" s="330">
        <f t="shared" si="7"/>
        <v>478867.03137808276</v>
      </c>
      <c r="BE31" s="330">
        <f t="shared" si="7"/>
        <v>595176.67977858114</v>
      </c>
      <c r="BF31" s="330">
        <f t="shared" si="7"/>
        <v>624860.0544774601</v>
      </c>
      <c r="BG31" s="330">
        <f t="shared" si="7"/>
        <v>622390.05490689364</v>
      </c>
      <c r="BH31" s="330">
        <f t="shared" si="7"/>
        <v>668278.38527948025</v>
      </c>
      <c r="BI31" s="330">
        <f t="shared" si="7"/>
        <v>730354.38275470026</v>
      </c>
      <c r="BJ31" s="330">
        <f t="shared" si="7"/>
        <v>800193.82714456052</v>
      </c>
      <c r="BK31" s="330">
        <f t="shared" si="7"/>
        <v>780436.43737040856</v>
      </c>
      <c r="BL31" s="330">
        <f t="shared" si="7"/>
        <v>809917.13191144192</v>
      </c>
      <c r="BM31" s="330">
        <f t="shared" ref="BM31" si="8">BM17/BM$3</f>
        <v>788214.05180155206</v>
      </c>
      <c r="BN31" s="330">
        <f t="shared" si="3"/>
        <v>734359.83182955487</v>
      </c>
      <c r="BO31" s="330">
        <f t="shared" si="3"/>
        <v>644998.46901054634</v>
      </c>
      <c r="BP31" s="330">
        <f t="shared" si="3"/>
        <v>644720.60313924612</v>
      </c>
      <c r="BQ31" s="330">
        <f t="shared" si="3"/>
        <v>610417.574961039</v>
      </c>
      <c r="BR31" s="330">
        <f t="shared" si="3"/>
        <v>629715.15194699017</v>
      </c>
      <c r="BS31" s="330">
        <f t="shared" si="3"/>
        <v>650813.47783439071</v>
      </c>
      <c r="BT31" s="330">
        <f t="shared" si="3"/>
        <v>630807.91083041963</v>
      </c>
      <c r="BU31" s="330">
        <f t="shared" si="3"/>
        <v>695066</v>
      </c>
      <c r="BV31" s="331">
        <f t="shared" si="3"/>
        <v>695513.95144554821</v>
      </c>
      <c r="BW31" s="330">
        <f t="shared" si="3"/>
        <v>692895.85714311991</v>
      </c>
      <c r="BX31" s="330">
        <f t="shared" si="3"/>
        <v>691095.89139702648</v>
      </c>
      <c r="BY31" s="330">
        <f t="shared" si="3"/>
        <v>689413.21540011151</v>
      </c>
      <c r="BZ31" s="313"/>
    </row>
    <row r="32" spans="1:81" s="314" customFormat="1" ht="15" thickBot="1">
      <c r="A32" s="332" t="s">
        <v>581</v>
      </c>
      <c r="B32" s="333"/>
      <c r="C32" s="333"/>
      <c r="D32" s="333"/>
      <c r="E32" s="333"/>
      <c r="F32" s="333"/>
      <c r="G32" s="333"/>
      <c r="H32" s="333"/>
      <c r="I32" s="333"/>
      <c r="J32" s="333"/>
      <c r="K32" s="333"/>
      <c r="L32" s="333"/>
      <c r="M32" s="333"/>
      <c r="N32" s="333"/>
      <c r="O32" s="333"/>
      <c r="P32" s="333"/>
      <c r="Q32" s="333"/>
      <c r="R32" s="333"/>
      <c r="S32" s="333"/>
      <c r="T32" s="333"/>
      <c r="U32" s="333"/>
      <c r="V32" s="333"/>
      <c r="W32" s="333"/>
      <c r="X32" s="333"/>
      <c r="Y32" s="333"/>
      <c r="Z32" s="333"/>
      <c r="AA32" s="333"/>
      <c r="AB32" s="333"/>
      <c r="AC32" s="333"/>
      <c r="AD32" s="333"/>
      <c r="AE32" s="333"/>
      <c r="AF32" s="333"/>
      <c r="AG32" s="333"/>
      <c r="AH32" s="333"/>
      <c r="AI32" s="333"/>
      <c r="AJ32" s="333"/>
      <c r="AK32" s="333"/>
      <c r="AL32" s="333"/>
      <c r="AM32" s="333"/>
      <c r="AN32" s="333"/>
      <c r="AO32" s="333"/>
      <c r="AP32" s="333"/>
      <c r="AQ32" s="333"/>
      <c r="AR32" s="333"/>
      <c r="AS32" s="333"/>
      <c r="AT32" s="333"/>
      <c r="AU32" s="333"/>
      <c r="AV32" s="333"/>
      <c r="AW32" s="333"/>
      <c r="AX32" s="333"/>
      <c r="AY32" s="333"/>
      <c r="AZ32" s="333"/>
      <c r="BA32" s="333"/>
      <c r="BB32" s="333"/>
      <c r="BC32" s="327">
        <f t="shared" ref="BC32:BY32" si="9">BC18/BC$3</f>
        <v>409181.35803129792</v>
      </c>
      <c r="BD32" s="327">
        <f t="shared" si="9"/>
        <v>455493.94433941663</v>
      </c>
      <c r="BE32" s="327">
        <f t="shared" si="9"/>
        <v>496564.91136987729</v>
      </c>
      <c r="BF32" s="327">
        <f t="shared" si="9"/>
        <v>504016.79951663787</v>
      </c>
      <c r="BG32" s="327">
        <f t="shared" si="9"/>
        <v>520985.25879886554</v>
      </c>
      <c r="BH32" s="327">
        <f t="shared" si="9"/>
        <v>513914.45197145088</v>
      </c>
      <c r="BI32" s="327">
        <f t="shared" si="9"/>
        <v>524907.87753511593</v>
      </c>
      <c r="BJ32" s="327">
        <f t="shared" si="9"/>
        <v>578120.60518517205</v>
      </c>
      <c r="BK32" s="327">
        <f t="shared" si="9"/>
        <v>600603.12956526317</v>
      </c>
      <c r="BL32" s="327">
        <f t="shared" si="9"/>
        <v>620097.87939572101</v>
      </c>
      <c r="BM32" s="327">
        <f t="shared" si="9"/>
        <v>607027.09199002211</v>
      </c>
      <c r="BN32" s="327">
        <f t="shared" si="9"/>
        <v>605410.87614741107</v>
      </c>
      <c r="BO32" s="327">
        <f t="shared" si="9"/>
        <v>554549.42247823603</v>
      </c>
      <c r="BP32" s="327">
        <f t="shared" si="9"/>
        <v>552565.40416029666</v>
      </c>
      <c r="BQ32" s="327">
        <f t="shared" si="9"/>
        <v>542947.4652467533</v>
      </c>
      <c r="BR32" s="327">
        <f t="shared" si="9"/>
        <v>567411.06352532585</v>
      </c>
      <c r="BS32" s="327">
        <f t="shared" si="9"/>
        <v>565086.45702195505</v>
      </c>
      <c r="BT32" s="327">
        <f t="shared" si="9"/>
        <v>540959.20993065473</v>
      </c>
      <c r="BU32" s="334">
        <f t="shared" si="9"/>
        <v>626066</v>
      </c>
      <c r="BV32" s="335">
        <f t="shared" si="9"/>
        <v>675927.09922867618</v>
      </c>
      <c r="BW32" s="333">
        <f t="shared" si="9"/>
        <v>673723.6547299613</v>
      </c>
      <c r="BX32" s="327">
        <f t="shared" si="9"/>
        <v>672328.84005964187</v>
      </c>
      <c r="BY32" s="327">
        <f t="shared" si="9"/>
        <v>671047.96285209188</v>
      </c>
      <c r="BZ32" s="313"/>
    </row>
    <row r="33" spans="1:75" s="305" customFormat="1" ht="15" customHeight="1">
      <c r="A33" s="323" t="s">
        <v>583</v>
      </c>
      <c r="B33" s="321"/>
      <c r="C33" s="321"/>
      <c r="D33" s="321"/>
      <c r="E33" s="321"/>
      <c r="F33" s="321"/>
      <c r="G33" s="321"/>
      <c r="H33" s="321"/>
      <c r="I33" s="321"/>
      <c r="J33" s="321"/>
      <c r="K33" s="321"/>
      <c r="L33" s="321"/>
      <c r="M33" s="321"/>
      <c r="N33" s="321"/>
      <c r="O33" s="321"/>
      <c r="P33" s="321"/>
      <c r="Q33" s="321"/>
      <c r="R33" s="321"/>
      <c r="S33" s="321"/>
      <c r="T33" s="321"/>
      <c r="U33" s="321"/>
      <c r="V33" s="321"/>
      <c r="W33" s="321"/>
      <c r="X33" s="321"/>
      <c r="Y33" s="321"/>
      <c r="Z33" s="321"/>
      <c r="AA33" s="321"/>
      <c r="AB33" s="321"/>
      <c r="AC33" s="321"/>
      <c r="AD33" s="321"/>
      <c r="AE33" s="321"/>
      <c r="AF33" s="321"/>
      <c r="AG33" s="321"/>
      <c r="AH33" s="321"/>
      <c r="AI33" s="321"/>
      <c r="AJ33" s="321"/>
      <c r="AK33" s="321"/>
      <c r="AL33" s="321"/>
      <c r="AM33" s="322"/>
      <c r="AN33" s="322"/>
      <c r="AO33" s="323"/>
      <c r="AP33" s="323"/>
      <c r="AQ33" s="323"/>
      <c r="AR33" s="323"/>
      <c r="AS33" s="323"/>
      <c r="AT33" s="324"/>
      <c r="AU33" s="324"/>
      <c r="AV33" s="324"/>
      <c r="AW33" s="324"/>
      <c r="AX33" s="324"/>
      <c r="AY33" s="324"/>
      <c r="AZ33" s="324"/>
      <c r="BA33" s="324"/>
      <c r="BB33" s="324"/>
      <c r="BC33" s="324"/>
      <c r="BD33" s="324"/>
      <c r="BE33" s="324"/>
      <c r="BF33" s="324"/>
      <c r="BG33" s="324"/>
      <c r="BH33" s="324"/>
      <c r="BI33" s="324"/>
      <c r="BJ33" s="324"/>
      <c r="BK33" s="324"/>
      <c r="BL33" s="324"/>
      <c r="BM33" s="324"/>
      <c r="BN33" s="324"/>
      <c r="BO33" s="324"/>
      <c r="BP33" s="324"/>
      <c r="BQ33" s="324"/>
      <c r="BR33" s="324"/>
      <c r="BS33" s="324"/>
      <c r="BT33" s="324"/>
      <c r="BU33" s="324"/>
      <c r="BV33" s="324"/>
      <c r="BW33" s="324"/>
    </row>
    <row r="34" spans="1:75" s="328" customFormat="1" ht="15.5" customHeight="1">
      <c r="A34" s="326" t="s">
        <v>569</v>
      </c>
      <c r="B34" s="336"/>
      <c r="C34" s="337">
        <v>7.3</v>
      </c>
      <c r="D34" s="338">
        <v>-1.4</v>
      </c>
      <c r="E34" s="338">
        <v>60.7</v>
      </c>
      <c r="F34" s="339">
        <v>33.5</v>
      </c>
      <c r="G34" s="339">
        <v>1.8</v>
      </c>
      <c r="H34" s="339">
        <v>-4.5</v>
      </c>
      <c r="I34" s="340">
        <v>-5.3</v>
      </c>
      <c r="J34" s="341">
        <v>-5.4</v>
      </c>
      <c r="K34" s="341">
        <v>0.9</v>
      </c>
      <c r="L34" s="341">
        <v>-7.3</v>
      </c>
      <c r="M34" s="336">
        <v>-3</v>
      </c>
      <c r="N34" s="337">
        <v>-1.3</v>
      </c>
      <c r="O34" s="338">
        <v>-0.3</v>
      </c>
      <c r="P34" s="338">
        <v>8.3000000000000007</v>
      </c>
      <c r="Q34" s="339">
        <v>-2</v>
      </c>
      <c r="R34" s="339">
        <v>0.4</v>
      </c>
      <c r="S34" s="339">
        <v>0.6</v>
      </c>
      <c r="T34" s="340">
        <v>5.6</v>
      </c>
      <c r="U34" s="341">
        <v>12.2</v>
      </c>
      <c r="V34" s="341">
        <v>3.8</v>
      </c>
      <c r="W34" s="341">
        <v>0.6</v>
      </c>
      <c r="X34" s="336">
        <v>-4</v>
      </c>
      <c r="Y34" s="337">
        <v>-8</v>
      </c>
      <c r="Z34" s="338">
        <v>-10.6</v>
      </c>
      <c r="AA34" s="338">
        <v>-7.3</v>
      </c>
      <c r="AB34" s="339">
        <v>-4.5</v>
      </c>
      <c r="AC34" s="339">
        <v>-3.8</v>
      </c>
      <c r="AD34" s="339">
        <v>-3.6</v>
      </c>
      <c r="AE34" s="340">
        <v>-2.7</v>
      </c>
      <c r="AF34" s="341">
        <v>-2.2000000000000002</v>
      </c>
      <c r="AG34" s="341">
        <v>-0.7</v>
      </c>
      <c r="AH34" s="341">
        <v>0.2</v>
      </c>
      <c r="AI34" s="336">
        <v>3.7</v>
      </c>
      <c r="AJ34" s="337">
        <v>1.5</v>
      </c>
      <c r="AK34" s="338">
        <v>1.8</v>
      </c>
      <c r="AL34" s="338">
        <v>1.1000000000000001</v>
      </c>
      <c r="AM34" s="342">
        <v>27</v>
      </c>
      <c r="AN34" s="343">
        <v>-2.4</v>
      </c>
      <c r="AO34" s="344">
        <v>5.0999999999999996</v>
      </c>
      <c r="AP34" s="345">
        <v>-0.6</v>
      </c>
      <c r="AQ34" s="345">
        <v>-0.8</v>
      </c>
      <c r="AR34" s="345">
        <v>-1.1000000000000001</v>
      </c>
      <c r="AS34" s="346">
        <v>1.2</v>
      </c>
      <c r="AT34" s="347">
        <v>-5.8</v>
      </c>
      <c r="AU34" s="348">
        <v>-10.4</v>
      </c>
      <c r="AV34" s="348">
        <v>-8.3000000000000007</v>
      </c>
      <c r="AW34" s="349">
        <v>-2.2000000000000002</v>
      </c>
      <c r="AX34" s="349">
        <v>-4.5999999999999996</v>
      </c>
      <c r="AY34" s="349">
        <v>-2.2000000000000002</v>
      </c>
      <c r="AZ34" s="350">
        <v>-4.9000000000000004</v>
      </c>
      <c r="BA34" s="351">
        <v>-1.8</v>
      </c>
      <c r="BB34" s="351">
        <v>-0.3</v>
      </c>
      <c r="BC34" s="351">
        <v>0.8</v>
      </c>
      <c r="BD34" s="352">
        <v>6.9</v>
      </c>
      <c r="BE34" s="347">
        <v>22</v>
      </c>
      <c r="BF34" s="348">
        <v>3.3</v>
      </c>
      <c r="BG34" s="348">
        <v>1.2</v>
      </c>
      <c r="BH34" s="349">
        <v>2.5</v>
      </c>
      <c r="BI34" s="349">
        <v>-0.1</v>
      </c>
      <c r="BJ34" s="349">
        <v>2.2000000000000002</v>
      </c>
      <c r="BK34" s="350">
        <v>4</v>
      </c>
      <c r="BL34" s="351">
        <v>2.4</v>
      </c>
      <c r="BM34" s="351">
        <v>-0.7</v>
      </c>
      <c r="BN34" s="351">
        <v>-1.8</v>
      </c>
      <c r="BO34" s="352">
        <v>-4.8</v>
      </c>
      <c r="BP34" s="347">
        <v>-3.5</v>
      </c>
      <c r="BQ34" s="348">
        <v>-4</v>
      </c>
      <c r="BR34" s="348">
        <v>-1.6</v>
      </c>
      <c r="BS34" s="349">
        <v>-1.8</v>
      </c>
      <c r="BT34" s="349">
        <v>0.3</v>
      </c>
      <c r="BU34" s="349"/>
      <c r="BV34" s="349"/>
      <c r="BW34" s="352"/>
    </row>
    <row r="35" spans="1:75" s="328" customFormat="1">
      <c r="A35" s="326" t="s">
        <v>570</v>
      </c>
      <c r="B35" s="336"/>
      <c r="C35" s="337">
        <v>9.6999999999999993</v>
      </c>
      <c r="D35" s="338">
        <v>-2.7</v>
      </c>
      <c r="E35" s="338">
        <v>17.8</v>
      </c>
      <c r="F35" s="339">
        <v>3</v>
      </c>
      <c r="G35" s="339">
        <v>1.8</v>
      </c>
      <c r="H35" s="339">
        <v>16.2</v>
      </c>
      <c r="I35" s="340">
        <v>3.1</v>
      </c>
      <c r="J35" s="341">
        <v>9.4</v>
      </c>
      <c r="K35" s="341">
        <v>0.1</v>
      </c>
      <c r="L35" s="341">
        <v>9.1</v>
      </c>
      <c r="M35" s="336">
        <v>5.5</v>
      </c>
      <c r="N35" s="337">
        <v>12.6</v>
      </c>
      <c r="O35" s="338">
        <v>10.8</v>
      </c>
      <c r="P35" s="338">
        <v>16.399999999999999</v>
      </c>
      <c r="Q35" s="339">
        <v>12.4</v>
      </c>
      <c r="R35" s="339">
        <v>15.1</v>
      </c>
      <c r="S35" s="339">
        <v>12</v>
      </c>
      <c r="T35" s="340">
        <v>9.4</v>
      </c>
      <c r="U35" s="341">
        <v>10.9</v>
      </c>
      <c r="V35" s="341">
        <v>10.199999999999999</v>
      </c>
      <c r="W35" s="341">
        <v>11</v>
      </c>
      <c r="X35" s="336">
        <v>8.5</v>
      </c>
      <c r="Y35" s="337">
        <v>7.3</v>
      </c>
      <c r="Z35" s="338">
        <v>7.9</v>
      </c>
      <c r="AA35" s="338">
        <v>7.3</v>
      </c>
      <c r="AB35" s="339">
        <v>5.8</v>
      </c>
      <c r="AC35" s="339">
        <v>6.4</v>
      </c>
      <c r="AD35" s="339">
        <v>5.5</v>
      </c>
      <c r="AE35" s="340">
        <v>6.2</v>
      </c>
      <c r="AF35" s="341">
        <v>3.6</v>
      </c>
      <c r="AG35" s="341">
        <v>3.5</v>
      </c>
      <c r="AH35" s="341">
        <v>3.8</v>
      </c>
      <c r="AI35" s="336">
        <v>4</v>
      </c>
      <c r="AJ35" s="337">
        <v>1.6</v>
      </c>
      <c r="AK35" s="338">
        <v>1.9</v>
      </c>
      <c r="AL35" s="338">
        <v>-1.2</v>
      </c>
      <c r="AM35" s="353">
        <v>0</v>
      </c>
      <c r="AN35" s="354">
        <v>0</v>
      </c>
      <c r="AO35" s="344">
        <v>0</v>
      </c>
      <c r="AP35" s="345">
        <v>0</v>
      </c>
      <c r="AQ35" s="345">
        <v>0</v>
      </c>
      <c r="AR35" s="345">
        <v>0</v>
      </c>
      <c r="AS35" s="346">
        <v>0</v>
      </c>
      <c r="AT35" s="347"/>
      <c r="AU35" s="348"/>
      <c r="AV35" s="348"/>
      <c r="AW35" s="349"/>
      <c r="AX35" s="349"/>
      <c r="AY35" s="349"/>
      <c r="AZ35" s="350"/>
      <c r="BA35" s="351"/>
      <c r="BB35" s="351"/>
      <c r="BC35" s="351"/>
      <c r="BD35" s="352"/>
      <c r="BE35" s="347"/>
      <c r="BF35" s="348"/>
      <c r="BG35" s="348"/>
      <c r="BH35" s="349"/>
      <c r="BI35" s="349"/>
      <c r="BJ35" s="349"/>
      <c r="BK35" s="350"/>
      <c r="BL35" s="351"/>
      <c r="BM35" s="351"/>
      <c r="BN35" s="351"/>
      <c r="BO35" s="352"/>
      <c r="BP35" s="347"/>
      <c r="BQ35" s="348"/>
      <c r="BR35" s="348"/>
      <c r="BS35" s="349"/>
      <c r="BT35" s="349"/>
      <c r="BU35" s="349"/>
      <c r="BV35" s="349"/>
      <c r="BW35" s="352"/>
    </row>
    <row r="36" spans="1:75" s="328" customFormat="1">
      <c r="A36" s="326" t="s">
        <v>571</v>
      </c>
      <c r="B36" s="336"/>
      <c r="C36" s="337">
        <v>2</v>
      </c>
      <c r="D36" s="338">
        <v>-3.9</v>
      </c>
      <c r="E36" s="338">
        <v>116.3</v>
      </c>
      <c r="F36" s="339">
        <v>11.7</v>
      </c>
      <c r="G36" s="339">
        <v>-13.4</v>
      </c>
      <c r="H36" s="339">
        <v>-6</v>
      </c>
      <c r="I36" s="340">
        <v>-18.5</v>
      </c>
      <c r="J36" s="341">
        <v>4.0999999999999996</v>
      </c>
      <c r="K36" s="341">
        <v>1.1000000000000001</v>
      </c>
      <c r="L36" s="341">
        <v>0.7</v>
      </c>
      <c r="M36" s="336">
        <v>-2</v>
      </c>
      <c r="N36" s="337">
        <v>-2.2999999999999998</v>
      </c>
      <c r="O36" s="338">
        <v>-1.3</v>
      </c>
      <c r="P36" s="338">
        <v>5.8</v>
      </c>
      <c r="Q36" s="339">
        <v>-2</v>
      </c>
      <c r="R36" s="339">
        <v>-0.6</v>
      </c>
      <c r="S36" s="339">
        <v>2.4</v>
      </c>
      <c r="T36" s="340">
        <v>14.9</v>
      </c>
      <c r="U36" s="341">
        <v>19.600000000000001</v>
      </c>
      <c r="V36" s="341">
        <v>4.8</v>
      </c>
      <c r="W36" s="341">
        <v>1.7</v>
      </c>
      <c r="X36" s="336">
        <v>-9.1</v>
      </c>
      <c r="Y36" s="337">
        <v>-10.4</v>
      </c>
      <c r="Z36" s="338">
        <v>-3.5</v>
      </c>
      <c r="AA36" s="338">
        <v>-2.7</v>
      </c>
      <c r="AB36" s="339">
        <v>-1.1000000000000001</v>
      </c>
      <c r="AC36" s="339">
        <v>0.5</v>
      </c>
      <c r="AD36" s="339">
        <v>0.1</v>
      </c>
      <c r="AE36" s="340">
        <v>3.6</v>
      </c>
      <c r="AF36" s="341">
        <v>-0.3</v>
      </c>
      <c r="AG36" s="341">
        <v>2.9</v>
      </c>
      <c r="AH36" s="341">
        <v>4.3</v>
      </c>
      <c r="AI36" s="336">
        <v>7.7</v>
      </c>
      <c r="AJ36" s="337">
        <v>6.9</v>
      </c>
      <c r="AK36" s="338">
        <v>3.7</v>
      </c>
      <c r="AL36" s="338">
        <v>4.7</v>
      </c>
      <c r="AM36" s="353">
        <v>6.7</v>
      </c>
      <c r="AN36" s="354">
        <v>-4.2</v>
      </c>
      <c r="AO36" s="344">
        <v>2.4</v>
      </c>
      <c r="AP36" s="345">
        <v>-0.8</v>
      </c>
      <c r="AQ36" s="345">
        <v>0.8</v>
      </c>
      <c r="AR36" s="345">
        <v>-0.9</v>
      </c>
      <c r="AS36" s="346">
        <v>20.2</v>
      </c>
      <c r="AT36" s="355">
        <v>-19.5</v>
      </c>
      <c r="AU36" s="356">
        <v>-0.1</v>
      </c>
      <c r="AV36" s="356">
        <v>-3.4</v>
      </c>
      <c r="AW36" s="357">
        <v>3</v>
      </c>
      <c r="AX36" s="357">
        <v>-2.6</v>
      </c>
      <c r="AY36" s="357">
        <v>-3.5</v>
      </c>
      <c r="AZ36" s="358">
        <v>1.7</v>
      </c>
      <c r="BA36" s="359">
        <v>5.0999999999999996</v>
      </c>
      <c r="BB36" s="359">
        <v>2.2000000000000002</v>
      </c>
      <c r="BC36" s="359">
        <v>9.6999999999999993</v>
      </c>
      <c r="BD36" s="360">
        <v>5.5</v>
      </c>
      <c r="BE36" s="355">
        <v>27</v>
      </c>
      <c r="BF36" s="356">
        <v>2.8</v>
      </c>
      <c r="BG36" s="356">
        <v>-10.199999999999999</v>
      </c>
      <c r="BH36" s="357">
        <v>14.6</v>
      </c>
      <c r="BI36" s="357">
        <v>9.6</v>
      </c>
      <c r="BJ36" s="357">
        <v>3.1</v>
      </c>
      <c r="BK36" s="358">
        <v>4.9000000000000004</v>
      </c>
      <c r="BL36" s="359">
        <v>5.4</v>
      </c>
      <c r="BM36" s="359">
        <v>1.7</v>
      </c>
      <c r="BN36" s="359">
        <v>-7.7</v>
      </c>
      <c r="BO36" s="360">
        <v>-11.5</v>
      </c>
      <c r="BP36" s="355">
        <v>0.6</v>
      </c>
      <c r="BQ36" s="356">
        <v>-6.9</v>
      </c>
      <c r="BR36" s="356">
        <v>-0.9</v>
      </c>
      <c r="BS36" s="357">
        <v>-0.3</v>
      </c>
      <c r="BT36" s="357">
        <v>-12.1</v>
      </c>
      <c r="BU36" s="357"/>
      <c r="BV36" s="357"/>
      <c r="BW36" s="360"/>
    </row>
    <row r="37" spans="1:75" s="328" customFormat="1">
      <c r="A37" s="326" t="s">
        <v>572</v>
      </c>
      <c r="B37" s="336"/>
      <c r="C37" s="337">
        <v>-54.7</v>
      </c>
      <c r="D37" s="338">
        <v>105</v>
      </c>
      <c r="E37" s="338">
        <v>444.2</v>
      </c>
      <c r="F37" s="339">
        <v>39.4</v>
      </c>
      <c r="G37" s="339">
        <v>-30.6</v>
      </c>
      <c r="H37" s="339">
        <v>-53.2</v>
      </c>
      <c r="I37" s="340">
        <v>-29.3</v>
      </c>
      <c r="J37" s="341">
        <v>16.600000000000001</v>
      </c>
      <c r="K37" s="341">
        <v>11.1</v>
      </c>
      <c r="L37" s="341">
        <v>1.9</v>
      </c>
      <c r="M37" s="336">
        <v>27.8</v>
      </c>
      <c r="N37" s="337">
        <v>-11.3</v>
      </c>
      <c r="O37" s="338">
        <v>4.5</v>
      </c>
      <c r="P37" s="338">
        <v>32</v>
      </c>
      <c r="Q37" s="339">
        <v>3.1</v>
      </c>
      <c r="R37" s="339">
        <v>-11</v>
      </c>
      <c r="S37" s="339">
        <v>-13.7</v>
      </c>
      <c r="T37" s="340">
        <v>33.799999999999997</v>
      </c>
      <c r="U37" s="341">
        <v>9.6999999999999993</v>
      </c>
      <c r="V37" s="341">
        <v>-2.1</v>
      </c>
      <c r="W37" s="341">
        <v>-16</v>
      </c>
      <c r="X37" s="336">
        <v>-15.4</v>
      </c>
      <c r="Y37" s="337">
        <v>-17.2</v>
      </c>
      <c r="Z37" s="338">
        <v>5.0999999999999996</v>
      </c>
      <c r="AA37" s="338">
        <v>-9.6999999999999993</v>
      </c>
      <c r="AB37" s="339">
        <v>-11.2</v>
      </c>
      <c r="AC37" s="339">
        <v>-12.2</v>
      </c>
      <c r="AD37" s="339">
        <v>13.5</v>
      </c>
      <c r="AE37" s="340">
        <v>28.5</v>
      </c>
      <c r="AF37" s="341">
        <v>-3.5</v>
      </c>
      <c r="AG37" s="341">
        <v>-4</v>
      </c>
      <c r="AH37" s="341">
        <v>2</v>
      </c>
      <c r="AI37" s="336">
        <v>25.6</v>
      </c>
      <c r="AJ37" s="337">
        <v>26.3</v>
      </c>
      <c r="AK37" s="338">
        <v>19.100000000000001</v>
      </c>
      <c r="AL37" s="338">
        <v>3.7</v>
      </c>
      <c r="AM37" s="353">
        <v>9.1</v>
      </c>
      <c r="AN37" s="354">
        <v>-7.4</v>
      </c>
      <c r="AO37" s="344">
        <v>-16.100000000000001</v>
      </c>
      <c r="AP37" s="345">
        <v>-4</v>
      </c>
      <c r="AQ37" s="345">
        <v>-4.3</v>
      </c>
      <c r="AR37" s="345">
        <v>-0.8</v>
      </c>
      <c r="AS37" s="346">
        <v>-14.2</v>
      </c>
      <c r="AT37" s="347">
        <v>-14.2</v>
      </c>
      <c r="AU37" s="348">
        <v>-17.8</v>
      </c>
      <c r="AV37" s="348">
        <v>-17.899999999999999</v>
      </c>
      <c r="AW37" s="349">
        <v>-2.7</v>
      </c>
      <c r="AX37" s="349">
        <v>-3.8</v>
      </c>
      <c r="AY37" s="349">
        <v>-0.3</v>
      </c>
      <c r="AZ37" s="350">
        <v>3.2</v>
      </c>
      <c r="BA37" s="351">
        <v>12.5</v>
      </c>
      <c r="BB37" s="351">
        <v>6</v>
      </c>
      <c r="BC37" s="351">
        <v>12.2</v>
      </c>
      <c r="BD37" s="352">
        <v>-1.4</v>
      </c>
      <c r="BE37" s="347">
        <v>22.5</v>
      </c>
      <c r="BF37" s="348">
        <v>3.2</v>
      </c>
      <c r="BG37" s="348">
        <v>13.3</v>
      </c>
      <c r="BH37" s="349">
        <v>6.5</v>
      </c>
      <c r="BI37" s="349">
        <v>24.5</v>
      </c>
      <c r="BJ37" s="349">
        <v>21.5</v>
      </c>
      <c r="BK37" s="350">
        <v>-19.100000000000001</v>
      </c>
      <c r="BL37" s="351">
        <v>-1.3</v>
      </c>
      <c r="BM37" s="351">
        <v>-4.5</v>
      </c>
      <c r="BN37" s="351">
        <v>-11.6</v>
      </c>
      <c r="BO37" s="352">
        <v>-18.5</v>
      </c>
      <c r="BP37" s="347">
        <v>1.3</v>
      </c>
      <c r="BQ37" s="348">
        <v>0.2</v>
      </c>
      <c r="BR37" s="348">
        <v>14.4</v>
      </c>
      <c r="BS37" s="349">
        <v>-1.2</v>
      </c>
      <c r="BT37" s="349">
        <v>-5.7</v>
      </c>
      <c r="BU37" s="349"/>
      <c r="BV37" s="349"/>
      <c r="BW37" s="352"/>
    </row>
    <row r="38" spans="1:75" s="328" customFormat="1">
      <c r="A38" s="326" t="s">
        <v>573</v>
      </c>
      <c r="B38" s="336"/>
      <c r="C38" s="337">
        <v>-48.9</v>
      </c>
      <c r="D38" s="338">
        <v>134.30000000000001</v>
      </c>
      <c r="E38" s="338">
        <v>102.4</v>
      </c>
      <c r="F38" s="339">
        <v>36.1</v>
      </c>
      <c r="G38" s="339">
        <v>24.7</v>
      </c>
      <c r="H38" s="339">
        <v>-0.4</v>
      </c>
      <c r="I38" s="340">
        <v>-1.8</v>
      </c>
      <c r="J38" s="341">
        <v>30.4</v>
      </c>
      <c r="K38" s="341">
        <v>19.2</v>
      </c>
      <c r="L38" s="341">
        <v>-6.5</v>
      </c>
      <c r="M38" s="336">
        <v>29</v>
      </c>
      <c r="N38" s="337">
        <v>6.7</v>
      </c>
      <c r="O38" s="338">
        <v>4.2</v>
      </c>
      <c r="P38" s="338">
        <v>5.7</v>
      </c>
      <c r="Q38" s="339">
        <v>8.1</v>
      </c>
      <c r="R38" s="339">
        <v>-1.1000000000000001</v>
      </c>
      <c r="S38" s="339">
        <v>-9.1</v>
      </c>
      <c r="T38" s="340">
        <v>0.7</v>
      </c>
      <c r="U38" s="341">
        <v>2.8</v>
      </c>
      <c r="V38" s="341">
        <v>-1.6</v>
      </c>
      <c r="W38" s="341">
        <v>0.9</v>
      </c>
      <c r="X38" s="336">
        <v>-7.7</v>
      </c>
      <c r="Y38" s="337">
        <v>-9.3000000000000007</v>
      </c>
      <c r="Z38" s="338">
        <v>0.9</v>
      </c>
      <c r="AA38" s="338">
        <v>-0.9</v>
      </c>
      <c r="AB38" s="339">
        <v>-6.8</v>
      </c>
      <c r="AC38" s="339">
        <v>-4.5999999999999996</v>
      </c>
      <c r="AD38" s="339">
        <v>-0.4</v>
      </c>
      <c r="AE38" s="340">
        <v>5</v>
      </c>
      <c r="AF38" s="341">
        <v>0.2</v>
      </c>
      <c r="AG38" s="341">
        <v>-1.9</v>
      </c>
      <c r="AH38" s="341">
        <v>-0.3</v>
      </c>
      <c r="AI38" s="336">
        <v>13.1</v>
      </c>
      <c r="AJ38" s="337">
        <v>14.7</v>
      </c>
      <c r="AK38" s="338">
        <v>9.5</v>
      </c>
      <c r="AL38" s="338">
        <v>13.6</v>
      </c>
      <c r="AM38" s="353">
        <v>13</v>
      </c>
      <c r="AN38" s="354">
        <v>4.5999999999999996</v>
      </c>
      <c r="AO38" s="344">
        <v>2.8</v>
      </c>
      <c r="AP38" s="345">
        <v>-1.5</v>
      </c>
      <c r="AQ38" s="345">
        <v>-1.3</v>
      </c>
      <c r="AR38" s="345">
        <v>-6.4</v>
      </c>
      <c r="AS38" s="346">
        <v>-4</v>
      </c>
      <c r="AT38" s="347">
        <v>-1.4</v>
      </c>
      <c r="AU38" s="348">
        <v>2.2000000000000002</v>
      </c>
      <c r="AV38" s="348">
        <v>-10.7</v>
      </c>
      <c r="AW38" s="349">
        <v>-2.1</v>
      </c>
      <c r="AX38" s="349">
        <v>-0.6</v>
      </c>
      <c r="AY38" s="349">
        <v>2.6</v>
      </c>
      <c r="AZ38" s="350">
        <v>0.6</v>
      </c>
      <c r="BA38" s="351">
        <v>2</v>
      </c>
      <c r="BB38" s="351">
        <v>-0.8</v>
      </c>
      <c r="BC38" s="351">
        <v>5.7</v>
      </c>
      <c r="BD38" s="352">
        <v>15.4</v>
      </c>
      <c r="BE38" s="347">
        <v>17.100000000000001</v>
      </c>
      <c r="BF38" s="348">
        <v>8.4</v>
      </c>
      <c r="BG38" s="348">
        <v>3.4</v>
      </c>
      <c r="BH38" s="349">
        <v>3</v>
      </c>
      <c r="BI38" s="349">
        <v>4</v>
      </c>
      <c r="BJ38" s="349">
        <v>0.6</v>
      </c>
      <c r="BK38" s="350">
        <v>-0.9</v>
      </c>
      <c r="BL38" s="351">
        <v>-1.1000000000000001</v>
      </c>
      <c r="BM38" s="351">
        <v>-6.2</v>
      </c>
      <c r="BN38" s="351">
        <v>-7.5</v>
      </c>
      <c r="BO38" s="352">
        <v>-13.1</v>
      </c>
      <c r="BP38" s="347">
        <v>-1</v>
      </c>
      <c r="BQ38" s="348">
        <v>-0.6</v>
      </c>
      <c r="BR38" s="348">
        <v>7.2</v>
      </c>
      <c r="BS38" s="349">
        <v>-0.6</v>
      </c>
      <c r="BT38" s="349">
        <v>15.5</v>
      </c>
      <c r="BU38" s="349"/>
      <c r="BV38" s="349"/>
      <c r="BW38" s="352"/>
    </row>
    <row r="39" spans="1:75" s="328" customFormat="1">
      <c r="A39" s="326" t="s">
        <v>574</v>
      </c>
      <c r="B39" s="336"/>
      <c r="C39" s="341">
        <v>-50</v>
      </c>
      <c r="D39" s="340">
        <v>190.5</v>
      </c>
      <c r="E39" s="341">
        <v>530</v>
      </c>
      <c r="F39" s="340">
        <v>62</v>
      </c>
      <c r="G39" s="341">
        <v>-42.5</v>
      </c>
      <c r="H39" s="341">
        <v>-84.8</v>
      </c>
      <c r="I39" s="340">
        <v>148.80000000000001</v>
      </c>
      <c r="J39" s="341">
        <v>34.200000000000003</v>
      </c>
      <c r="K39" s="341">
        <v>10.9</v>
      </c>
      <c r="L39" s="341">
        <v>40.6</v>
      </c>
      <c r="M39" s="336">
        <v>-32.5</v>
      </c>
      <c r="N39" s="341">
        <v>-2.9</v>
      </c>
      <c r="O39" s="340">
        <v>-22.3</v>
      </c>
      <c r="P39" s="341">
        <v>-26.2</v>
      </c>
      <c r="Q39" s="340">
        <v>46.1</v>
      </c>
      <c r="R39" s="341">
        <v>-22.5</v>
      </c>
      <c r="S39" s="341">
        <v>6.1</v>
      </c>
      <c r="T39" s="340">
        <v>128.4</v>
      </c>
      <c r="U39" s="341">
        <v>-57.7</v>
      </c>
      <c r="V39" s="341">
        <v>33</v>
      </c>
      <c r="W39" s="341">
        <v>-27.2</v>
      </c>
      <c r="X39" s="336">
        <v>-21</v>
      </c>
      <c r="Y39" s="341">
        <v>24.6</v>
      </c>
      <c r="Z39" s="340">
        <v>-9.8000000000000007</v>
      </c>
      <c r="AA39" s="341">
        <v>-5.3</v>
      </c>
      <c r="AB39" s="340">
        <v>3</v>
      </c>
      <c r="AC39" s="341">
        <v>12.3</v>
      </c>
      <c r="AD39" s="341">
        <v>14</v>
      </c>
      <c r="AE39" s="340">
        <v>-8.1</v>
      </c>
      <c r="AF39" s="341">
        <v>-30.2</v>
      </c>
      <c r="AG39" s="341">
        <v>29.6</v>
      </c>
      <c r="AH39" s="341">
        <v>-6.5</v>
      </c>
      <c r="AI39" s="336">
        <v>39.700000000000003</v>
      </c>
      <c r="AJ39" s="341">
        <v>38.9</v>
      </c>
      <c r="AK39" s="340">
        <v>-10.5</v>
      </c>
      <c r="AL39" s="341">
        <v>-3.1</v>
      </c>
      <c r="AM39" s="353">
        <v>17.8</v>
      </c>
      <c r="AN39" s="354">
        <v>-7</v>
      </c>
      <c r="AO39" s="344">
        <v>-6.9</v>
      </c>
      <c r="AP39" s="345">
        <v>0.7</v>
      </c>
      <c r="AQ39" s="345">
        <v>3.5</v>
      </c>
      <c r="AR39" s="345">
        <v>-13</v>
      </c>
      <c r="AS39" s="346">
        <v>-1.6</v>
      </c>
      <c r="AT39" s="351">
        <v>-1.2</v>
      </c>
      <c r="AU39" s="350">
        <v>-14.9</v>
      </c>
      <c r="AV39" s="351">
        <v>29.2</v>
      </c>
      <c r="AW39" s="350">
        <v>-11.1</v>
      </c>
      <c r="AX39" s="351">
        <v>24.8</v>
      </c>
      <c r="AY39" s="351">
        <v>-17.899999999999999</v>
      </c>
      <c r="AZ39" s="350">
        <v>-5.5</v>
      </c>
      <c r="BA39" s="351">
        <v>-2.8</v>
      </c>
      <c r="BB39" s="351">
        <v>-7</v>
      </c>
      <c r="BC39" s="351">
        <v>4.3</v>
      </c>
      <c r="BD39" s="352">
        <v>19.600000000000001</v>
      </c>
      <c r="BE39" s="351">
        <v>-1.9</v>
      </c>
      <c r="BF39" s="350">
        <v>-10.4</v>
      </c>
      <c r="BG39" s="351">
        <v>15.4</v>
      </c>
      <c r="BH39" s="350">
        <v>28.5</v>
      </c>
      <c r="BI39" s="351">
        <v>43.9</v>
      </c>
      <c r="BJ39" s="351">
        <v>55.6</v>
      </c>
      <c r="BK39" s="350">
        <v>19.5</v>
      </c>
      <c r="BL39" s="351">
        <v>-16.8</v>
      </c>
      <c r="BM39" s="351">
        <v>-30.4</v>
      </c>
      <c r="BN39" s="351">
        <v>-29.9</v>
      </c>
      <c r="BO39" s="352">
        <v>-30</v>
      </c>
      <c r="BP39" s="351">
        <v>2.5</v>
      </c>
      <c r="BQ39" s="350">
        <v>-33.799999999999997</v>
      </c>
      <c r="BR39" s="351">
        <v>20.3</v>
      </c>
      <c r="BS39" s="350">
        <v>-5.9</v>
      </c>
      <c r="BT39" s="351">
        <v>23.5</v>
      </c>
      <c r="BU39" s="351"/>
      <c r="BV39" s="351"/>
      <c r="BW39" s="352"/>
    </row>
    <row r="40" spans="1:75" s="329" customFormat="1">
      <c r="A40" s="361"/>
      <c r="B40" s="362"/>
      <c r="C40" s="363">
        <v>-6.7</v>
      </c>
      <c r="D40" s="364">
        <v>13.4</v>
      </c>
      <c r="E40" s="365">
        <v>154.4</v>
      </c>
      <c r="F40" s="364">
        <v>31.1</v>
      </c>
      <c r="G40" s="365">
        <v>-16.600000000000001</v>
      </c>
      <c r="H40" s="365">
        <v>-23.7</v>
      </c>
      <c r="I40" s="364">
        <v>-10.9</v>
      </c>
      <c r="J40" s="365">
        <v>1.1000000000000001</v>
      </c>
      <c r="K40" s="365">
        <v>4.5999999999999996</v>
      </c>
      <c r="L40" s="365">
        <v>-0.9</v>
      </c>
      <c r="M40" s="362">
        <v>4.7</v>
      </c>
      <c r="N40" s="363">
        <v>-3.1</v>
      </c>
      <c r="O40" s="364">
        <v>0.3</v>
      </c>
      <c r="P40" s="365">
        <v>13.8</v>
      </c>
      <c r="Q40" s="364">
        <v>0.7</v>
      </c>
      <c r="R40" s="365">
        <v>-3.3</v>
      </c>
      <c r="S40" s="365">
        <v>-3.4</v>
      </c>
      <c r="T40" s="364">
        <v>17.7</v>
      </c>
      <c r="U40" s="365">
        <v>9.5</v>
      </c>
      <c r="V40" s="365">
        <v>2.1</v>
      </c>
      <c r="W40" s="365">
        <v>-3</v>
      </c>
      <c r="X40" s="362">
        <v>-8.8000000000000007</v>
      </c>
      <c r="Y40" s="363">
        <v>-9.5</v>
      </c>
      <c r="Z40" s="364">
        <v>-3.7</v>
      </c>
      <c r="AA40" s="365">
        <v>-5</v>
      </c>
      <c r="AB40" s="364">
        <v>-4.2</v>
      </c>
      <c r="AC40" s="365">
        <v>-3.1</v>
      </c>
      <c r="AD40" s="365">
        <v>1.5</v>
      </c>
      <c r="AE40" s="364">
        <v>6</v>
      </c>
      <c r="AF40" s="365">
        <v>-1.5</v>
      </c>
      <c r="AG40" s="365">
        <v>0.2</v>
      </c>
      <c r="AH40" s="365">
        <v>2</v>
      </c>
      <c r="AI40" s="362">
        <v>11.5</v>
      </c>
      <c r="AJ40" s="363">
        <v>10.3</v>
      </c>
      <c r="AK40" s="364">
        <v>7</v>
      </c>
      <c r="AL40" s="365">
        <v>4.2</v>
      </c>
      <c r="AM40" s="366">
        <v>6.8</v>
      </c>
      <c r="AN40" s="367">
        <v>-3.9</v>
      </c>
      <c r="AO40" s="368">
        <v>-3.1</v>
      </c>
      <c r="AP40" s="369">
        <v>-2</v>
      </c>
      <c r="AQ40" s="369">
        <v>-1.2</v>
      </c>
      <c r="AR40" s="369">
        <v>-2</v>
      </c>
      <c r="AS40" s="370">
        <v>-9.1</v>
      </c>
      <c r="AT40" s="371">
        <v>-0.6</v>
      </c>
      <c r="AU40" s="372">
        <v>-5.5</v>
      </c>
      <c r="AV40" s="373">
        <v>-7.9</v>
      </c>
      <c r="AW40" s="372">
        <v>-0.5</v>
      </c>
      <c r="AX40" s="373">
        <v>-2.6</v>
      </c>
      <c r="AY40" s="373">
        <v>-1</v>
      </c>
      <c r="AZ40" s="372">
        <v>-2.5</v>
      </c>
      <c r="BA40" s="373">
        <v>4.9000000000000004</v>
      </c>
      <c r="BB40" s="373">
        <v>1.8</v>
      </c>
      <c r="BC40" s="373">
        <v>6.4</v>
      </c>
      <c r="BD40" s="374">
        <v>5.6</v>
      </c>
      <c r="BE40" s="371">
        <v>22.7</v>
      </c>
      <c r="BF40" s="372">
        <v>4.3</v>
      </c>
      <c r="BG40" s="373">
        <v>-1.2</v>
      </c>
      <c r="BH40" s="372">
        <v>7.3</v>
      </c>
      <c r="BI40" s="373">
        <v>9.5</v>
      </c>
      <c r="BJ40" s="373">
        <v>8.8000000000000007</v>
      </c>
      <c r="BK40" s="372">
        <v>-2.9</v>
      </c>
      <c r="BL40" s="373">
        <v>2.4</v>
      </c>
      <c r="BM40" s="373">
        <v>-2.6</v>
      </c>
      <c r="BN40" s="373">
        <v>-6.7</v>
      </c>
      <c r="BO40" s="374">
        <v>-12.2</v>
      </c>
      <c r="BP40" s="371">
        <v>0.6</v>
      </c>
      <c r="BQ40" s="372">
        <v>-5.2</v>
      </c>
      <c r="BR40" s="373">
        <v>3.3</v>
      </c>
      <c r="BS40" s="372">
        <v>-2.2999999999999998</v>
      </c>
      <c r="BT40" s="373">
        <v>-4</v>
      </c>
      <c r="BU40" s="373"/>
      <c r="BV40" s="373"/>
      <c r="BW40" s="374"/>
    </row>
    <row r="41" spans="1:75" s="305" customFormat="1" ht="9.5" customHeight="1"/>
    <row r="42" spans="1:75">
      <c r="A42" s="375" t="s">
        <v>584</v>
      </c>
    </row>
    <row r="44" spans="1:75">
      <c r="D44" s="288">
        <v>14.086</v>
      </c>
      <c r="E44" s="288">
        <f t="shared" ref="E44:BP44" si="10">E17/1000</f>
        <v>47.533999999999999</v>
      </c>
      <c r="F44" s="288">
        <f t="shared" si="10"/>
        <v>60.195999999999998</v>
      </c>
      <c r="G44" s="288">
        <f t="shared" si="10"/>
        <v>48.603000000000002</v>
      </c>
      <c r="H44" s="288">
        <f t="shared" si="10"/>
        <v>34.319000000000003</v>
      </c>
      <c r="I44" s="288">
        <f t="shared" si="10"/>
        <v>30.425000000000001</v>
      </c>
      <c r="J44" s="288">
        <f t="shared" si="10"/>
        <v>32.790999999999997</v>
      </c>
      <c r="K44" s="288">
        <f t="shared" si="10"/>
        <v>35.915999999999997</v>
      </c>
      <c r="L44" s="288">
        <f t="shared" si="10"/>
        <v>36.970999999999997</v>
      </c>
      <c r="M44" s="288">
        <f t="shared" si="10"/>
        <v>41.402000000000001</v>
      </c>
      <c r="N44" s="288">
        <f t="shared" si="10"/>
        <v>40.906999999999996</v>
      </c>
      <c r="O44" s="288">
        <f t="shared" si="10"/>
        <v>41.386000000000003</v>
      </c>
      <c r="P44" s="288">
        <f t="shared" si="10"/>
        <v>48.014000000000003</v>
      </c>
      <c r="Q44" s="288">
        <f t="shared" si="10"/>
        <v>49.56</v>
      </c>
      <c r="R44" s="288">
        <f t="shared" si="10"/>
        <v>49.627000000000002</v>
      </c>
      <c r="S44" s="288">
        <f t="shared" si="10"/>
        <v>49.058</v>
      </c>
      <c r="T44" s="288">
        <f t="shared" si="10"/>
        <v>63.555</v>
      </c>
      <c r="U44" s="288">
        <f t="shared" si="10"/>
        <v>72.177000000000007</v>
      </c>
      <c r="V44" s="288">
        <f t="shared" si="10"/>
        <v>76.286000000000001</v>
      </c>
      <c r="W44" s="288">
        <f t="shared" si="10"/>
        <v>76.905000000000001</v>
      </c>
      <c r="X44" s="288">
        <f t="shared" si="10"/>
        <v>74.082999999999998</v>
      </c>
      <c r="Y44" s="288">
        <f t="shared" si="10"/>
        <v>71.159000000000006</v>
      </c>
      <c r="Z44" s="288">
        <f t="shared" si="10"/>
        <v>75.006</v>
      </c>
      <c r="AA44" s="288">
        <f t="shared" si="10"/>
        <v>77.555000000000007</v>
      </c>
      <c r="AB44" s="288">
        <f t="shared" si="10"/>
        <v>80.991</v>
      </c>
      <c r="AC44" s="288">
        <f t="shared" si="10"/>
        <v>85.661000000000001</v>
      </c>
      <c r="AD44" s="288">
        <f t="shared" si="10"/>
        <v>95.507999999999996</v>
      </c>
      <c r="AE44" s="288">
        <f t="shared" si="10"/>
        <v>108.33799999999999</v>
      </c>
      <c r="AF44" s="288">
        <f t="shared" si="10"/>
        <v>115.322</v>
      </c>
      <c r="AG44" s="288">
        <f t="shared" si="10"/>
        <v>125.004</v>
      </c>
      <c r="AH44" s="288">
        <f t="shared" si="10"/>
        <v>142.62100000000001</v>
      </c>
      <c r="AI44" s="288">
        <f t="shared" si="10"/>
        <v>178.36500000000001</v>
      </c>
      <c r="AJ44" s="288">
        <f t="shared" si="10"/>
        <v>213.751</v>
      </c>
      <c r="AK44" s="288">
        <f t="shared" si="10"/>
        <v>239.47399999999999</v>
      </c>
      <c r="AL44" s="288">
        <f t="shared" si="10"/>
        <v>258.14999999999998</v>
      </c>
      <c r="AM44" s="288">
        <f t="shared" si="10"/>
        <v>286.80200000000002</v>
      </c>
      <c r="AN44" s="288">
        <f t="shared" si="10"/>
        <v>281.39</v>
      </c>
      <c r="AO44" s="288">
        <f t="shared" si="10"/>
        <v>279.46899999999999</v>
      </c>
      <c r="AP44" s="288">
        <f t="shared" si="10"/>
        <v>283.755</v>
      </c>
      <c r="AQ44" s="288">
        <f t="shared" si="10"/>
        <v>290.83699999999999</v>
      </c>
      <c r="AR44" s="288">
        <f t="shared" si="10"/>
        <v>292.99900000000002</v>
      </c>
      <c r="AS44" s="288">
        <f t="shared" si="10"/>
        <v>276.20800000000003</v>
      </c>
      <c r="AT44" s="288">
        <f t="shared" si="10"/>
        <v>281.88299999999998</v>
      </c>
      <c r="AU44" s="288">
        <f t="shared" si="10"/>
        <v>267.40199999999999</v>
      </c>
      <c r="AV44" s="288">
        <f t="shared" si="10"/>
        <v>251.364</v>
      </c>
      <c r="AW44" s="288">
        <f t="shared" si="10"/>
        <v>255.727</v>
      </c>
      <c r="AX44" s="288">
        <f t="shared" si="10"/>
        <v>254.56899999999999</v>
      </c>
      <c r="AY44" s="288">
        <f t="shared" si="10"/>
        <v>258.00599999999997</v>
      </c>
      <c r="AZ44" s="288">
        <f t="shared" si="10"/>
        <v>258.58300000000003</v>
      </c>
      <c r="BA44" s="288">
        <f t="shared" si="10"/>
        <v>278.59500000000003</v>
      </c>
      <c r="BB44" s="288">
        <f t="shared" si="10"/>
        <v>290.53399999999999</v>
      </c>
      <c r="BC44" s="288">
        <f t="shared" si="10"/>
        <v>319.428</v>
      </c>
      <c r="BD44" s="288">
        <f t="shared" si="10"/>
        <v>345.63200000000001</v>
      </c>
      <c r="BE44" s="288">
        <f t="shared" si="10"/>
        <v>437.80099999999999</v>
      </c>
      <c r="BF44" s="288">
        <f t="shared" si="10"/>
        <v>471.01100000000002</v>
      </c>
      <c r="BG44" s="288">
        <f t="shared" si="10"/>
        <v>483.91300000000001</v>
      </c>
      <c r="BH44" s="288">
        <f t="shared" si="10"/>
        <v>536.46199999999999</v>
      </c>
      <c r="BI44" s="288">
        <f t="shared" si="10"/>
        <v>602.24599999999998</v>
      </c>
      <c r="BJ44" s="288">
        <f t="shared" si="10"/>
        <v>673.48699999999997</v>
      </c>
      <c r="BK44" s="288">
        <f t="shared" si="10"/>
        <v>664.524</v>
      </c>
      <c r="BL44" s="288">
        <f t="shared" si="10"/>
        <v>695.673</v>
      </c>
      <c r="BM44" s="288">
        <f t="shared" si="10"/>
        <v>690.78099999999995</v>
      </c>
      <c r="BN44" s="288">
        <f t="shared" si="10"/>
        <v>655.38800000000003</v>
      </c>
      <c r="BO44" s="288">
        <f t="shared" si="10"/>
        <v>585.36099999999999</v>
      </c>
      <c r="BP44" s="288">
        <f t="shared" si="10"/>
        <v>595.74</v>
      </c>
      <c r="BQ44" s="288">
        <f t="shared" ref="BQ44:BU44" si="11">BQ17/1000</f>
        <v>570.84400000000005</v>
      </c>
      <c r="BR44" s="288">
        <f t="shared" si="11"/>
        <v>595.72400000000005</v>
      </c>
      <c r="BS44" s="288">
        <f t="shared" si="11"/>
        <v>626.23900000000003</v>
      </c>
      <c r="BT44" s="288">
        <f t="shared" si="11"/>
        <v>618.64300000000003</v>
      </c>
      <c r="BU44" s="288">
        <f t="shared" si="11"/>
        <v>695.06600000000003</v>
      </c>
    </row>
    <row r="45" spans="1:75">
      <c r="D45" s="288">
        <v>47.533999999999999</v>
      </c>
    </row>
    <row r="46" spans="1:75">
      <c r="D46" s="288">
        <v>60.195999999999998</v>
      </c>
    </row>
    <row r="47" spans="1:75">
      <c r="D47" s="288">
        <v>48.603000000000002</v>
      </c>
    </row>
    <row r="48" spans="1:75">
      <c r="D48" s="288">
        <v>34.319000000000003</v>
      </c>
    </row>
    <row r="49" spans="4:4">
      <c r="D49" s="288">
        <v>30.425000000000001</v>
      </c>
    </row>
    <row r="50" spans="4:4">
      <c r="D50" s="288">
        <v>32.790999999999997</v>
      </c>
    </row>
    <row r="51" spans="4:4">
      <c r="D51" s="288">
        <v>35.915999999999997</v>
      </c>
    </row>
    <row r="52" spans="4:4">
      <c r="D52" s="288">
        <v>36.970999999999997</v>
      </c>
    </row>
    <row r="53" spans="4:4">
      <c r="D53" s="288">
        <v>41.402000000000001</v>
      </c>
    </row>
    <row r="54" spans="4:4">
      <c r="D54" s="288">
        <v>40.906999999999996</v>
      </c>
    </row>
    <row r="55" spans="4:4">
      <c r="D55" s="288">
        <v>41.386000000000003</v>
      </c>
    </row>
    <row r="56" spans="4:4">
      <c r="D56" s="288">
        <v>48.014000000000003</v>
      </c>
    </row>
    <row r="57" spans="4:4">
      <c r="D57" s="288">
        <v>49.56</v>
      </c>
    </row>
    <row r="58" spans="4:4">
      <c r="D58" s="288">
        <v>49.627000000000002</v>
      </c>
    </row>
    <row r="59" spans="4:4">
      <c r="D59" s="288">
        <v>49.058</v>
      </c>
    </row>
    <row r="60" spans="4:4">
      <c r="D60" s="288">
        <v>63.555</v>
      </c>
    </row>
    <row r="61" spans="4:4">
      <c r="D61" s="288">
        <v>72.177000000000007</v>
      </c>
    </row>
    <row r="62" spans="4:4">
      <c r="D62" s="288">
        <v>76.286000000000001</v>
      </c>
    </row>
    <row r="63" spans="4:4">
      <c r="D63" s="288">
        <v>76.905000000000001</v>
      </c>
    </row>
    <row r="64" spans="4:4">
      <c r="D64" s="288">
        <v>74.082999999999998</v>
      </c>
    </row>
    <row r="65" spans="4:4">
      <c r="D65" s="288">
        <v>71.159000000000006</v>
      </c>
    </row>
    <row r="66" spans="4:4">
      <c r="D66" s="288">
        <v>75.006</v>
      </c>
    </row>
    <row r="67" spans="4:4">
      <c r="D67" s="288">
        <v>77.555000000000007</v>
      </c>
    </row>
    <row r="68" spans="4:4">
      <c r="D68" s="288">
        <v>80.991</v>
      </c>
    </row>
    <row r="69" spans="4:4">
      <c r="D69" s="288">
        <v>85.661000000000001</v>
      </c>
    </row>
    <row r="70" spans="4:4">
      <c r="D70" s="288">
        <v>95.507999999999996</v>
      </c>
    </row>
    <row r="71" spans="4:4">
      <c r="D71" s="288">
        <v>108.33799999999999</v>
      </c>
    </row>
    <row r="72" spans="4:4">
      <c r="D72" s="288">
        <v>115.322</v>
      </c>
    </row>
    <row r="73" spans="4:4">
      <c r="D73" s="288">
        <v>125.004</v>
      </c>
    </row>
    <row r="74" spans="4:4">
      <c r="D74" s="288">
        <v>142.62100000000001</v>
      </c>
    </row>
    <row r="75" spans="4:4">
      <c r="D75" s="288">
        <v>178.36500000000001</v>
      </c>
    </row>
    <row r="76" spans="4:4">
      <c r="D76" s="288">
        <v>213.751</v>
      </c>
    </row>
    <row r="77" spans="4:4">
      <c r="D77" s="288">
        <v>239.47399999999999</v>
      </c>
    </row>
    <row r="78" spans="4:4">
      <c r="D78" s="288">
        <v>258.14999999999998</v>
      </c>
    </row>
    <row r="79" spans="4:4">
      <c r="D79" s="288">
        <v>286.80200000000002</v>
      </c>
    </row>
    <row r="80" spans="4:4">
      <c r="D80" s="288">
        <v>281.39</v>
      </c>
    </row>
    <row r="81" spans="4:4">
      <c r="D81" s="288">
        <v>279.46899999999999</v>
      </c>
    </row>
    <row r="82" spans="4:4">
      <c r="D82" s="288">
        <v>283.755</v>
      </c>
    </row>
    <row r="83" spans="4:4">
      <c r="D83" s="288">
        <v>290.83699999999999</v>
      </c>
    </row>
    <row r="84" spans="4:4">
      <c r="D84" s="288">
        <v>292.99900000000002</v>
      </c>
    </row>
    <row r="85" spans="4:4">
      <c r="D85" s="288">
        <v>276.20800000000003</v>
      </c>
    </row>
    <row r="86" spans="4:4">
      <c r="D86" s="288">
        <v>281.88299999999998</v>
      </c>
    </row>
    <row r="87" spans="4:4">
      <c r="D87" s="288">
        <v>267.40199999999999</v>
      </c>
    </row>
    <row r="88" spans="4:4">
      <c r="D88" s="288">
        <v>251.364</v>
      </c>
    </row>
    <row r="89" spans="4:4">
      <c r="D89" s="288">
        <v>255.727</v>
      </c>
    </row>
    <row r="90" spans="4:4">
      <c r="D90" s="288">
        <v>254.56899999999999</v>
      </c>
    </row>
    <row r="91" spans="4:4">
      <c r="D91" s="288">
        <v>258.00599999999997</v>
      </c>
    </row>
    <row r="92" spans="4:4">
      <c r="D92" s="288">
        <v>258.58300000000003</v>
      </c>
    </row>
    <row r="93" spans="4:4">
      <c r="D93" s="288">
        <v>278.59500000000003</v>
      </c>
    </row>
    <row r="94" spans="4:4">
      <c r="D94" s="288">
        <v>290.53399999999999</v>
      </c>
    </row>
    <row r="95" spans="4:4">
      <c r="D95" s="288">
        <v>319.428</v>
      </c>
    </row>
    <row r="96" spans="4:4">
      <c r="D96" s="288">
        <v>345.63200000000001</v>
      </c>
    </row>
    <row r="97" spans="4:4">
      <c r="D97" s="288">
        <v>437.80099999999999</v>
      </c>
    </row>
    <row r="98" spans="4:4">
      <c r="D98" s="288">
        <v>471.01100000000002</v>
      </c>
    </row>
    <row r="99" spans="4:4">
      <c r="D99" s="288">
        <v>483.91300000000001</v>
      </c>
    </row>
    <row r="100" spans="4:4">
      <c r="D100" s="288">
        <v>536.46199999999999</v>
      </c>
    </row>
    <row r="101" spans="4:4">
      <c r="D101" s="288">
        <v>602.24599999999998</v>
      </c>
    </row>
    <row r="102" spans="4:4">
      <c r="D102" s="288">
        <v>673.48699999999997</v>
      </c>
    </row>
    <row r="103" spans="4:4">
      <c r="D103" s="288">
        <v>664.524</v>
      </c>
    </row>
    <row r="104" spans="4:4">
      <c r="D104" s="288">
        <v>695.673</v>
      </c>
    </row>
    <row r="105" spans="4:4">
      <c r="D105" s="288">
        <v>690.78099999999995</v>
      </c>
    </row>
    <row r="106" spans="4:4">
      <c r="D106" s="288">
        <v>655.38800000000003</v>
      </c>
    </row>
    <row r="107" spans="4:4">
      <c r="D107" s="288">
        <v>585.36099999999999</v>
      </c>
    </row>
    <row r="108" spans="4:4">
      <c r="D108" s="288">
        <v>595.74</v>
      </c>
    </row>
    <row r="109" spans="4:4">
      <c r="D109" s="288">
        <v>570.84400000000005</v>
      </c>
    </row>
    <row r="110" spans="4:4">
      <c r="D110" s="288">
        <v>595.72400000000005</v>
      </c>
    </row>
    <row r="111" spans="4:4">
      <c r="D111" s="288">
        <v>626.23900000000003</v>
      </c>
    </row>
    <row r="112" spans="4:4">
      <c r="D112" s="288">
        <v>618.64300000000003</v>
      </c>
    </row>
    <row r="113" spans="4:4">
      <c r="D113" s="288">
        <v>695.06600000000003</v>
      </c>
    </row>
  </sheetData>
  <printOptions horizontalCentered="1"/>
  <pageMargins left="0.5" right="0.5" top="0.75" bottom="0.5" header="0.3" footer="0.3"/>
  <pageSetup orientation="landscape"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3</vt:i4>
      </vt:variant>
    </vt:vector>
  </HeadingPairs>
  <TitlesOfParts>
    <vt:vector size="25" baseType="lpstr">
      <vt:lpstr>Fig_9</vt:lpstr>
      <vt:lpstr>Tab_1</vt:lpstr>
      <vt:lpstr>Funding</vt:lpstr>
      <vt:lpstr>Manpower</vt:lpstr>
      <vt:lpstr>Summary</vt:lpstr>
      <vt:lpstr>Summary-Data</vt:lpstr>
      <vt:lpstr>GB_Tab2-1</vt:lpstr>
      <vt:lpstr>2008</vt:lpstr>
      <vt:lpstr>2009</vt:lpstr>
      <vt:lpstr>2010</vt:lpstr>
      <vt:lpstr>2011</vt:lpstr>
      <vt:lpstr>2012</vt:lpstr>
      <vt:lpstr>2013</vt:lpstr>
      <vt:lpstr>2014</vt:lpstr>
      <vt:lpstr>2015</vt:lpstr>
      <vt:lpstr>2016</vt:lpstr>
      <vt:lpstr>2017</vt:lpstr>
      <vt:lpstr>2018</vt:lpstr>
      <vt:lpstr>2019</vt:lpstr>
      <vt:lpstr>BBA</vt:lpstr>
      <vt:lpstr>pgdp</vt:lpstr>
      <vt:lpstr>GB_Tab6-8</vt:lpstr>
      <vt:lpstr>Funding!_Toc504035144</vt:lpstr>
      <vt:lpstr>Funding!_Toc504035145</vt:lpstr>
      <vt:lpstr>'GB_Tab6-8'!Print_Area</vt:lpstr>
    </vt:vector>
  </TitlesOfParts>
  <Company>Congressional Budget Office, National Security Division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 M Woodward</dc:creator>
  <cp:lastModifiedBy>Matt Woodward</cp:lastModifiedBy>
  <cp:lastPrinted>2018-08-01T18:00:15Z</cp:lastPrinted>
  <dcterms:created xsi:type="dcterms:W3CDTF">2017-03-28T18:06:38Z</dcterms:created>
  <dcterms:modified xsi:type="dcterms:W3CDTF">2018-10-18T14:34:52Z</dcterms:modified>
</cp:coreProperties>
</file>